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比较法-商业 (租金)" sheetId="80"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典型户型修正" sheetId="31" r:id="rId45"/>
    <sheet name="清单" sheetId="78" r:id="rId46"/>
    <sheet name="案例" sheetId="79" r:id="rId47"/>
    <sheet name="剩余房源售价清单" sheetId="81" r:id="rId48"/>
    <sheet name="抵押物清单" sheetId="82"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2" hidden="1">'比较法-商业 (租金)'!$A$1:$L$49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2">'比较法-商业 (租金)'!$B$116:$M$116</definedName>
    <definedName name="商业层高">'比较法-商业'!$B$116:$M$116</definedName>
    <definedName name="商业成新度" localSheetId="22">'比较法-商业 (租金)'!$B$109:$M$109</definedName>
    <definedName name="商业成新度">'比较法-商业'!$B$109:$M$109</definedName>
    <definedName name="商业繁华度">定义!$L$1:$L$6</definedName>
    <definedName name="商业公共部分装修" localSheetId="22">'比较法-商业 (租金)'!$B$107:$M$107</definedName>
    <definedName name="商业公共部分装修">'比较法-商业'!$B$107:$M$107</definedName>
    <definedName name="商业基础设施水平" localSheetId="22">'比较法-商业 (租金)'!$B$112:$M$112</definedName>
    <definedName name="商业基础设施水平">'比较法-商业'!$B$112:$M$112</definedName>
    <definedName name="商业建筑结构" localSheetId="22">'比较法-商业 (租金)'!$B$105:$M$105</definedName>
    <definedName name="商业建筑结构">'比较法-商业'!$B$105:$M$105</definedName>
    <definedName name="商业交易情况" localSheetId="22">'比较法-商业 (租金)'!$A$61:$M$61</definedName>
    <definedName name="商业交易情况">'比较法-商业'!$A$61:$M$61</definedName>
    <definedName name="商业街名称">修正!$C$59:$C$119</definedName>
    <definedName name="商业进深比" localSheetId="22">'比较法-商业 (租金)'!$B$120:$M$120</definedName>
    <definedName name="商业进深比">'比较法-商业'!$B$120:$M$120</definedName>
    <definedName name="商业类型" localSheetId="22">'比较法-商业 (租金)'!$B$100:$M$100</definedName>
    <definedName name="商业类型">'比较法-商业'!$B$100:$M$100</definedName>
    <definedName name="商业临街状况" localSheetId="22">'比较法-商业 (租金)'!$B$86:$M$86</definedName>
    <definedName name="商业临街状况">'比较法-商业'!$B$86:$M$86</definedName>
    <definedName name="商业楼层" localSheetId="22">'比较法-商业 (租金)'!$B$92:$M$92</definedName>
    <definedName name="商业楼层">'比较法-商业'!$B$92:$M$92</definedName>
    <definedName name="商业内部装修" localSheetId="22">'比较法-商业 (租金)'!$B$122:$M$122</definedName>
    <definedName name="商业内部装修">'比较法-商业'!$B$122:$M$122</definedName>
    <definedName name="商业人流量" localSheetId="22">'比较法-商业 (租金)'!$B$90:$M$90</definedName>
    <definedName name="商业人流量">'比较法-商业'!$B$90:$M$90</definedName>
    <definedName name="商业业态" localSheetId="22">'比较法-商业 (租金)'!$B$114:$M$114</definedName>
    <definedName name="商业业态">'比较法-商业'!$B$114:$M$114</definedName>
    <definedName name="商业用途" localSheetId="22">'比较法-商业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L7" i="1" l="1"/>
  <c r="F252" i="82"/>
  <c r="E252" i="82"/>
  <c r="C15" i="74" l="1"/>
  <c r="B15" i="74"/>
  <c r="Q7" i="1" l="1"/>
  <c r="N19" i="81"/>
  <c r="K19" i="81"/>
  <c r="N18" i="81"/>
  <c r="N17" i="81"/>
  <c r="N16" i="81"/>
  <c r="N15" i="8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T427" i="31"/>
  <c r="T428" i="31"/>
  <c r="T429" i="31"/>
  <c r="T430" i="31"/>
  <c r="T431" i="31"/>
  <c r="T432" i="31"/>
  <c r="T433" i="31"/>
  <c r="T434" i="31"/>
  <c r="T435" i="31"/>
  <c r="T436" i="31"/>
  <c r="T437" i="31"/>
  <c r="T438" i="31"/>
  <c r="T439" i="31"/>
  <c r="T440" i="31"/>
  <c r="T441" i="31"/>
  <c r="T442" i="31"/>
  <c r="T443" i="31"/>
  <c r="T444" i="31"/>
  <c r="T445" i="31"/>
  <c r="T446" i="31"/>
  <c r="T447" i="31"/>
  <c r="T448" i="31"/>
  <c r="T449" i="31"/>
  <c r="T450" i="31"/>
  <c r="T451" i="31"/>
  <c r="T452" i="31"/>
  <c r="T453" i="31"/>
  <c r="T454" i="31"/>
  <c r="T455" i="31"/>
  <c r="T456" i="31"/>
  <c r="T457" i="31"/>
  <c r="T458" i="31"/>
  <c r="T459" i="31"/>
  <c r="T460" i="31"/>
  <c r="T461" i="31"/>
  <c r="T462" i="31"/>
  <c r="T463" i="31"/>
  <c r="T464" i="31"/>
  <c r="T465" i="31"/>
  <c r="T466" i="31"/>
  <c r="T467" i="31"/>
  <c r="T468" i="31"/>
  <c r="T469" i="31"/>
  <c r="T470" i="31"/>
  <c r="T471" i="31"/>
  <c r="T472" i="31"/>
  <c r="T473" i="31"/>
  <c r="T474" i="31"/>
  <c r="T475" i="31"/>
  <c r="T476" i="31"/>
  <c r="T477" i="31"/>
  <c r="T478" i="31"/>
  <c r="T479" i="31"/>
  <c r="T480" i="31"/>
  <c r="T481" i="31"/>
  <c r="T482" i="31"/>
  <c r="T483" i="31"/>
  <c r="T484" i="31"/>
  <c r="T485" i="31"/>
  <c r="T486" i="31"/>
  <c r="T487" i="31"/>
  <c r="T488" i="31"/>
  <c r="T489" i="31"/>
  <c r="T490" i="31"/>
  <c r="T491" i="31"/>
  <c r="T492" i="31"/>
  <c r="T493" i="31"/>
  <c r="T494" i="31"/>
  <c r="T495" i="31"/>
  <c r="T496" i="31"/>
  <c r="T497" i="31"/>
  <c r="T498" i="31"/>
  <c r="T499" i="31"/>
  <c r="T500" i="31"/>
  <c r="T501" i="31"/>
  <c r="T502" i="31"/>
  <c r="T503" i="31"/>
  <c r="T504" i="31"/>
  <c r="T505" i="31"/>
  <c r="T506" i="31"/>
  <c r="T507" i="31"/>
  <c r="T508" i="31"/>
  <c r="T509" i="31"/>
  <c r="T510" i="31"/>
  <c r="T511" i="31"/>
  <c r="T512" i="31"/>
  <c r="T513" i="31"/>
  <c r="T514" i="31"/>
  <c r="T515" i="31"/>
  <c r="T516" i="31"/>
  <c r="T517" i="31"/>
  <c r="T518" i="31"/>
  <c r="T519" i="31"/>
  <c r="T520" i="31"/>
  <c r="T521" i="31"/>
  <c r="T522" i="31"/>
  <c r="T523" i="31"/>
  <c r="T524" i="31"/>
  <c r="T262"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53" i="31"/>
  <c r="T52" i="31"/>
  <c r="T51" i="31"/>
  <c r="T50" i="3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24" i="31"/>
  <c r="I10" i="81"/>
  <c r="I11" i="81"/>
  <c r="I12" i="81"/>
  <c r="I13" i="81"/>
  <c r="I14" i="81"/>
  <c r="I15" i="81"/>
  <c r="I16" i="81"/>
  <c r="I17" i="81"/>
  <c r="I18" i="81"/>
  <c r="I19" i="81"/>
  <c r="I20" i="81"/>
  <c r="I21" i="81"/>
  <c r="I22" i="81"/>
  <c r="I23" i="81"/>
  <c r="I24" i="81"/>
  <c r="I25" i="81"/>
  <c r="I26" i="81"/>
  <c r="I27" i="81"/>
  <c r="I28" i="81"/>
  <c r="I29" i="81"/>
  <c r="I30" i="81"/>
  <c r="I31" i="81"/>
  <c r="I32" i="81"/>
  <c r="I33" i="81"/>
  <c r="I34" i="81"/>
  <c r="I35" i="81"/>
  <c r="I36" i="81"/>
  <c r="I37" i="81"/>
  <c r="I38" i="81"/>
  <c r="I39" i="81"/>
  <c r="I40" i="81"/>
  <c r="I41" i="81"/>
  <c r="I42" i="81"/>
  <c r="I43" i="81"/>
  <c r="I44" i="81"/>
  <c r="I45" i="81"/>
  <c r="I46" i="81"/>
  <c r="I47" i="81"/>
  <c r="I48" i="81"/>
  <c r="I49" i="81"/>
  <c r="I50" i="81"/>
  <c r="I51" i="81"/>
  <c r="I52" i="81"/>
  <c r="I53" i="81"/>
  <c r="I54" i="81"/>
  <c r="I55" i="81"/>
  <c r="I56" i="81"/>
  <c r="I57" i="81"/>
  <c r="I58" i="81"/>
  <c r="I59" i="81"/>
  <c r="I60" i="81"/>
  <c r="I61" i="81"/>
  <c r="I62" i="81"/>
  <c r="I63" i="81"/>
  <c r="I64" i="81"/>
  <c r="I65" i="81"/>
  <c r="I66" i="81"/>
  <c r="I67" i="81"/>
  <c r="I68" i="81"/>
  <c r="I69" i="81"/>
  <c r="I70" i="81"/>
  <c r="I71" i="81"/>
  <c r="I72" i="81"/>
  <c r="I73" i="81"/>
  <c r="I74" i="81"/>
  <c r="I75" i="81"/>
  <c r="I76" i="81"/>
  <c r="I77" i="81"/>
  <c r="I78" i="81"/>
  <c r="I79" i="81"/>
  <c r="I80" i="81"/>
  <c r="I81" i="81"/>
  <c r="I82" i="81"/>
  <c r="I83" i="81"/>
  <c r="I84" i="81"/>
  <c r="I85" i="81"/>
  <c r="I86" i="81"/>
  <c r="I87" i="81"/>
  <c r="I88" i="81"/>
  <c r="I89" i="81"/>
  <c r="I90" i="81"/>
  <c r="I91" i="81"/>
  <c r="I92" i="81"/>
  <c r="I93" i="81"/>
  <c r="I94" i="81"/>
  <c r="I95" i="81"/>
  <c r="I96" i="81"/>
  <c r="I97" i="81"/>
  <c r="I98" i="81"/>
  <c r="I99" i="81"/>
  <c r="I100" i="81"/>
  <c r="I101" i="81"/>
  <c r="I102" i="81"/>
  <c r="I103" i="81"/>
  <c r="I104" i="81"/>
  <c r="I105" i="81"/>
  <c r="I106" i="81"/>
  <c r="I107" i="81"/>
  <c r="I108" i="81"/>
  <c r="I109" i="81"/>
  <c r="I110" i="81"/>
  <c r="I111" i="81"/>
  <c r="I112" i="81"/>
  <c r="I113" i="81"/>
  <c r="I114" i="81"/>
  <c r="I115" i="81"/>
  <c r="I116" i="81"/>
  <c r="I117" i="81"/>
  <c r="I118" i="81"/>
  <c r="I119" i="81"/>
  <c r="I120" i="81"/>
  <c r="I121" i="81"/>
  <c r="I122" i="81"/>
  <c r="I123" i="81"/>
  <c r="I124" i="81"/>
  <c r="I125" i="81"/>
  <c r="I126" i="81"/>
  <c r="I127" i="81"/>
  <c r="I128" i="81"/>
  <c r="I129" i="81"/>
  <c r="I130" i="81"/>
  <c r="I131" i="81"/>
  <c r="I132" i="81"/>
  <c r="I133" i="81"/>
  <c r="I134" i="81"/>
  <c r="I135" i="81"/>
  <c r="I136" i="81"/>
  <c r="I137" i="81"/>
  <c r="I138" i="81"/>
  <c r="I139" i="81"/>
  <c r="I140" i="81"/>
  <c r="I141" i="81"/>
  <c r="I142" i="81"/>
  <c r="I143" i="81"/>
  <c r="I144" i="81"/>
  <c r="I145" i="81"/>
  <c r="I146" i="81"/>
  <c r="I147" i="81"/>
  <c r="I148" i="81"/>
  <c r="I149" i="81"/>
  <c r="I150" i="81"/>
  <c r="I151" i="81"/>
  <c r="I152" i="81"/>
  <c r="I153" i="81"/>
  <c r="I154" i="81"/>
  <c r="I155" i="81"/>
  <c r="I156" i="81"/>
  <c r="I157" i="81"/>
  <c r="I158" i="81"/>
  <c r="I159" i="81"/>
  <c r="I160" i="81"/>
  <c r="I161" i="81"/>
  <c r="I162" i="81"/>
  <c r="I163" i="81"/>
  <c r="I164" i="81"/>
  <c r="I165" i="81"/>
  <c r="I166" i="81"/>
  <c r="I167" i="81"/>
  <c r="I168" i="81"/>
  <c r="I169" i="81"/>
  <c r="I170" i="81"/>
  <c r="I171" i="81"/>
  <c r="I172" i="81"/>
  <c r="I173" i="81"/>
  <c r="I174" i="81"/>
  <c r="I175" i="81"/>
  <c r="I176" i="81"/>
  <c r="I177" i="81"/>
  <c r="I178" i="81"/>
  <c r="I179" i="81"/>
  <c r="I180" i="81"/>
  <c r="I181" i="81"/>
  <c r="I182" i="81"/>
  <c r="I183" i="81"/>
  <c r="I184" i="81"/>
  <c r="I185" i="81"/>
  <c r="I186" i="81"/>
  <c r="I187" i="81"/>
  <c r="I188" i="81"/>
  <c r="I189" i="81"/>
  <c r="I190" i="81"/>
  <c r="I191" i="81"/>
  <c r="I192" i="81"/>
  <c r="I193" i="81"/>
  <c r="I194" i="81"/>
  <c r="I195" i="81"/>
  <c r="I196" i="81"/>
  <c r="I197" i="81"/>
  <c r="I198" i="81"/>
  <c r="I199" i="81"/>
  <c r="I200" i="81"/>
  <c r="I201" i="81"/>
  <c r="I202" i="81"/>
  <c r="I203" i="81"/>
  <c r="I204" i="81"/>
  <c r="I205" i="81"/>
  <c r="I206" i="81"/>
  <c r="I207" i="81"/>
  <c r="I208" i="81"/>
  <c r="I209" i="81"/>
  <c r="I210" i="81"/>
  <c r="I211" i="81"/>
  <c r="I212" i="81"/>
  <c r="I213" i="81"/>
  <c r="I214" i="81"/>
  <c r="I215" i="81"/>
  <c r="I216" i="81"/>
  <c r="I217" i="81"/>
  <c r="I218" i="81"/>
  <c r="I219" i="81"/>
  <c r="I220" i="81"/>
  <c r="I221" i="81"/>
  <c r="I222" i="81"/>
  <c r="I223" i="81"/>
  <c r="I224" i="81"/>
  <c r="I225" i="81"/>
  <c r="I226" i="81"/>
  <c r="I227" i="81"/>
  <c r="I228" i="81"/>
  <c r="I229" i="81"/>
  <c r="I230" i="81"/>
  <c r="I231" i="81"/>
  <c r="I232" i="81"/>
  <c r="I233" i="81"/>
  <c r="I234" i="81"/>
  <c r="I235" i="81"/>
  <c r="I236" i="81"/>
  <c r="I237" i="81"/>
  <c r="I238" i="81"/>
  <c r="I239" i="81"/>
  <c r="I240" i="81"/>
  <c r="I241" i="81"/>
  <c r="I242" i="81"/>
  <c r="I243" i="81"/>
  <c r="I244" i="81"/>
  <c r="I245" i="81"/>
  <c r="I246" i="81"/>
  <c r="I247" i="81"/>
  <c r="I248" i="81"/>
  <c r="I249" i="81"/>
  <c r="I250" i="81"/>
  <c r="I251" i="81"/>
  <c r="I4" i="81"/>
  <c r="I5" i="81"/>
  <c r="I6" i="81"/>
  <c r="I7" i="81"/>
  <c r="I8" i="81"/>
  <c r="I9" i="81"/>
  <c r="I3" i="81"/>
  <c r="F265" i="81"/>
  <c r="G264" i="81"/>
  <c r="G263" i="81"/>
  <c r="G262" i="81"/>
  <c r="G261" i="81"/>
  <c r="G260" i="81"/>
  <c r="G259" i="81"/>
  <c r="G258" i="81"/>
  <c r="G257" i="81"/>
  <c r="G256" i="81"/>
  <c r="G255" i="81"/>
  <c r="G254" i="81"/>
  <c r="G253" i="81"/>
  <c r="G252" i="81"/>
  <c r="G251" i="81"/>
  <c r="G250" i="81"/>
  <c r="G249" i="81"/>
  <c r="G248" i="81"/>
  <c r="G247" i="81"/>
  <c r="G246" i="81"/>
  <c r="G245" i="81"/>
  <c r="G244" i="81"/>
  <c r="G243" i="81"/>
  <c r="G242" i="81"/>
  <c r="G241" i="81"/>
  <c r="G240" i="81"/>
  <c r="G239" i="81"/>
  <c r="G238" i="81"/>
  <c r="G237" i="81"/>
  <c r="G236" i="81"/>
  <c r="G235" i="81"/>
  <c r="G234" i="81"/>
  <c r="G233" i="81"/>
  <c r="G232" i="81"/>
  <c r="G231" i="81"/>
  <c r="G230" i="81"/>
  <c r="G229" i="81"/>
  <c r="G228" i="81"/>
  <c r="G227" i="81"/>
  <c r="G226" i="81"/>
  <c r="G225" i="81"/>
  <c r="G224" i="81"/>
  <c r="G223" i="81"/>
  <c r="G222" i="81"/>
  <c r="G221" i="81"/>
  <c r="G220" i="81"/>
  <c r="G219" i="81"/>
  <c r="G218" i="81"/>
  <c r="G217" i="81"/>
  <c r="G216" i="81"/>
  <c r="G215" i="81"/>
  <c r="G214" i="81"/>
  <c r="G213" i="81"/>
  <c r="G212" i="81"/>
  <c r="G211" i="81"/>
  <c r="G210" i="81"/>
  <c r="G209" i="81"/>
  <c r="G208" i="81"/>
  <c r="G207" i="81"/>
  <c r="G206" i="81"/>
  <c r="G205" i="81"/>
  <c r="G204" i="81"/>
  <c r="G203" i="81"/>
  <c r="G202" i="81"/>
  <c r="G201" i="81"/>
  <c r="G200" i="81"/>
  <c r="G199" i="81"/>
  <c r="G198" i="81"/>
  <c r="G197" i="81"/>
  <c r="G196" i="81"/>
  <c r="G195" i="81"/>
  <c r="G194" i="81"/>
  <c r="G193" i="81"/>
  <c r="G192" i="81"/>
  <c r="G191" i="81"/>
  <c r="G190" i="81"/>
  <c r="G189" i="81"/>
  <c r="G188" i="81"/>
  <c r="G187" i="81"/>
  <c r="G186" i="81"/>
  <c r="G185" i="81"/>
  <c r="G184" i="81"/>
  <c r="G183" i="81"/>
  <c r="G182" i="81"/>
  <c r="G181" i="81"/>
  <c r="G180" i="81"/>
  <c r="G179" i="81"/>
  <c r="G178" i="81"/>
  <c r="G177" i="81"/>
  <c r="G176" i="81"/>
  <c r="G175" i="81"/>
  <c r="G174" i="81"/>
  <c r="G173" i="81"/>
  <c r="G172" i="81"/>
  <c r="G171" i="81"/>
  <c r="G170" i="81"/>
  <c r="G169" i="81"/>
  <c r="G168" i="81"/>
  <c r="G167" i="81"/>
  <c r="G166" i="81"/>
  <c r="G165" i="81"/>
  <c r="G164" i="81"/>
  <c r="G163" i="81"/>
  <c r="G162" i="81"/>
  <c r="G161" i="81"/>
  <c r="G160" i="81"/>
  <c r="G159" i="81"/>
  <c r="G158" i="81"/>
  <c r="G157" i="81"/>
  <c r="G156" i="81"/>
  <c r="G155" i="81"/>
  <c r="G154" i="81"/>
  <c r="G153" i="81"/>
  <c r="G152" i="81"/>
  <c r="G151" i="81"/>
  <c r="G150" i="81"/>
  <c r="G149" i="81"/>
  <c r="G148" i="81"/>
  <c r="G147" i="81"/>
  <c r="G146" i="81"/>
  <c r="G145" i="81"/>
  <c r="G144" i="81"/>
  <c r="G143" i="81"/>
  <c r="G142" i="81"/>
  <c r="G141" i="81"/>
  <c r="G140" i="81"/>
  <c r="G139" i="81"/>
  <c r="G138" i="81"/>
  <c r="G137" i="81"/>
  <c r="G136" i="81"/>
  <c r="G135" i="81"/>
  <c r="G134" i="81"/>
  <c r="G133" i="81"/>
  <c r="G132" i="81"/>
  <c r="G131" i="81"/>
  <c r="G130" i="81"/>
  <c r="G129" i="81"/>
  <c r="G128" i="81"/>
  <c r="G127" i="81"/>
  <c r="G126" i="81"/>
  <c r="G125" i="81"/>
  <c r="G124" i="81"/>
  <c r="G123" i="81"/>
  <c r="G122" i="81"/>
  <c r="G121" i="81"/>
  <c r="G120" i="81"/>
  <c r="G119" i="81"/>
  <c r="G118" i="81"/>
  <c r="G117" i="81"/>
  <c r="G116" i="81"/>
  <c r="G115" i="81"/>
  <c r="G114" i="81"/>
  <c r="G113" i="81"/>
  <c r="G112" i="81"/>
  <c r="G111" i="81"/>
  <c r="G110" i="81"/>
  <c r="G109" i="81"/>
  <c r="G108" i="81"/>
  <c r="G107" i="81"/>
  <c r="G106" i="81"/>
  <c r="G105" i="81"/>
  <c r="G104" i="81"/>
  <c r="G103" i="81"/>
  <c r="G102" i="81"/>
  <c r="G101" i="81"/>
  <c r="G100" i="81"/>
  <c r="G99" i="81"/>
  <c r="G98" i="81"/>
  <c r="G97" i="81"/>
  <c r="G96" i="81"/>
  <c r="G95" i="81"/>
  <c r="G94" i="81"/>
  <c r="G93" i="81"/>
  <c r="G92" i="81"/>
  <c r="G91" i="81"/>
  <c r="G90" i="81"/>
  <c r="G89" i="81"/>
  <c r="G88" i="81"/>
  <c r="H87" i="81"/>
  <c r="H86" i="81"/>
  <c r="H85" i="81"/>
  <c r="H84" i="81"/>
  <c r="H83" i="81"/>
  <c r="H82" i="81"/>
  <c r="H81" i="81"/>
  <c r="H80" i="81"/>
  <c r="H79" i="81"/>
  <c r="H78" i="81"/>
  <c r="H77" i="81"/>
  <c r="H76" i="81"/>
  <c r="H75" i="81"/>
  <c r="H74" i="81"/>
  <c r="H73" i="81"/>
  <c r="H72" i="81"/>
  <c r="H71" i="81"/>
  <c r="H70" i="81"/>
  <c r="H69" i="81"/>
  <c r="H68" i="81"/>
  <c r="H66" i="81"/>
  <c r="H65" i="81"/>
  <c r="H64" i="81"/>
  <c r="H63" i="81"/>
  <c r="H62" i="81"/>
  <c r="H61" i="81"/>
  <c r="H60" i="81"/>
  <c r="H59" i="81"/>
  <c r="H58" i="81"/>
  <c r="H57" i="81"/>
  <c r="H56" i="81"/>
  <c r="H55" i="81"/>
  <c r="H54" i="81"/>
  <c r="H53" i="81"/>
  <c r="H52" i="81"/>
  <c r="H51" i="81"/>
  <c r="H50" i="81"/>
  <c r="H49" i="81"/>
  <c r="H48" i="81"/>
  <c r="H47" i="81"/>
  <c r="H46" i="81"/>
  <c r="H45" i="81"/>
  <c r="H44" i="81"/>
  <c r="H43" i="81"/>
  <c r="H42" i="81"/>
  <c r="H41" i="81"/>
  <c r="H40" i="81"/>
  <c r="H39" i="81"/>
  <c r="H38" i="81"/>
  <c r="H37" i="81"/>
  <c r="H36" i="81"/>
  <c r="H35" i="81"/>
  <c r="H34" i="81"/>
  <c r="H33" i="81"/>
  <c r="H32" i="81"/>
  <c r="H31" i="81"/>
  <c r="H30" i="81"/>
  <c r="H29" i="81"/>
  <c r="H28" i="81"/>
  <c r="H27" i="81"/>
  <c r="H26" i="81"/>
  <c r="H25" i="81"/>
  <c r="H24" i="81"/>
  <c r="H23" i="81"/>
  <c r="H22" i="81"/>
  <c r="H21" i="81"/>
  <c r="H20" i="81"/>
  <c r="H19" i="81"/>
  <c r="H18" i="81"/>
  <c r="H17" i="81"/>
  <c r="H16" i="81"/>
  <c r="H15" i="81"/>
  <c r="H14" i="81"/>
  <c r="H13" i="81"/>
  <c r="N12" i="81"/>
  <c r="M12" i="81"/>
  <c r="O12" i="81" s="1"/>
  <c r="H12" i="81"/>
  <c r="N11" i="81"/>
  <c r="M11" i="81"/>
  <c r="O11" i="81" s="1"/>
  <c r="H11" i="81"/>
  <c r="N10" i="81"/>
  <c r="M10" i="81"/>
  <c r="O10" i="81" s="1"/>
  <c r="H10" i="81"/>
  <c r="N9" i="81"/>
  <c r="H9" i="81"/>
  <c r="H8" i="81"/>
  <c r="H7" i="81"/>
  <c r="O6" i="81"/>
  <c r="N6" i="81"/>
  <c r="M6" i="81"/>
  <c r="H6" i="81"/>
  <c r="O5" i="81"/>
  <c r="N5" i="81"/>
  <c r="M5" i="81"/>
  <c r="H5" i="81"/>
  <c r="O4" i="81"/>
  <c r="N4" i="81"/>
  <c r="M4" i="81"/>
  <c r="H4" i="81"/>
  <c r="O3" i="81"/>
  <c r="P6" i="81" s="1"/>
  <c r="N3" i="81"/>
  <c r="M3" i="81"/>
  <c r="H3" i="81"/>
  <c r="H265" i="81" s="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4"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24" i="31"/>
  <c r="F119" i="80"/>
  <c r="F118" i="80"/>
  <c r="I36" i="80"/>
  <c r="C118" i="80"/>
  <c r="D118" i="80"/>
  <c r="E118" i="80"/>
  <c r="E119" i="80"/>
  <c r="D119" i="80"/>
  <c r="C119" i="80"/>
  <c r="B130" i="80"/>
  <c r="B128" i="80"/>
  <c r="B126" i="80"/>
  <c r="D125" i="80"/>
  <c r="E125" i="80" s="1"/>
  <c r="F125" i="80" s="1"/>
  <c r="G125" i="80" s="1"/>
  <c r="D123" i="80"/>
  <c r="E123" i="80" s="1"/>
  <c r="F123" i="80" s="1"/>
  <c r="G123" i="80" s="1"/>
  <c r="H123" i="80" s="1"/>
  <c r="I123" i="80" s="1"/>
  <c r="J123" i="80" s="1"/>
  <c r="K123" i="80" s="1"/>
  <c r="L123" i="80" s="1"/>
  <c r="M123" i="80" s="1"/>
  <c r="D121" i="80"/>
  <c r="E121" i="80" s="1"/>
  <c r="F121" i="80" s="1"/>
  <c r="G121" i="80" s="1"/>
  <c r="H121" i="80" s="1"/>
  <c r="I121" i="80" s="1"/>
  <c r="J121" i="80" s="1"/>
  <c r="K121" i="80" s="1"/>
  <c r="L121" i="80" s="1"/>
  <c r="M121"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11" i="80" s="1"/>
  <c r="H111" i="80" s="1"/>
  <c r="I111" i="80" s="1"/>
  <c r="J111" i="80" s="1"/>
  <c r="K111" i="80" s="1"/>
  <c r="L111" i="80" s="1"/>
  <c r="M111" i="80" s="1"/>
  <c r="G109" i="80"/>
  <c r="F109" i="80"/>
  <c r="E109" i="80"/>
  <c r="D109" i="80"/>
  <c r="C109" i="80"/>
  <c r="E108" i="80"/>
  <c r="F108" i="80" s="1"/>
  <c r="G108" i="80" s="1"/>
  <c r="H108" i="80" s="1"/>
  <c r="I108" i="80" s="1"/>
  <c r="J108" i="80" s="1"/>
  <c r="K108" i="80" s="1"/>
  <c r="L108" i="80" s="1"/>
  <c r="M108" i="80" s="1"/>
  <c r="D108" i="80"/>
  <c r="E106" i="80"/>
  <c r="F106" i="80" s="1"/>
  <c r="G106" i="80" s="1"/>
  <c r="H106" i="80" s="1"/>
  <c r="I106" i="80" s="1"/>
  <c r="J106" i="80" s="1"/>
  <c r="K106" i="80" s="1"/>
  <c r="L106" i="80" s="1"/>
  <c r="M106" i="80" s="1"/>
  <c r="D106" i="80"/>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D91" i="80"/>
  <c r="E91" i="80" s="1"/>
  <c r="F91" i="80" s="1"/>
  <c r="G91" i="80" s="1"/>
  <c r="H91" i="80" s="1"/>
  <c r="I91" i="80" s="1"/>
  <c r="J91" i="80" s="1"/>
  <c r="K91" i="80" s="1"/>
  <c r="L91" i="80" s="1"/>
  <c r="M91" i="80" s="1"/>
  <c r="B90" i="80"/>
  <c r="B88" i="80"/>
  <c r="D87" i="80"/>
  <c r="E87" i="80" s="1"/>
  <c r="F87" i="80" s="1"/>
  <c r="G87" i="80" s="1"/>
  <c r="H87" i="80" s="1"/>
  <c r="I87" i="80" s="1"/>
  <c r="J87" i="80" s="1"/>
  <c r="K87" i="80" s="1"/>
  <c r="L87" i="80" s="1"/>
  <c r="M87" i="80" s="1"/>
  <c r="D85" i="80"/>
  <c r="E85" i="80" s="1"/>
  <c r="F85" i="80" s="1"/>
  <c r="G85" i="80" s="1"/>
  <c r="D83" i="80"/>
  <c r="E83" i="80" s="1"/>
  <c r="F83" i="80" s="1"/>
  <c r="G83" i="80" s="1"/>
  <c r="D81" i="80"/>
  <c r="E81" i="80" s="1"/>
  <c r="F81" i="80" s="1"/>
  <c r="G81" i="80" s="1"/>
  <c r="D79" i="80"/>
  <c r="E79" i="80" s="1"/>
  <c r="F79" i="80" s="1"/>
  <c r="G79" i="80" s="1"/>
  <c r="D77" i="80"/>
  <c r="E77" i="80" s="1"/>
  <c r="F77" i="80" s="1"/>
  <c r="G77" i="80" s="1"/>
  <c r="B74" i="80"/>
  <c r="B72" i="80"/>
  <c r="B70" i="80"/>
  <c r="E69" i="80"/>
  <c r="F69" i="80" s="1"/>
  <c r="G69" i="80" s="1"/>
  <c r="H69" i="80" s="1"/>
  <c r="I69" i="80" s="1"/>
  <c r="J69" i="80" s="1"/>
  <c r="K69" i="80" s="1"/>
  <c r="L69" i="80" s="1"/>
  <c r="M69" i="80" s="1"/>
  <c r="D69" i="80"/>
  <c r="M67" i="80"/>
  <c r="L67" i="80"/>
  <c r="K67" i="80"/>
  <c r="J67" i="80"/>
  <c r="I67" i="80"/>
  <c r="H67" i="80"/>
  <c r="G67" i="80"/>
  <c r="F67" i="80"/>
  <c r="E67" i="80"/>
  <c r="D67" i="80"/>
  <c r="C67" i="80"/>
  <c r="H66" i="80"/>
  <c r="I66" i="80" s="1"/>
  <c r="G66" i="80"/>
  <c r="C63" i="80"/>
  <c r="P49" i="80"/>
  <c r="P48" i="80"/>
  <c r="V47" i="80"/>
  <c r="T47" i="80"/>
  <c r="P47" i="80"/>
  <c r="R47" i="80"/>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C40" i="80"/>
  <c r="H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H36" i="80"/>
  <c r="C36" i="80"/>
  <c r="J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H23" i="80"/>
  <c r="AB23" i="80" s="1"/>
  <c r="F23" i="80"/>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C11" i="80"/>
  <c r="J11" i="80" s="1"/>
  <c r="Q10" i="80"/>
  <c r="Z10" i="80" s="1"/>
  <c r="J10" i="80"/>
  <c r="AC10" i="80" s="1"/>
  <c r="H10" i="80"/>
  <c r="AB10" i="80" s="1"/>
  <c r="F10" i="80"/>
  <c r="AA10" i="80" s="1"/>
  <c r="Q9" i="80"/>
  <c r="Z9" i="80" s="1"/>
  <c r="J9" i="80"/>
  <c r="AC9" i="80" s="1"/>
  <c r="H9" i="80"/>
  <c r="AB9" i="80" s="1"/>
  <c r="F9" i="80"/>
  <c r="AA9" i="80" s="1"/>
  <c r="W8" i="80"/>
  <c r="S8" i="80"/>
  <c r="J8" i="80"/>
  <c r="AC8" i="80" s="1"/>
  <c r="H8" i="80"/>
  <c r="U8" i="80" s="1"/>
  <c r="F8" i="80"/>
  <c r="AA8" i="80" s="1"/>
  <c r="C7" i="80"/>
  <c r="C58" i="80" s="1"/>
  <c r="D58" i="80" s="1"/>
  <c r="E58" i="80" s="1"/>
  <c r="F58" i="80" s="1"/>
  <c r="G58" i="80" s="1"/>
  <c r="H58" i="80" s="1"/>
  <c r="I58" i="80" s="1"/>
  <c r="J58" i="80" s="1"/>
  <c r="K58" i="80" s="1"/>
  <c r="L58" i="80" s="1"/>
  <c r="M58" i="80" s="1"/>
  <c r="N58" i="80" s="1"/>
  <c r="O58" i="80" s="1"/>
  <c r="D3" i="80"/>
  <c r="D2" i="80"/>
  <c r="Q10" i="81" l="1"/>
  <c r="Q11" i="81"/>
  <c r="Q12" i="81"/>
  <c r="M9" i="81"/>
  <c r="O9" i="81" s="1"/>
  <c r="Q9" i="81" s="1"/>
  <c r="P4" i="81"/>
  <c r="P5" i="81"/>
  <c r="AC11" i="80"/>
  <c r="W11" i="80"/>
  <c r="AB8" i="80"/>
  <c r="S9" i="80"/>
  <c r="W9" i="80"/>
  <c r="U10" i="80"/>
  <c r="H11" i="80"/>
  <c r="S12" i="80"/>
  <c r="W12" i="80"/>
  <c r="U13" i="80"/>
  <c r="S14" i="80"/>
  <c r="W14" i="80"/>
  <c r="S15" i="80"/>
  <c r="W15" i="80"/>
  <c r="S17" i="80"/>
  <c r="W17" i="80"/>
  <c r="S19" i="80"/>
  <c r="W19" i="80"/>
  <c r="S21" i="80"/>
  <c r="AB36" i="80"/>
  <c r="U36" i="80"/>
  <c r="AB40" i="80"/>
  <c r="U40" i="80"/>
  <c r="E7" i="80"/>
  <c r="F7" i="80" s="1"/>
  <c r="G7" i="80"/>
  <c r="H7" i="80" s="1"/>
  <c r="I7" i="80"/>
  <c r="J7" i="80" s="1"/>
  <c r="U9" i="80"/>
  <c r="S10" i="80"/>
  <c r="W10" i="80"/>
  <c r="F11" i="80"/>
  <c r="U12" i="80"/>
  <c r="S13" i="80"/>
  <c r="W13" i="80"/>
  <c r="U14" i="80"/>
  <c r="U15" i="80"/>
  <c r="U17" i="80"/>
  <c r="U19" i="80"/>
  <c r="W21" i="80"/>
  <c r="AA23" i="80"/>
  <c r="S23" i="80"/>
  <c r="AC23" i="80"/>
  <c r="W23" i="80"/>
  <c r="AC36" i="80"/>
  <c r="W36" i="80"/>
  <c r="U21" i="80"/>
  <c r="U23" i="80"/>
  <c r="S25" i="80"/>
  <c r="W25" i="80"/>
  <c r="U26" i="80"/>
  <c r="S27" i="80"/>
  <c r="W27" i="80"/>
  <c r="U28" i="80"/>
  <c r="S29" i="80"/>
  <c r="W29" i="80"/>
  <c r="U30" i="80"/>
  <c r="S31" i="80"/>
  <c r="W31" i="80"/>
  <c r="U32" i="80"/>
  <c r="S33" i="80"/>
  <c r="W33" i="80"/>
  <c r="U34" i="80"/>
  <c r="S35" i="80"/>
  <c r="W35" i="80"/>
  <c r="F36" i="80"/>
  <c r="S37" i="80"/>
  <c r="W37" i="80"/>
  <c r="U38" i="80"/>
  <c r="S39" i="80"/>
  <c r="W39" i="80"/>
  <c r="F40" i="80"/>
  <c r="J40" i="80"/>
  <c r="U41" i="80"/>
  <c r="S42" i="80"/>
  <c r="W42" i="80"/>
  <c r="U43" i="80"/>
  <c r="S44" i="80"/>
  <c r="W44" i="80"/>
  <c r="U45" i="80"/>
  <c r="S46" i="80"/>
  <c r="W46" i="80"/>
  <c r="G54" i="80"/>
  <c r="H54" i="80" s="1"/>
  <c r="U25" i="80"/>
  <c r="S26" i="80"/>
  <c r="W26" i="80"/>
  <c r="U27" i="80"/>
  <c r="S28" i="80"/>
  <c r="W28" i="80"/>
  <c r="U29" i="80"/>
  <c r="S30" i="80"/>
  <c r="W30" i="80"/>
  <c r="U31" i="80"/>
  <c r="S32" i="80"/>
  <c r="W32" i="80"/>
  <c r="U33" i="80"/>
  <c r="S34" i="80"/>
  <c r="W34" i="80"/>
  <c r="U35" i="80"/>
  <c r="U37" i="80"/>
  <c r="S38" i="80"/>
  <c r="W38" i="80"/>
  <c r="U39" i="80"/>
  <c r="S41" i="80"/>
  <c r="W41" i="80"/>
  <c r="U42" i="80"/>
  <c r="S43" i="80"/>
  <c r="W43" i="80"/>
  <c r="U44" i="80"/>
  <c r="S45" i="80"/>
  <c r="W45" i="80"/>
  <c r="U46" i="80"/>
  <c r="I54" i="80"/>
  <c r="J54" i="80" s="1"/>
  <c r="E54" i="80"/>
  <c r="F54" i="80" s="1"/>
  <c r="E47" i="33"/>
  <c r="G47" i="33"/>
  <c r="G36" i="33"/>
  <c r="I7" i="33"/>
  <c r="G7" i="33"/>
  <c r="E7" i="33"/>
  <c r="C40" i="33"/>
  <c r="C36" i="33"/>
  <c r="P11" i="81" l="1"/>
  <c r="P12" i="81"/>
  <c r="P10" i="81"/>
  <c r="AC40" i="80"/>
  <c r="W40" i="80"/>
  <c r="W7" i="80"/>
  <c r="AC7" i="80"/>
  <c r="AA40" i="80"/>
  <c r="S40" i="80"/>
  <c r="AA36" i="80"/>
  <c r="S36" i="80"/>
  <c r="AB7" i="80"/>
  <c r="U7" i="80"/>
  <c r="AA11" i="80"/>
  <c r="S11" i="80"/>
  <c r="S7" i="80"/>
  <c r="AA7" i="80"/>
  <c r="AB11" i="80"/>
  <c r="U11" i="80"/>
  <c r="C11" i="33"/>
  <c r="Y7" i="1"/>
  <c r="Y6" i="1"/>
  <c r="W7" i="1"/>
  <c r="V7" i="1"/>
  <c r="N7" i="1"/>
  <c r="N6" i="1"/>
  <c r="J7" i="1"/>
  <c r="I7" i="1"/>
  <c r="H7" i="1"/>
  <c r="F20" i="6"/>
  <c r="F19" i="6"/>
  <c r="H252" i="78"/>
  <c r="G252" i="78"/>
  <c r="V48" i="80" l="1"/>
  <c r="I48" i="80" s="1"/>
  <c r="I52" i="80" s="1"/>
  <c r="J52" i="80" s="1"/>
  <c r="R48" i="80"/>
  <c r="E48" i="80" s="1"/>
  <c r="T48" i="80"/>
  <c r="G48" i="80" s="1"/>
  <c r="B7" i="4"/>
  <c r="I53" i="80" l="1"/>
  <c r="J53" i="80" s="1"/>
  <c r="R49" i="80"/>
  <c r="E53" i="80"/>
  <c r="F53" i="80" s="1"/>
  <c r="E52" i="80"/>
  <c r="F52" i="80" s="1"/>
  <c r="G53" i="80"/>
  <c r="H53" i="80" s="1"/>
  <c r="G52" i="80"/>
  <c r="H52" i="80" s="1"/>
  <c r="N6" i="7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E6" i="71" s="1"/>
  <c r="E5" i="71" s="1"/>
  <c r="O8" i="71"/>
  <c r="N8" i="71"/>
  <c r="A2" i="53"/>
  <c r="K59" i="67"/>
  <c r="P61" i="67" s="1"/>
  <c r="K59" i="15"/>
  <c r="P74" i="15" s="1"/>
  <c r="P61" i="15"/>
  <c r="D116" i="39"/>
  <c r="E116" i="39"/>
  <c r="F116" i="39"/>
  <c r="G116" i="39"/>
  <c r="H116" i="39"/>
  <c r="I116" i="39"/>
  <c r="J116" i="39"/>
  <c r="K116" i="39"/>
  <c r="L116" i="39"/>
  <c r="M116" i="39"/>
  <c r="C116" i="39"/>
  <c r="A21" i="62"/>
  <c r="A20" i="62"/>
  <c r="A22" i="51"/>
  <c r="A21" i="51"/>
  <c r="A20" i="51"/>
  <c r="A14" i="62"/>
  <c r="B60" i="72" s="1"/>
  <c r="A13" i="62"/>
  <c r="A19" i="62"/>
  <c r="A12" i="62"/>
  <c r="A120" i="9"/>
  <c r="H2" i="52"/>
  <c r="A1" i="52"/>
  <c r="A3" i="53"/>
  <c r="Q9" i="71"/>
  <c r="P9" i="71"/>
  <c r="O9" i="71"/>
  <c r="N9" i="71"/>
  <c r="D5" i="43"/>
  <c r="A15" i="5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59" i="72"/>
  <c r="B58" i="72"/>
  <c r="B67" i="72"/>
  <c r="B66" i="72"/>
  <c r="B12" i="72"/>
  <c r="B10" i="72"/>
  <c r="C53" i="10"/>
  <c r="B51" i="10"/>
  <c r="B19" i="72"/>
  <c r="A18" i="51"/>
  <c r="B13" i="72" s="1"/>
  <c r="C8" i="68"/>
  <c r="B49" i="48"/>
  <c r="B5" i="72" s="1"/>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E51" i="71"/>
  <c r="P51" i="71" s="1"/>
  <c r="C51" i="71"/>
  <c r="B51" i="71"/>
  <c r="S51" i="71"/>
  <c r="B50" i="71"/>
  <c r="D48" i="71"/>
  <c r="Q47" i="71"/>
  <c r="P47" i="71"/>
  <c r="O47" i="71"/>
  <c r="N47" i="71"/>
  <c r="Q46" i="71"/>
  <c r="P46" i="71"/>
  <c r="O46" i="71"/>
  <c r="N46" i="71"/>
  <c r="Q45" i="71"/>
  <c r="P45" i="71"/>
  <c r="O45" i="71"/>
  <c r="N45" i="71"/>
  <c r="Q44" i="71"/>
  <c r="F45" i="71" s="1"/>
  <c r="F46" i="71"/>
  <c r="F47" i="71" s="1"/>
  <c r="V47" i="71" s="1"/>
  <c r="P44" i="71"/>
  <c r="E45" i="71"/>
  <c r="O44" i="71"/>
  <c r="C45" i="71"/>
  <c r="N44" i="71"/>
  <c r="B45" i="71"/>
  <c r="B46" i="71" s="1"/>
  <c r="B47" i="71"/>
  <c r="S47" i="71" s="1"/>
  <c r="D44" i="71"/>
  <c r="Q43" i="71"/>
  <c r="P43" i="71"/>
  <c r="O43" i="71"/>
  <c r="N43" i="71"/>
  <c r="Q42" i="71"/>
  <c r="P42" i="71"/>
  <c r="O42" i="71"/>
  <c r="N42" i="71"/>
  <c r="Q41" i="71"/>
  <c r="P41" i="71"/>
  <c r="O41" i="71"/>
  <c r="N41" i="71"/>
  <c r="Q40" i="71"/>
  <c r="F41" i="71"/>
  <c r="F42" i="71" s="1"/>
  <c r="F43" i="71"/>
  <c r="V43" i="71" s="1"/>
  <c r="P40" i="71"/>
  <c r="E41" i="71" s="1"/>
  <c r="O40" i="71"/>
  <c r="C41" i="71" s="1"/>
  <c r="N40" i="71"/>
  <c r="B41" i="71" s="1"/>
  <c r="B42" i="71"/>
  <c r="B43" i="71" s="1"/>
  <c r="S43" i="71" s="1"/>
  <c r="D40" i="71"/>
  <c r="Q39" i="71"/>
  <c r="P39" i="71"/>
  <c r="O39" i="71"/>
  <c r="N39" i="71"/>
  <c r="Q38" i="71"/>
  <c r="P38" i="71"/>
  <c r="O38" i="71"/>
  <c r="N38" i="71"/>
  <c r="Q37" i="71"/>
  <c r="P37" i="71"/>
  <c r="O37" i="71"/>
  <c r="N37" i="71"/>
  <c r="Q36" i="71"/>
  <c r="F37" i="71"/>
  <c r="F38" i="71" s="1"/>
  <c r="F39" i="71"/>
  <c r="V39" i="71" s="1"/>
  <c r="P36" i="71"/>
  <c r="E37" i="71" s="1"/>
  <c r="O36" i="71"/>
  <c r="C37" i="71" s="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AA16" i="71" s="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AA13" i="71" s="1"/>
  <c r="O14" i="71"/>
  <c r="Y14" i="71"/>
  <c r="Z14" i="71" s="1"/>
  <c r="N14" i="71"/>
  <c r="X12" i="71" s="1"/>
  <c r="Q13" i="71"/>
  <c r="AB13" i="71"/>
  <c r="P13" i="71"/>
  <c r="O13" i="71"/>
  <c r="Y13" i="71" s="1"/>
  <c r="Z13" i="71" s="1"/>
  <c r="N13" i="71"/>
  <c r="Q12" i="71"/>
  <c r="F13" i="71" s="1"/>
  <c r="F14" i="71" s="1"/>
  <c r="F15" i="71" s="1"/>
  <c r="V15" i="71" s="1"/>
  <c r="P12" i="71"/>
  <c r="O12" i="71"/>
  <c r="Y12" i="71" s="1"/>
  <c r="Z12" i="71" s="1"/>
  <c r="N12" i="71"/>
  <c r="D12" i="71"/>
  <c r="O11" i="71"/>
  <c r="N11" i="71"/>
  <c r="B11" i="71" s="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AA20" i="71"/>
  <c r="N51" i="71"/>
  <c r="E17" i="71"/>
  <c r="E18" i="71"/>
  <c r="E19" i="71" s="1"/>
  <c r="U19" i="71" s="1"/>
  <c r="C13" i="71"/>
  <c r="C14" i="71" s="1"/>
  <c r="X13" i="71"/>
  <c r="X14" i="71"/>
  <c r="X15" i="71"/>
  <c r="C17" i="71"/>
  <c r="C18" i="71" s="1"/>
  <c r="Y16" i="71"/>
  <c r="Z16" i="71" s="1"/>
  <c r="AB16" i="71"/>
  <c r="AA17" i="71"/>
  <c r="AA18" i="71"/>
  <c r="X19" i="71"/>
  <c r="AA19" i="71"/>
  <c r="C21" i="71"/>
  <c r="Y20" i="71"/>
  <c r="Z20" i="71" s="1"/>
  <c r="AB20" i="71"/>
  <c r="X21" i="71"/>
  <c r="AA21" i="71"/>
  <c r="F34" i="71"/>
  <c r="F35" i="71"/>
  <c r="V35" i="71" s="1"/>
  <c r="C11" i="71"/>
  <c r="T11" i="71" s="1"/>
  <c r="X8" i="71"/>
  <c r="X10" i="71"/>
  <c r="X3" i="71"/>
  <c r="X11" i="71"/>
  <c r="D13" i="71"/>
  <c r="C22" i="71"/>
  <c r="D22" i="71" s="1"/>
  <c r="D21" i="71"/>
  <c r="P11" i="71"/>
  <c r="E38" i="71"/>
  <c r="E39" i="71" s="1"/>
  <c r="U39" i="71" s="1"/>
  <c r="E42" i="71"/>
  <c r="E43" i="71"/>
  <c r="U43" i="71" s="1"/>
  <c r="E46" i="71"/>
  <c r="E47" i="71" s="1"/>
  <c r="U47" i="71" s="1"/>
  <c r="U51" i="71"/>
  <c r="E50" i="71"/>
  <c r="Q11" i="71"/>
  <c r="AB3" i="71" s="1"/>
  <c r="C42" i="71"/>
  <c r="D41" i="71"/>
  <c r="C46" i="71"/>
  <c r="D45" i="71"/>
  <c r="N50" i="71"/>
  <c r="B49" i="71"/>
  <c r="N48" i="71" s="1"/>
  <c r="T51" i="71"/>
  <c r="O51" i="71"/>
  <c r="D51" i="71"/>
  <c r="C50" i="71"/>
  <c r="Q51" i="71"/>
  <c r="C54" i="71"/>
  <c r="E54" i="71"/>
  <c r="E53" i="71" s="1"/>
  <c r="D55" i="71"/>
  <c r="C58" i="71"/>
  <c r="E58" i="71"/>
  <c r="E57" i="71" s="1"/>
  <c r="D59" i="71"/>
  <c r="C62" i="71"/>
  <c r="E62" i="71"/>
  <c r="E61" i="71" s="1"/>
  <c r="D63" i="71"/>
  <c r="C66" i="71"/>
  <c r="C70" i="71"/>
  <c r="D70" i="71" s="1"/>
  <c r="C10" i="71"/>
  <c r="F11" i="71"/>
  <c r="F10" i="71" s="1"/>
  <c r="F9" i="71" s="1"/>
  <c r="AB8" i="71"/>
  <c r="AB10" i="71"/>
  <c r="E11" i="71"/>
  <c r="E10" i="71" s="1"/>
  <c r="E9" i="71" s="1"/>
  <c r="AA3" i="71"/>
  <c r="AA8" i="71"/>
  <c r="AA9" i="71"/>
  <c r="AA10" i="71"/>
  <c r="AA11" i="71"/>
  <c r="D11" i="71"/>
  <c r="U11" i="71" s="1"/>
  <c r="C49" i="71"/>
  <c r="D49" i="71" s="1"/>
  <c r="O50" i="71"/>
  <c r="D50" i="71"/>
  <c r="C47" i="71"/>
  <c r="D46" i="71"/>
  <c r="D66" i="71"/>
  <c r="C65" i="71"/>
  <c r="D65" i="71" s="1"/>
  <c r="D58" i="71"/>
  <c r="C57" i="71"/>
  <c r="D57" i="71"/>
  <c r="N49" i="71"/>
  <c r="C69" i="71"/>
  <c r="D69" i="71" s="1"/>
  <c r="D62" i="71"/>
  <c r="C61" i="71"/>
  <c r="D61" i="71"/>
  <c r="D54" i="71"/>
  <c r="C53" i="71"/>
  <c r="D53" i="71" s="1"/>
  <c r="C43" i="71"/>
  <c r="T43" i="71" s="1"/>
  <c r="D42" i="71"/>
  <c r="P50" i="71"/>
  <c r="E49" i="71"/>
  <c r="C23" i="71"/>
  <c r="T23" i="71" s="1"/>
  <c r="C9" i="71"/>
  <c r="D9" i="71" s="1"/>
  <c r="D10" i="71"/>
  <c r="P48" i="71"/>
  <c r="P49" i="71"/>
  <c r="O49" i="71"/>
  <c r="O48" i="71"/>
  <c r="D23" i="71"/>
  <c r="D43" i="71"/>
  <c r="T47" i="71"/>
  <c r="D4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c r="D81" i="21"/>
  <c r="G20" i="20"/>
  <c r="B86" i="43" s="1"/>
  <c r="C22" i="20"/>
  <c r="B75" i="43" s="1"/>
  <c r="C25" i="40"/>
  <c r="S25" i="40"/>
  <c r="S29" i="39"/>
  <c r="S18" i="36"/>
  <c r="U18" i="36"/>
  <c r="S21" i="34"/>
  <c r="H25" i="40"/>
  <c r="J25" i="40"/>
  <c r="H29" i="39"/>
  <c r="AB29" i="39" s="1"/>
  <c r="J29" i="39"/>
  <c r="AC29" i="39" s="1"/>
  <c r="J18" i="36"/>
  <c r="AC18" i="36" s="1"/>
  <c r="H18" i="35"/>
  <c r="AB18" i="35" s="1"/>
  <c r="S18" i="35"/>
  <c r="G68" i="35"/>
  <c r="J18" i="35"/>
  <c r="F77" i="37"/>
  <c r="G77" i="37" s="1"/>
  <c r="H21" i="37"/>
  <c r="F21" i="37"/>
  <c r="AA21" i="37" s="1"/>
  <c r="H21" i="34"/>
  <c r="AB21" i="34" s="1"/>
  <c r="H21" i="33"/>
  <c r="U21" i="33" s="1"/>
  <c r="F21" i="33"/>
  <c r="AA21" i="33" s="1"/>
  <c r="E83" i="21"/>
  <c r="F83" i="21" s="1"/>
  <c r="S21" i="21"/>
  <c r="H1" i="69"/>
  <c r="AC25" i="40"/>
  <c r="W25" i="40"/>
  <c r="AB25" i="40"/>
  <c r="U25" i="40"/>
  <c r="U29" i="39"/>
  <c r="W29" i="39"/>
  <c r="W18" i="36"/>
  <c r="AB21" i="37"/>
  <c r="U21" i="37"/>
  <c r="U21" i="34"/>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B21" i="21"/>
  <c r="G83" i="21"/>
  <c r="J21" i="21"/>
  <c r="C40" i="69"/>
  <c r="F38" i="68"/>
  <c r="E37" i="68"/>
  <c r="F36" i="68"/>
  <c r="F35" i="68"/>
  <c r="F21" i="68"/>
  <c r="C21" i="68"/>
  <c r="F20" i="68"/>
  <c r="E10" i="68"/>
  <c r="E9" i="68"/>
  <c r="F7" i="68"/>
  <c r="C7" i="68" s="1"/>
  <c r="W21" i="21"/>
  <c r="AC21" i="21"/>
  <c r="C40" i="68"/>
  <c r="Q72" i="67"/>
  <c r="Q59" i="67"/>
  <c r="Q58" i="67"/>
  <c r="Q51" i="67"/>
  <c r="J50" i="67"/>
  <c r="M47" i="67"/>
  <c r="D46" i="67"/>
  <c r="F33" i="67"/>
  <c r="F61" i="67" s="1"/>
  <c r="F23" i="67"/>
  <c r="D22"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73" i="31"/>
  <c r="R274" i="31"/>
  <c r="U274" i="31" s="1"/>
  <c r="R275" i="31"/>
  <c r="R276" i="31"/>
  <c r="U276" i="31" s="1"/>
  <c r="R277" i="31"/>
  <c r="R278" i="31"/>
  <c r="U278" i="31" s="1"/>
  <c r="R279" i="31"/>
  <c r="R280" i="31"/>
  <c r="U280" i="31" s="1"/>
  <c r="R281" i="31"/>
  <c r="R282" i="31"/>
  <c r="U282" i="31" s="1"/>
  <c r="R283" i="31"/>
  <c r="R284" i="31"/>
  <c r="U284" i="31" s="1"/>
  <c r="R285" i="31"/>
  <c r="R286" i="31"/>
  <c r="U286" i="31" s="1"/>
  <c r="R287" i="31"/>
  <c r="R288" i="31"/>
  <c r="U288" i="31" s="1"/>
  <c r="R289" i="31"/>
  <c r="R290" i="31"/>
  <c r="U290" i="31" s="1"/>
  <c r="R291" i="31"/>
  <c r="R292" i="31"/>
  <c r="U292" i="31" s="1"/>
  <c r="R293" i="31"/>
  <c r="R294" i="31"/>
  <c r="U294" i="31" s="1"/>
  <c r="R295" i="31"/>
  <c r="R296" i="31"/>
  <c r="U296" i="31" s="1"/>
  <c r="R297" i="31"/>
  <c r="R298" i="31"/>
  <c r="U298" i="31" s="1"/>
  <c r="R299" i="31"/>
  <c r="R300" i="31"/>
  <c r="U300" i="31" s="1"/>
  <c r="R301" i="31"/>
  <c r="R302" i="31"/>
  <c r="U302" i="31" s="1"/>
  <c r="R303" i="31"/>
  <c r="R304" i="31"/>
  <c r="U304" i="31" s="1"/>
  <c r="R305" i="31"/>
  <c r="R306" i="31"/>
  <c r="U306" i="31" s="1"/>
  <c r="R307" i="31"/>
  <c r="R308" i="31"/>
  <c r="U308" i="31" s="1"/>
  <c r="R309" i="31"/>
  <c r="R310" i="31"/>
  <c r="U310" i="31" s="1"/>
  <c r="R311" i="31"/>
  <c r="R312" i="31"/>
  <c r="U312" i="31" s="1"/>
  <c r="R313" i="31"/>
  <c r="R314" i="31"/>
  <c r="U314" i="31" s="1"/>
  <c r="R315" i="31"/>
  <c r="R316" i="31"/>
  <c r="U316" i="31" s="1"/>
  <c r="R317" i="31"/>
  <c r="R318" i="31"/>
  <c r="U318" i="31" s="1"/>
  <c r="R319" i="31"/>
  <c r="R320" i="31"/>
  <c r="U320" i="31" s="1"/>
  <c r="R321" i="31"/>
  <c r="R322" i="31"/>
  <c r="U322" i="31" s="1"/>
  <c r="R323" i="31"/>
  <c r="R324" i="31"/>
  <c r="U324" i="31" s="1"/>
  <c r="R325" i="31"/>
  <c r="R326" i="31"/>
  <c r="U326" i="31" s="1"/>
  <c r="R327" i="31"/>
  <c r="R328" i="31"/>
  <c r="U328" i="31" s="1"/>
  <c r="R329" i="31"/>
  <c r="R330" i="31"/>
  <c r="U330" i="31" s="1"/>
  <c r="R331" i="31"/>
  <c r="R332" i="31"/>
  <c r="U332" i="31" s="1"/>
  <c r="R333" i="31"/>
  <c r="R334" i="31"/>
  <c r="U334" i="31" s="1"/>
  <c r="R335" i="31"/>
  <c r="R336" i="31"/>
  <c r="U336" i="31" s="1"/>
  <c r="R337" i="31"/>
  <c r="R338" i="31"/>
  <c r="U338" i="31" s="1"/>
  <c r="R339" i="31"/>
  <c r="R340" i="31"/>
  <c r="U340" i="31" s="1"/>
  <c r="R341" i="31"/>
  <c r="R342" i="31"/>
  <c r="U342" i="31" s="1"/>
  <c r="R343" i="31"/>
  <c r="R344" i="31"/>
  <c r="U344" i="31" s="1"/>
  <c r="R345" i="31"/>
  <c r="R346" i="31"/>
  <c r="U346" i="31" s="1"/>
  <c r="R347" i="31"/>
  <c r="R348" i="31"/>
  <c r="U348" i="31" s="1"/>
  <c r="R349" i="31"/>
  <c r="R350" i="31"/>
  <c r="U350" i="31" s="1"/>
  <c r="R351" i="31"/>
  <c r="R352" i="31"/>
  <c r="U352" i="31" s="1"/>
  <c r="R353" i="31"/>
  <c r="R354" i="31"/>
  <c r="U354" i="31" s="1"/>
  <c r="R355" i="31"/>
  <c r="R356" i="31"/>
  <c r="U356" i="31" s="1"/>
  <c r="R357" i="31"/>
  <c r="R358" i="31"/>
  <c r="U358" i="31" s="1"/>
  <c r="R359" i="31"/>
  <c r="R360" i="31"/>
  <c r="U360" i="31" s="1"/>
  <c r="R361" i="31"/>
  <c r="R362" i="31"/>
  <c r="U362" i="31" s="1"/>
  <c r="R363" i="31"/>
  <c r="R364" i="31"/>
  <c r="U364" i="31" s="1"/>
  <c r="R365" i="31"/>
  <c r="R366" i="31"/>
  <c r="U366" i="31" s="1"/>
  <c r="R367" i="31"/>
  <c r="R368" i="31"/>
  <c r="U368" i="31" s="1"/>
  <c r="R369" i="31"/>
  <c r="R370" i="31"/>
  <c r="U370" i="31" s="1"/>
  <c r="R371" i="31"/>
  <c r="R372" i="31"/>
  <c r="U372" i="31" s="1"/>
  <c r="R373" i="31"/>
  <c r="R374" i="31"/>
  <c r="U374" i="31" s="1"/>
  <c r="R375" i="31"/>
  <c r="R376" i="31"/>
  <c r="U376" i="31" s="1"/>
  <c r="R377" i="31"/>
  <c r="R378" i="31"/>
  <c r="U378" i="31" s="1"/>
  <c r="R379" i="31"/>
  <c r="R380" i="31"/>
  <c r="U380" i="31" s="1"/>
  <c r="R381" i="31"/>
  <c r="R382" i="31"/>
  <c r="U382" i="31" s="1"/>
  <c r="R383" i="31"/>
  <c r="R384" i="31"/>
  <c r="U384" i="31" s="1"/>
  <c r="R385" i="31"/>
  <c r="R386" i="31"/>
  <c r="U386" i="31" s="1"/>
  <c r="R387" i="31"/>
  <c r="R388" i="31"/>
  <c r="U388" i="31" s="1"/>
  <c r="R389" i="31"/>
  <c r="R390" i="31"/>
  <c r="U390" i="31" s="1"/>
  <c r="R391" i="31"/>
  <c r="R392" i="31"/>
  <c r="U392" i="31" s="1"/>
  <c r="R393" i="31"/>
  <c r="R394" i="31"/>
  <c r="U394" i="31" s="1"/>
  <c r="R395" i="31"/>
  <c r="R396" i="31"/>
  <c r="U396" i="31" s="1"/>
  <c r="R397" i="31"/>
  <c r="R398" i="31"/>
  <c r="U398" i="31" s="1"/>
  <c r="R399" i="31"/>
  <c r="R400" i="31"/>
  <c r="U400" i="31" s="1"/>
  <c r="R401" i="31"/>
  <c r="R402" i="31"/>
  <c r="U402" i="31" s="1"/>
  <c r="R403" i="31"/>
  <c r="R404" i="31"/>
  <c r="U404" i="31" s="1"/>
  <c r="R405" i="31"/>
  <c r="R406" i="31"/>
  <c r="U406" i="31" s="1"/>
  <c r="R407" i="31"/>
  <c r="R408" i="31"/>
  <c r="U408" i="31" s="1"/>
  <c r="R409" i="31"/>
  <c r="R410" i="31"/>
  <c r="U410" i="31" s="1"/>
  <c r="R411" i="31"/>
  <c r="R412" i="31"/>
  <c r="U412" i="31" s="1"/>
  <c r="R413" i="31"/>
  <c r="R414" i="31"/>
  <c r="U414" i="31" s="1"/>
  <c r="R415" i="31"/>
  <c r="R416" i="31"/>
  <c r="U416" i="31" s="1"/>
  <c r="R417" i="31"/>
  <c r="R418" i="31"/>
  <c r="U418" i="31" s="1"/>
  <c r="R419" i="31"/>
  <c r="R420" i="31"/>
  <c r="U420" i="31" s="1"/>
  <c r="R421" i="31"/>
  <c r="R422" i="31"/>
  <c r="U422" i="31" s="1"/>
  <c r="R423" i="31"/>
  <c r="R424" i="31"/>
  <c r="U424" i="31" s="1"/>
  <c r="R425" i="31"/>
  <c r="U425" i="31" s="1"/>
  <c r="R426" i="31"/>
  <c r="U426" i="31" s="1"/>
  <c r="R427" i="31"/>
  <c r="U427" i="31" s="1"/>
  <c r="R428" i="31"/>
  <c r="U428" i="31" s="1"/>
  <c r="R429" i="31"/>
  <c r="U429" i="31" s="1"/>
  <c r="R430" i="31"/>
  <c r="U430" i="31" s="1"/>
  <c r="R431" i="31"/>
  <c r="U431" i="31" s="1"/>
  <c r="R432" i="31"/>
  <c r="U432" i="31" s="1"/>
  <c r="R433" i="31"/>
  <c r="U433" i="31" s="1"/>
  <c r="R434" i="31"/>
  <c r="U434" i="31" s="1"/>
  <c r="R435" i="31"/>
  <c r="U435" i="31" s="1"/>
  <c r="R436" i="31"/>
  <c r="U436" i="31" s="1"/>
  <c r="R437" i="31"/>
  <c r="U437" i="31" s="1"/>
  <c r="R438" i="31"/>
  <c r="U438" i="31" s="1"/>
  <c r="R439" i="31"/>
  <c r="U439" i="31" s="1"/>
  <c r="R440" i="31"/>
  <c r="U440" i="31" s="1"/>
  <c r="R441" i="31"/>
  <c r="U441" i="31" s="1"/>
  <c r="R442" i="31"/>
  <c r="U442" i="31" s="1"/>
  <c r="R443" i="31"/>
  <c r="U443" i="31" s="1"/>
  <c r="R444" i="31"/>
  <c r="U444" i="31" s="1"/>
  <c r="R445" i="31"/>
  <c r="U445" i="31" s="1"/>
  <c r="R446" i="31"/>
  <c r="U446" i="31" s="1"/>
  <c r="R447" i="31"/>
  <c r="U447" i="31" s="1"/>
  <c r="R448" i="31"/>
  <c r="U448" i="31" s="1"/>
  <c r="R449" i="31"/>
  <c r="U449" i="31" s="1"/>
  <c r="R450" i="31"/>
  <c r="U450" i="31" s="1"/>
  <c r="R451" i="31"/>
  <c r="U451" i="31" s="1"/>
  <c r="R452" i="31"/>
  <c r="U452" i="31" s="1"/>
  <c r="R453" i="31"/>
  <c r="U453" i="31" s="1"/>
  <c r="R454" i="31"/>
  <c r="U454" i="31" s="1"/>
  <c r="R455" i="31"/>
  <c r="U455" i="31" s="1"/>
  <c r="R456" i="31"/>
  <c r="U456" i="31" s="1"/>
  <c r="R457" i="31"/>
  <c r="U457" i="31" s="1"/>
  <c r="R458" i="31"/>
  <c r="U458" i="31" s="1"/>
  <c r="R459" i="31"/>
  <c r="U459" i="31" s="1"/>
  <c r="R460" i="31"/>
  <c r="U460" i="31" s="1"/>
  <c r="R461" i="31"/>
  <c r="U461" i="31" s="1"/>
  <c r="R462" i="31"/>
  <c r="U462" i="31" s="1"/>
  <c r="R463" i="31"/>
  <c r="U463" i="31" s="1"/>
  <c r="R464" i="31"/>
  <c r="U464" i="31" s="1"/>
  <c r="R465" i="31"/>
  <c r="U465" i="31" s="1"/>
  <c r="R466" i="31"/>
  <c r="U466" i="31" s="1"/>
  <c r="R467" i="31"/>
  <c r="U467" i="31" s="1"/>
  <c r="R468" i="31"/>
  <c r="U468" i="31" s="1"/>
  <c r="R469" i="31"/>
  <c r="U469" i="31" s="1"/>
  <c r="R470" i="31"/>
  <c r="U470" i="31" s="1"/>
  <c r="R471" i="31"/>
  <c r="U471" i="31" s="1"/>
  <c r="R472" i="31"/>
  <c r="U472" i="31" s="1"/>
  <c r="R473" i="31"/>
  <c r="U473" i="31" s="1"/>
  <c r="R474" i="31"/>
  <c r="U474" i="31" s="1"/>
  <c r="R475" i="31"/>
  <c r="U475" i="31" s="1"/>
  <c r="R476" i="31"/>
  <c r="U476" i="31" s="1"/>
  <c r="R477" i="31"/>
  <c r="U477" i="31" s="1"/>
  <c r="R478" i="31"/>
  <c r="U478" i="31" s="1"/>
  <c r="R479" i="31"/>
  <c r="U479" i="31" s="1"/>
  <c r="R480" i="31"/>
  <c r="U480" i="31" s="1"/>
  <c r="R481" i="31"/>
  <c r="U481" i="31" s="1"/>
  <c r="R482" i="31"/>
  <c r="U482" i="31" s="1"/>
  <c r="R483" i="31"/>
  <c r="U483" i="31" s="1"/>
  <c r="R484" i="31"/>
  <c r="U484" i="31" s="1"/>
  <c r="R485" i="31"/>
  <c r="U485" i="31" s="1"/>
  <c r="R486" i="31"/>
  <c r="U486" i="31" s="1"/>
  <c r="R487" i="31"/>
  <c r="U487" i="31" s="1"/>
  <c r="R488" i="31"/>
  <c r="U488" i="31" s="1"/>
  <c r="R489" i="31"/>
  <c r="U489" i="31" s="1"/>
  <c r="R490" i="31"/>
  <c r="U490" i="31" s="1"/>
  <c r="R491" i="31"/>
  <c r="U491" i="31" s="1"/>
  <c r="R492" i="31"/>
  <c r="U492" i="31" s="1"/>
  <c r="R493" i="31"/>
  <c r="U493" i="31" s="1"/>
  <c r="R494" i="31"/>
  <c r="U494" i="31" s="1"/>
  <c r="R495" i="31"/>
  <c r="U495" i="31" s="1"/>
  <c r="R496" i="31"/>
  <c r="U496" i="31" s="1"/>
  <c r="R497" i="31"/>
  <c r="U497" i="31" s="1"/>
  <c r="R498" i="31"/>
  <c r="U498" i="31" s="1"/>
  <c r="R499" i="31"/>
  <c r="U499" i="31" s="1"/>
  <c r="R500" i="31"/>
  <c r="U500" i="31" s="1"/>
  <c r="R501" i="31"/>
  <c r="U501" i="31" s="1"/>
  <c r="R502" i="31"/>
  <c r="U502" i="31" s="1"/>
  <c r="R503" i="31"/>
  <c r="U503" i="31" s="1"/>
  <c r="R504" i="31"/>
  <c r="U504" i="31" s="1"/>
  <c r="R505" i="31"/>
  <c r="U505" i="31" s="1"/>
  <c r="R506" i="31"/>
  <c r="U506" i="31" s="1"/>
  <c r="R507" i="31"/>
  <c r="U507" i="31" s="1"/>
  <c r="R508" i="31"/>
  <c r="U508" i="31" s="1"/>
  <c r="R509" i="31"/>
  <c r="U509" i="31" s="1"/>
  <c r="R510" i="31"/>
  <c r="U510" i="31" s="1"/>
  <c r="R511" i="31"/>
  <c r="U511" i="31" s="1"/>
  <c r="R512" i="31"/>
  <c r="U512" i="31" s="1"/>
  <c r="R513" i="31"/>
  <c r="U513" i="31" s="1"/>
  <c r="R514" i="31"/>
  <c r="U514" i="31" s="1"/>
  <c r="R515" i="31"/>
  <c r="U515" i="31" s="1"/>
  <c r="R516" i="31"/>
  <c r="U516" i="31" s="1"/>
  <c r="R517" i="31"/>
  <c r="U517" i="31" s="1"/>
  <c r="R518" i="31"/>
  <c r="U518" i="31" s="1"/>
  <c r="R519" i="31"/>
  <c r="U519" i="31" s="1"/>
  <c r="R520" i="31"/>
  <c r="U520" i="31" s="1"/>
  <c r="R521" i="31"/>
  <c r="U521" i="31" s="1"/>
  <c r="R522" i="31"/>
  <c r="U522" i="31" s="1"/>
  <c r="R523" i="31"/>
  <c r="U523" i="31" s="1"/>
  <c r="R524" i="31"/>
  <c r="U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C18" i="9" s="1"/>
  <c r="D18" i="9" s="1"/>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429" i="31"/>
  <c r="S428" i="31"/>
  <c r="S427" i="31"/>
  <c r="S426" i="31"/>
  <c r="S425"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BC526" i="3"/>
  <c r="BD526" i="3"/>
  <c r="BE526" i="3"/>
  <c r="BF526" i="3"/>
  <c r="BF5" i="3" s="1"/>
  <c r="BG526" i="3"/>
  <c r="BH526" i="3"/>
  <c r="BI526" i="3"/>
  <c r="BJ526" i="3"/>
  <c r="BJ5" i="3" s="1"/>
  <c r="BK526" i="3"/>
  <c r="BM526" i="3"/>
  <c r="BM5" i="3" s="1"/>
  <c r="BN526" i="3"/>
  <c r="BO526" i="3"/>
  <c r="BP526" i="3"/>
  <c r="BQ526" i="3"/>
  <c r="BR526" i="3"/>
  <c r="BS526" i="3"/>
  <c r="BS5" i="3" s="1"/>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G5" i="3" s="1"/>
  <c r="BH528" i="3"/>
  <c r="BI528" i="3"/>
  <c r="BJ528" i="3"/>
  <c r="BK528" i="3"/>
  <c r="BK5" i="3" s="1"/>
  <c r="BM528" i="3"/>
  <c r="BN528" i="3"/>
  <c r="BN5" i="3" s="1"/>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L546" i="3" s="1"/>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A570" i="3" s="1"/>
  <c r="BC570" i="3"/>
  <c r="BD570" i="3"/>
  <c r="BE570" i="3"/>
  <c r="BF570" i="3"/>
  <c r="BG570" i="3"/>
  <c r="BH570" i="3"/>
  <c r="BI570" i="3"/>
  <c r="BJ570" i="3"/>
  <c r="BK570" i="3"/>
  <c r="BM570" i="3"/>
  <c r="BL570" i="3" s="1"/>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G572" i="3" s="1"/>
  <c r="BB572" i="3"/>
  <c r="BC572" i="3"/>
  <c r="BA572" i="3" s="1"/>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AC41" i="33" s="1"/>
  <c r="D113" i="33"/>
  <c r="D111" i="33"/>
  <c r="E111" i="33" s="1"/>
  <c r="F111" i="33" s="1"/>
  <c r="G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E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F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U14" i="39" s="1"/>
  <c r="B84" i="39"/>
  <c r="B82" i="39"/>
  <c r="J12" i="39" s="1"/>
  <c r="AC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F96" i="37" s="1"/>
  <c r="G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F12" i="36" s="1"/>
  <c r="S12" i="36" s="1"/>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J25" i="35" s="1"/>
  <c r="AC25" i="35" s="1"/>
  <c r="B75" i="35"/>
  <c r="J24" i="35"/>
  <c r="AC24" i="35" s="1"/>
  <c r="B73" i="35"/>
  <c r="B57" i="35"/>
  <c r="B61" i="35"/>
  <c r="F13" i="35" s="1"/>
  <c r="B59" i="35"/>
  <c r="B131" i="34"/>
  <c r="H47" i="34" s="1"/>
  <c r="AB47" i="34" s="1"/>
  <c r="B129" i="34"/>
  <c r="B127" i="34"/>
  <c r="H45" i="34" s="1"/>
  <c r="B99" i="34"/>
  <c r="B97" i="34"/>
  <c r="J31" i="34" s="1"/>
  <c r="B95" i="34"/>
  <c r="B93" i="34"/>
  <c r="F29" i="34" s="1"/>
  <c r="AA29" i="34" s="1"/>
  <c r="B75" i="34"/>
  <c r="B73" i="34"/>
  <c r="B71" i="34"/>
  <c r="B130" i="33"/>
  <c r="B128" i="33"/>
  <c r="B126" i="33"/>
  <c r="H44" i="33" s="1"/>
  <c r="U44" i="33" s="1"/>
  <c r="B98" i="33"/>
  <c r="B96" i="33"/>
  <c r="H30" i="33" s="1"/>
  <c r="B94" i="33"/>
  <c r="B74" i="33"/>
  <c r="B72" i="33"/>
  <c r="B70" i="33"/>
  <c r="J12" i="33" s="1"/>
  <c r="AC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G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F79" i="33" s="1"/>
  <c r="G79" i="33" s="1"/>
  <c r="D77" i="33"/>
  <c r="E77" i="33" s="1"/>
  <c r="D69" i="33"/>
  <c r="E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s="1"/>
  <c r="W41" i="33"/>
  <c r="Q41" i="33"/>
  <c r="Z41" i="33" s="1"/>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B74" i="43" s="1"/>
  <c r="C20" i="20"/>
  <c r="B77" i="43"/>
  <c r="C18" i="20"/>
  <c r="B71" i="43" s="1"/>
  <c r="C17" i="20"/>
  <c r="B59" i="43"/>
  <c r="C16" i="20"/>
  <c r="C17" i="39" s="1"/>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F19" i="21"/>
  <c r="AA19" i="21"/>
  <c r="E81" i="21"/>
  <c r="F81" i="21"/>
  <c r="G81" i="21" s="1"/>
  <c r="D77" i="21"/>
  <c r="E77" i="21" s="1"/>
  <c r="B130" i="21"/>
  <c r="H46" i="21" s="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F26" i="21"/>
  <c r="S26" i="21" s="1"/>
  <c r="AB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29" i="36"/>
  <c r="W8" i="36"/>
  <c r="F16" i="36"/>
  <c r="AA16" i="36"/>
  <c r="U9" i="36"/>
  <c r="W28" i="36"/>
  <c r="S30" i="36"/>
  <c r="AA31" i="36"/>
  <c r="AC31" i="36"/>
  <c r="W31" i="36"/>
  <c r="J33" i="36"/>
  <c r="H22" i="35"/>
  <c r="AC27" i="35"/>
  <c r="W28" i="35"/>
  <c r="U31" i="35"/>
  <c r="W34" i="35"/>
  <c r="W36" i="35"/>
  <c r="W22" i="35"/>
  <c r="S31" i="35"/>
  <c r="U34" i="35"/>
  <c r="F36" i="34"/>
  <c r="J35" i="34"/>
  <c r="W35" i="34" s="1"/>
  <c r="S34" i="34"/>
  <c r="U34" i="34"/>
  <c r="H39" i="33"/>
  <c r="F26" i="33"/>
  <c r="S9" i="33"/>
  <c r="S40" i="33"/>
  <c r="W33" i="33"/>
  <c r="H39" i="37"/>
  <c r="AB39" i="37" s="1"/>
  <c r="S27" i="35"/>
  <c r="F11" i="40"/>
  <c r="AA11" i="40"/>
  <c r="H11" i="40"/>
  <c r="AB11" i="40"/>
  <c r="W8" i="40"/>
  <c r="AC40" i="40"/>
  <c r="AA9" i="40"/>
  <c r="AC9" i="40"/>
  <c r="U9" i="40"/>
  <c r="S34" i="40"/>
  <c r="S40" i="40"/>
  <c r="W31" i="40"/>
  <c r="U34" i="40"/>
  <c r="U40" i="40"/>
  <c r="F42" i="39"/>
  <c r="AA42" i="39" s="1"/>
  <c r="F41" i="39"/>
  <c r="S41" i="39" s="1"/>
  <c r="H40" i="39"/>
  <c r="H39" i="39"/>
  <c r="S38" i="39"/>
  <c r="S34" i="39"/>
  <c r="H34" i="39"/>
  <c r="U34" i="39" s="1"/>
  <c r="E109" i="39"/>
  <c r="H31" i="39"/>
  <c r="AB31" i="39"/>
  <c r="F31" i="39"/>
  <c r="AA31" i="39"/>
  <c r="H19" i="39"/>
  <c r="AB19" i="39" s="1"/>
  <c r="F19" i="39"/>
  <c r="AA19" i="39" s="1"/>
  <c r="H17" i="39"/>
  <c r="AB17" i="39" s="1"/>
  <c r="F17" i="39"/>
  <c r="J23" i="40"/>
  <c r="F21" i="40"/>
  <c r="J21" i="40"/>
  <c r="W21" i="40" s="1"/>
  <c r="H42" i="39"/>
  <c r="J34" i="39"/>
  <c r="AC34" i="39" s="1"/>
  <c r="F109" i="39"/>
  <c r="G109" i="39" s="1"/>
  <c r="H109" i="39" s="1"/>
  <c r="I109" i="39" s="1"/>
  <c r="J109" i="39" s="1"/>
  <c r="K109" i="39" s="1"/>
  <c r="L109" i="39" s="1"/>
  <c r="M109" i="39" s="1"/>
  <c r="J31" i="39"/>
  <c r="W31" i="39" s="1"/>
  <c r="H27" i="39"/>
  <c r="U27" i="39" s="1"/>
  <c r="J19" i="39"/>
  <c r="J17" i="39"/>
  <c r="W17" i="39" s="1"/>
  <c r="J27" i="39"/>
  <c r="AC27" i="39"/>
  <c r="F27" i="39"/>
  <c r="F11" i="21"/>
  <c r="S40" i="21"/>
  <c r="U34" i="21"/>
  <c r="S34" i="21"/>
  <c r="C25" i="39"/>
  <c r="H11" i="39"/>
  <c r="AB11" i="39" s="1"/>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H30" i="35"/>
  <c r="F22" i="35"/>
  <c r="AA22" i="35" s="1"/>
  <c r="H10" i="35"/>
  <c r="U10" i="35" s="1"/>
  <c r="AC16" i="36"/>
  <c r="F33" i="36"/>
  <c r="AA33" i="36"/>
  <c r="W30" i="36"/>
  <c r="H16" i="36"/>
  <c r="E85" i="36"/>
  <c r="F85" i="36" s="1"/>
  <c r="G85" i="36"/>
  <c r="H85" i="36" s="1"/>
  <c r="I85" i="36" s="1"/>
  <c r="J85" i="36" s="1"/>
  <c r="K85" i="36" s="1"/>
  <c r="L85" i="36" s="1"/>
  <c r="M85" i="36" s="1"/>
  <c r="J29" i="36"/>
  <c r="AC29" i="36"/>
  <c r="F24" i="36"/>
  <c r="F34" i="36"/>
  <c r="S34" i="36" s="1"/>
  <c r="S10" i="36"/>
  <c r="AB8" i="36"/>
  <c r="S8" i="36"/>
  <c r="U8" i="35"/>
  <c r="F14" i="35"/>
  <c r="F23" i="35"/>
  <c r="AA23" i="35" s="1"/>
  <c r="J32" i="35"/>
  <c r="AC32" i="35" s="1"/>
  <c r="J16" i="35"/>
  <c r="AC16" i="35" s="1"/>
  <c r="H16" i="35"/>
  <c r="U16" i="35" s="1"/>
  <c r="F16" i="35"/>
  <c r="H14" i="35"/>
  <c r="J29" i="35"/>
  <c r="AC29" i="35" s="1"/>
  <c r="H33" i="35"/>
  <c r="AB33" i="35"/>
  <c r="AC8" i="35"/>
  <c r="J20" i="35"/>
  <c r="F35" i="37"/>
  <c r="S35" i="37" s="1"/>
  <c r="E101" i="37"/>
  <c r="F101" i="37" s="1"/>
  <c r="G101" i="37"/>
  <c r="H101" i="37" s="1"/>
  <c r="I101" i="37" s="1"/>
  <c r="J101" i="37" s="1"/>
  <c r="K101" i="37" s="1"/>
  <c r="L101" i="37" s="1"/>
  <c r="M101" i="37" s="1"/>
  <c r="J34" i="37"/>
  <c r="W34" i="37"/>
  <c r="S10" i="37"/>
  <c r="AB34" i="37"/>
  <c r="J33" i="37"/>
  <c r="AC33" i="37" s="1"/>
  <c r="U42" i="34"/>
  <c r="H40" i="34"/>
  <c r="U40" i="34"/>
  <c r="E114" i="34"/>
  <c r="H36" i="34"/>
  <c r="F37" i="34"/>
  <c r="S35" i="34"/>
  <c r="F28" i="34"/>
  <c r="AA28" i="34"/>
  <c r="F25" i="34"/>
  <c r="S25" i="34"/>
  <c r="H23" i="34"/>
  <c r="U23" i="34"/>
  <c r="J23" i="34"/>
  <c r="F19" i="34"/>
  <c r="AA19" i="34" s="1"/>
  <c r="H17" i="34"/>
  <c r="U17" i="34"/>
  <c r="F15" i="34"/>
  <c r="J15" i="34"/>
  <c r="AC15" i="34" s="1"/>
  <c r="H15" i="34"/>
  <c r="AB15" i="34"/>
  <c r="S9" i="34"/>
  <c r="W8" i="34"/>
  <c r="J28" i="34"/>
  <c r="W28" i="34"/>
  <c r="F41" i="33"/>
  <c r="AA41" i="33" s="1"/>
  <c r="E113" i="33"/>
  <c r="F113" i="33" s="1"/>
  <c r="F32" i="33"/>
  <c r="AA32" i="33" s="1"/>
  <c r="J19" i="33"/>
  <c r="AC19" i="33" s="1"/>
  <c r="U40" i="33"/>
  <c r="U8" i="33"/>
  <c r="S8" i="33"/>
  <c r="F37" i="40"/>
  <c r="AA37" i="40" s="1"/>
  <c r="F36" i="40"/>
  <c r="AA36" i="40" s="1"/>
  <c r="H28" i="40"/>
  <c r="F23" i="40"/>
  <c r="AA23" i="40" s="1"/>
  <c r="F17" i="40"/>
  <c r="J17" i="40"/>
  <c r="F15" i="40"/>
  <c r="H15" i="40"/>
  <c r="AC11" i="40"/>
  <c r="AA12" i="36"/>
  <c r="AB30" i="36"/>
  <c r="AC34"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s="1"/>
  <c r="F28" i="40"/>
  <c r="AA28" i="40"/>
  <c r="AA29" i="35"/>
  <c r="AA42" i="34"/>
  <c r="S42" i="34"/>
  <c r="AC38" i="34"/>
  <c r="AA38" i="34"/>
  <c r="J37" i="34"/>
  <c r="AC37" i="34"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U46" i="21"/>
  <c r="E119" i="21"/>
  <c r="F119" i="21"/>
  <c r="G119" i="21" s="1"/>
  <c r="H119" i="21" s="1"/>
  <c r="I119" i="21" s="1"/>
  <c r="J119" i="21" s="1"/>
  <c r="K119" i="21" s="1"/>
  <c r="L119" i="21" s="1"/>
  <c r="M119" i="21" s="1"/>
  <c r="H26" i="33"/>
  <c r="H28" i="33"/>
  <c r="U28" i="33" s="1"/>
  <c r="F28" i="33"/>
  <c r="J28" i="33"/>
  <c r="W28" i="33" s="1"/>
  <c r="F33" i="35"/>
  <c r="S33" i="35" s="1"/>
  <c r="J33" i="35"/>
  <c r="AC33" i="35" s="1"/>
  <c r="F30" i="35"/>
  <c r="E89" i="35"/>
  <c r="F89" i="35" s="1"/>
  <c r="G89" i="35"/>
  <c r="H89" i="35" s="1"/>
  <c r="I89" i="35" s="1"/>
  <c r="J89" i="35" s="1"/>
  <c r="K89" i="35" s="1"/>
  <c r="L89" i="35" s="1"/>
  <c r="M89" i="35" s="1"/>
  <c r="H10" i="36"/>
  <c r="AB10" i="36"/>
  <c r="J14" i="36"/>
  <c r="AC14" i="36"/>
  <c r="H14" i="36"/>
  <c r="U14" i="36"/>
  <c r="F28" i="36"/>
  <c r="AA28" i="36"/>
  <c r="J13" i="21"/>
  <c r="AC13" i="21"/>
  <c r="H29" i="21"/>
  <c r="U29" i="21"/>
  <c r="J31" i="21"/>
  <c r="AC31" i="21"/>
  <c r="F31" i="21"/>
  <c r="S31" i="21"/>
  <c r="F45" i="21"/>
  <c r="AA45" i="21"/>
  <c r="F27" i="33"/>
  <c r="AA27" i="33" s="1"/>
  <c r="J13" i="33"/>
  <c r="H13" i="33"/>
  <c r="AB13" i="33" s="1"/>
  <c r="F13" i="33"/>
  <c r="J29" i="33"/>
  <c r="H29" i="33"/>
  <c r="F29" i="33"/>
  <c r="S29" i="33" s="1"/>
  <c r="J31" i="33"/>
  <c r="W31" i="33" s="1"/>
  <c r="H31" i="33"/>
  <c r="AB31" i="33" s="1"/>
  <c r="F31" i="33"/>
  <c r="H45" i="33"/>
  <c r="U45" i="33" s="1"/>
  <c r="J45" i="33"/>
  <c r="F45" i="33"/>
  <c r="J14" i="34"/>
  <c r="F14" i="34"/>
  <c r="S14" i="34" s="1"/>
  <c r="H14" i="34"/>
  <c r="U14" i="34" s="1"/>
  <c r="H30" i="34"/>
  <c r="F30" i="34"/>
  <c r="J30" i="34"/>
  <c r="H32" i="34"/>
  <c r="U32" i="34" s="1"/>
  <c r="F32" i="34"/>
  <c r="J32" i="34"/>
  <c r="W32" i="34" s="1"/>
  <c r="H46" i="34"/>
  <c r="U46" i="34" s="1"/>
  <c r="F46" i="34"/>
  <c r="S46" i="34" s="1"/>
  <c r="J46" i="34"/>
  <c r="H11" i="35"/>
  <c r="U11" i="35" s="1"/>
  <c r="J11" i="35"/>
  <c r="F11" i="35"/>
  <c r="J26" i="36"/>
  <c r="W26" i="36" s="1"/>
  <c r="H28" i="36"/>
  <c r="U28" i="36" s="1"/>
  <c r="H32" i="36"/>
  <c r="AB32" i="36" s="1"/>
  <c r="J32" i="36"/>
  <c r="W32" i="36" s="1"/>
  <c r="J11" i="36"/>
  <c r="AC11" i="36" s="1"/>
  <c r="H11" i="36"/>
  <c r="F11" i="36"/>
  <c r="H13" i="36"/>
  <c r="J13" i="36"/>
  <c r="AC13" i="36" s="1"/>
  <c r="F13" i="36"/>
  <c r="S13" i="36"/>
  <c r="E89" i="37"/>
  <c r="F89" i="37"/>
  <c r="G89" i="37" s="1"/>
  <c r="H89" i="37"/>
  <c r="I89" i="37" s="1"/>
  <c r="J89" i="37" s="1"/>
  <c r="K89" i="37" s="1"/>
  <c r="L89" i="37" s="1"/>
  <c r="M89" i="37" s="1"/>
  <c r="J29" i="37"/>
  <c r="W29" i="37" s="1"/>
  <c r="F29" i="37"/>
  <c r="F105" i="37"/>
  <c r="H36" i="37"/>
  <c r="AB36" i="37"/>
  <c r="F107" i="37"/>
  <c r="J37" i="37"/>
  <c r="AC37" i="37" s="1"/>
  <c r="H37" i="37"/>
  <c r="U37" i="37" s="1"/>
  <c r="H40" i="37"/>
  <c r="J40" i="37"/>
  <c r="F40" i="37"/>
  <c r="AA40" i="37" s="1"/>
  <c r="AC12" i="40"/>
  <c r="W12" i="40"/>
  <c r="H14" i="33"/>
  <c r="F14" i="33"/>
  <c r="J14" i="33"/>
  <c r="AC14" i="33" s="1"/>
  <c r="AB30" i="33"/>
  <c r="J30" i="33"/>
  <c r="AC30" i="33" s="1"/>
  <c r="J44" i="33"/>
  <c r="AC44" i="33" s="1"/>
  <c r="F44" i="33"/>
  <c r="J46" i="33"/>
  <c r="AC46" i="33" s="1"/>
  <c r="F46" i="33"/>
  <c r="AA46" i="33" s="1"/>
  <c r="H46" i="33"/>
  <c r="AB46" i="33" s="1"/>
  <c r="H13" i="34"/>
  <c r="J13" i="34"/>
  <c r="F13" i="34"/>
  <c r="AA13" i="34" s="1"/>
  <c r="J29" i="34"/>
  <c r="AC29" i="34" s="1"/>
  <c r="S29" i="34"/>
  <c r="AC31" i="34"/>
  <c r="U45" i="34"/>
  <c r="U47" i="34"/>
  <c r="S13" i="35"/>
  <c r="W25" i="35"/>
  <c r="AC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F14" i="39"/>
  <c r="S14" i="39" s="1"/>
  <c r="AB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W13" i="39" s="1"/>
  <c r="H13" i="39"/>
  <c r="U13" i="39" s="1"/>
  <c r="H14" i="40"/>
  <c r="AB14" i="40"/>
  <c r="J14" i="40"/>
  <c r="W14" i="40"/>
  <c r="F14" i="40"/>
  <c r="AA14" i="40"/>
  <c r="J27" i="37"/>
  <c r="AC27" i="37"/>
  <c r="AA13" i="35"/>
  <c r="U46" i="33"/>
  <c r="J36" i="37"/>
  <c r="G105" i="37"/>
  <c r="AB11" i="35"/>
  <c r="J10" i="36"/>
  <c r="AC10" i="36"/>
  <c r="AB30" i="21"/>
  <c r="W31" i="34"/>
  <c r="W13" i="36"/>
  <c r="W11" i="36"/>
  <c r="AB46" i="34"/>
  <c r="AA14" i="34"/>
  <c r="AB45" i="33"/>
  <c r="U31" i="33"/>
  <c r="U13" i="33"/>
  <c r="AC28" i="21"/>
  <c r="S44" i="34"/>
  <c r="BA585" i="3"/>
  <c r="AZ585" i="3" s="1"/>
  <c r="F17" i="21"/>
  <c r="AA17" i="21"/>
  <c r="H17" i="21"/>
  <c r="AB17" i="21"/>
  <c r="F15" i="21"/>
  <c r="S15" i="21"/>
  <c r="AB11" i="21"/>
  <c r="J41" i="39"/>
  <c r="W41" i="39" s="1"/>
  <c r="AC45" i="39"/>
  <c r="W44" i="39"/>
  <c r="W36" i="39"/>
  <c r="W35" i="39"/>
  <c r="U36" i="39"/>
  <c r="S35" i="39"/>
  <c r="G544" i="3"/>
  <c r="G536" i="3"/>
  <c r="G532" i="3"/>
  <c r="G528" i="3"/>
  <c r="G523" i="3"/>
  <c r="G518" i="3"/>
  <c r="G514" i="3"/>
  <c r="G510" i="3"/>
  <c r="G508" i="3"/>
  <c r="G504" i="3"/>
  <c r="G500" i="3"/>
  <c r="G496" i="3"/>
  <c r="G584" i="3"/>
  <c r="G580" i="3"/>
  <c r="G576" i="3"/>
  <c r="G568" i="3"/>
  <c r="G564" i="3"/>
  <c r="G560" i="3"/>
  <c r="G554" i="3"/>
  <c r="G550" i="3"/>
  <c r="BL584" i="3"/>
  <c r="BL580" i="3"/>
  <c r="AZ580" i="3" s="1"/>
  <c r="BL572" i="3"/>
  <c r="BL568" i="3"/>
  <c r="BL564" i="3"/>
  <c r="BL554" i="3"/>
  <c r="BL542" i="3"/>
  <c r="BL534" i="3"/>
  <c r="BL526" i="3"/>
  <c r="BL522" i="3"/>
  <c r="BL516" i="3"/>
  <c r="BL512" i="3"/>
  <c r="BL506" i="3"/>
  <c r="AZ506" i="3" s="1"/>
  <c r="BL502" i="3"/>
  <c r="BL498" i="3"/>
  <c r="BL494" i="3"/>
  <c r="BL582" i="3"/>
  <c r="BL578" i="3"/>
  <c r="BL574" i="3"/>
  <c r="BL566" i="3"/>
  <c r="AZ566" i="3" s="1"/>
  <c r="BL562" i="3"/>
  <c r="BL556" i="3"/>
  <c r="BL552" i="3"/>
  <c r="BL544" i="3"/>
  <c r="BL536" i="3"/>
  <c r="BL532" i="3"/>
  <c r="BL528" i="3"/>
  <c r="G525" i="3"/>
  <c r="BL524" i="3"/>
  <c r="BL518" i="3"/>
  <c r="BL514" i="3"/>
  <c r="BL510" i="3"/>
  <c r="BL504" i="3"/>
  <c r="BL500" i="3"/>
  <c r="BL496" i="3"/>
  <c r="G493" i="3"/>
  <c r="BA584" i="3"/>
  <c r="BA582" i="3"/>
  <c r="AZ582" i="3"/>
  <c r="BA580" i="3"/>
  <c r="BA578" i="3"/>
  <c r="AZ578" i="3"/>
  <c r="AZ576" i="3"/>
  <c r="AZ574" i="3"/>
  <c r="AZ572" i="3"/>
  <c r="AZ570" i="3"/>
  <c r="BA568" i="3"/>
  <c r="AZ568" i="3"/>
  <c r="BA566" i="3"/>
  <c r="BA564" i="3"/>
  <c r="AZ564" i="3"/>
  <c r="BA562" i="3"/>
  <c r="AZ562" i="3"/>
  <c r="BA558" i="3"/>
  <c r="BA556" i="3"/>
  <c r="BA554" i="3"/>
  <c r="AZ554" i="3" s="1"/>
  <c r="BA552" i="3"/>
  <c r="AZ552" i="3" s="1"/>
  <c r="BA548" i="3"/>
  <c r="AZ548" i="3" s="1"/>
  <c r="BA544" i="3"/>
  <c r="BA542" i="3"/>
  <c r="AZ542" i="3" s="1"/>
  <c r="BA540" i="3"/>
  <c r="AZ540" i="3" s="1"/>
  <c r="BA538" i="3"/>
  <c r="AZ538" i="3" s="1"/>
  <c r="BA536" i="3"/>
  <c r="AZ536" i="3" s="1"/>
  <c r="BA534" i="3"/>
  <c r="AZ534" i="3" s="1"/>
  <c r="BA532" i="3"/>
  <c r="BA530" i="3"/>
  <c r="AZ528" i="3"/>
  <c r="AZ526" i="3"/>
  <c r="BA524" i="3"/>
  <c r="AZ524" i="3"/>
  <c r="BA522" i="3"/>
  <c r="BA520" i="3"/>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3" i="3"/>
  <c r="BA569" i="3"/>
  <c r="BA567" i="3"/>
  <c r="BA565" i="3"/>
  <c r="BA563" i="3"/>
  <c r="BA561"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G583" i="3"/>
  <c r="G581" i="3"/>
  <c r="G579" i="3"/>
  <c r="G575" i="3"/>
  <c r="G571" i="3"/>
  <c r="G569" i="3"/>
  <c r="G567" i="3"/>
  <c r="G565" i="3"/>
  <c r="G563" i="3"/>
  <c r="BL558" i="3"/>
  <c r="AC557" i="3"/>
  <c r="G557" i="3"/>
  <c r="BQ557" i="3"/>
  <c r="BL557" i="3"/>
  <c r="AZ557" i="3" s="1"/>
  <c r="BQ583" i="3"/>
  <c r="BL583" i="3"/>
  <c r="BQ581" i="3"/>
  <c r="BL581" i="3" s="1"/>
  <c r="AZ581" i="3" s="1"/>
  <c r="BQ579" i="3"/>
  <c r="BL579" i="3" s="1"/>
  <c r="AZ579" i="3"/>
  <c r="BQ577" i="3"/>
  <c r="BL577" i="3"/>
  <c r="BQ575" i="3"/>
  <c r="BQ573" i="3"/>
  <c r="BL573" i="3"/>
  <c r="BQ571" i="3"/>
  <c r="BQ569" i="3"/>
  <c r="BL569" i="3"/>
  <c r="BQ567" i="3"/>
  <c r="BL567" i="3" s="1"/>
  <c r="AZ567" i="3"/>
  <c r="BQ565" i="3"/>
  <c r="BL565" i="3"/>
  <c r="BQ563" i="3"/>
  <c r="BL563" i="3" s="1"/>
  <c r="BQ561" i="3"/>
  <c r="BQ559" i="3"/>
  <c r="BL559" i="3"/>
  <c r="G559" i="3"/>
  <c r="G555" i="3"/>
  <c r="G553" i="3"/>
  <c r="G549" i="3"/>
  <c r="G547" i="3"/>
  <c r="G543" i="3"/>
  <c r="G539" i="3"/>
  <c r="BQ555" i="3"/>
  <c r="BL555" i="3" s="1"/>
  <c r="AZ555" i="3"/>
  <c r="BQ553" i="3"/>
  <c r="BL553" i="3"/>
  <c r="AZ553" i="3" s="1"/>
  <c r="BQ551" i="3"/>
  <c r="BL551" i="3" s="1"/>
  <c r="BQ549" i="3"/>
  <c r="BL549" i="3" s="1"/>
  <c r="BQ547" i="3"/>
  <c r="BL547" i="3"/>
  <c r="BQ545" i="3"/>
  <c r="BQ543" i="3"/>
  <c r="BL543" i="3"/>
  <c r="BQ541" i="3"/>
  <c r="BQ539" i="3"/>
  <c r="BL539" i="3"/>
  <c r="BQ537" i="3"/>
  <c r="BQ535" i="3"/>
  <c r="BL535" i="3"/>
  <c r="BQ533" i="3"/>
  <c r="BQ531" i="3"/>
  <c r="BL531" i="3"/>
  <c r="BQ529" i="3"/>
  <c r="BQ527" i="3"/>
  <c r="BL527" i="3"/>
  <c r="BQ525" i="3"/>
  <c r="BL525" i="3" s="1"/>
  <c r="AZ525" i="3"/>
  <c r="BQ523" i="3"/>
  <c r="BL523" i="3"/>
  <c r="AZ523" i="3" s="1"/>
  <c r="BA521" i="3"/>
  <c r="AC521" i="3"/>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s="1"/>
  <c r="U43" i="33"/>
  <c r="U14" i="40"/>
  <c r="AC32" i="36"/>
  <c r="AA12" i="35"/>
  <c r="AB28" i="37"/>
  <c r="U33" i="37"/>
  <c r="U39" i="37"/>
  <c r="W26" i="37"/>
  <c r="AC8" i="37"/>
  <c r="U26" i="37"/>
  <c r="W37" i="34"/>
  <c r="AC36" i="34"/>
  <c r="AC31" i="33"/>
  <c r="W44" i="33"/>
  <c r="U19" i="21"/>
  <c r="W44" i="21"/>
  <c r="U26" i="21"/>
  <c r="U12" i="21"/>
  <c r="AB38" i="21"/>
  <c r="F43" i="33"/>
  <c r="AA43" i="33" s="1"/>
  <c r="W15" i="34"/>
  <c r="W16" i="35"/>
  <c r="G107" i="37"/>
  <c r="H107" i="37" s="1"/>
  <c r="I107" i="37"/>
  <c r="J107" i="37" s="1"/>
  <c r="K107" i="37" s="1"/>
  <c r="L107" i="37" s="1"/>
  <c r="M107" i="37" s="1"/>
  <c r="H37" i="21"/>
  <c r="U37" i="21"/>
  <c r="H19" i="34"/>
  <c r="AB19" i="34" s="1"/>
  <c r="F36" i="35"/>
  <c r="J9" i="37"/>
  <c r="H9" i="37"/>
  <c r="AB9" i="37" s="1"/>
  <c r="F9" i="37"/>
  <c r="J12" i="37"/>
  <c r="W12" i="37" s="1"/>
  <c r="H12" i="37"/>
  <c r="F12" i="37"/>
  <c r="S12" i="37" s="1"/>
  <c r="E71" i="37"/>
  <c r="F71" i="37" s="1"/>
  <c r="F15" i="37"/>
  <c r="AA15" i="37"/>
  <c r="E94" i="37"/>
  <c r="F31" i="37"/>
  <c r="F12" i="39"/>
  <c r="J42" i="39"/>
  <c r="AC42" i="39" s="1"/>
  <c r="H21" i="40"/>
  <c r="AB21" i="40" s="1"/>
  <c r="AC12" i="37"/>
  <c r="F94" i="37"/>
  <c r="G94" i="37"/>
  <c r="H94" i="37" s="1"/>
  <c r="I94" i="37"/>
  <c r="J94" i="37" s="1"/>
  <c r="K94" i="37" s="1"/>
  <c r="L94" i="37" s="1"/>
  <c r="M94" i="37" s="1"/>
  <c r="H31" i="37"/>
  <c r="U31" i="37"/>
  <c r="G71" i="37"/>
  <c r="J15" i="37"/>
  <c r="W15" i="37"/>
  <c r="AT6" i="3"/>
  <c r="AA25" i="21"/>
  <c r="C12" i="43"/>
  <c r="H19" i="40"/>
  <c r="F88" i="40"/>
  <c r="G88" i="40" s="1"/>
  <c r="F19" i="40"/>
  <c r="S14" i="40"/>
  <c r="AC13" i="40"/>
  <c r="AB33" i="40"/>
  <c r="W23" i="39"/>
  <c r="AC43" i="39"/>
  <c r="W43" i="39"/>
  <c r="U45" i="39"/>
  <c r="AB45" i="39"/>
  <c r="AB44" i="39"/>
  <c r="U44" i="39"/>
  <c r="G101" i="39"/>
  <c r="H37" i="39"/>
  <c r="AB37" i="39"/>
  <c r="AC37" i="39"/>
  <c r="W37" i="39"/>
  <c r="H25" i="39"/>
  <c r="AB25" i="39"/>
  <c r="J25" i="39"/>
  <c r="F25" i="39"/>
  <c r="AA25" i="39" s="1"/>
  <c r="F15" i="39"/>
  <c r="H15" i="39"/>
  <c r="U15" i="39" s="1"/>
  <c r="J15" i="39"/>
  <c r="W15" i="39" s="1"/>
  <c r="H41" i="39"/>
  <c r="U41" i="39" s="1"/>
  <c r="W27" i="39"/>
  <c r="AB34" i="39"/>
  <c r="S42" i="39"/>
  <c r="AA41" i="39"/>
  <c r="W9" i="39"/>
  <c r="W8" i="39"/>
  <c r="J19" i="40"/>
  <c r="AC19" i="40"/>
  <c r="J50" i="40"/>
  <c r="H103" i="9"/>
  <c r="D8" i="53" s="1"/>
  <c r="B16" i="53"/>
  <c r="B33" i="72" s="1"/>
  <c r="C7" i="37"/>
  <c r="C7" i="34"/>
  <c r="C59" i="34" s="1"/>
  <c r="C7" i="36"/>
  <c r="W35" i="40"/>
  <c r="A118" i="9"/>
  <c r="A4" i="52"/>
  <c r="B41" i="72" s="1"/>
  <c r="J11" i="39"/>
  <c r="F11" i="39"/>
  <c r="AA11" i="39" s="1"/>
  <c r="A12" i="52"/>
  <c r="B56" i="72" s="1"/>
  <c r="S11" i="39"/>
  <c r="G4" i="4"/>
  <c r="I4" i="4"/>
  <c r="K5" i="4"/>
  <c r="B47" i="48" s="1"/>
  <c r="A2" i="9"/>
  <c r="N2" i="43"/>
  <c r="F59" i="43"/>
  <c r="AZ24" i="3"/>
  <c r="AZ28" i="3"/>
  <c r="AZ32" i="3"/>
  <c r="AZ497" i="3"/>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BL116" i="3"/>
  <c r="G117" i="3"/>
  <c r="BA119" i="3"/>
  <c r="BL120" i="3"/>
  <c r="G121" i="3"/>
  <c r="BA123" i="3"/>
  <c r="AZ123" i="3" s="1"/>
  <c r="BL124" i="3"/>
  <c r="G125" i="3"/>
  <c r="BA127" i="3"/>
  <c r="BL128" i="3"/>
  <c r="G129" i="3"/>
  <c r="BA131" i="3"/>
  <c r="AZ131" i="3" s="1"/>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s="1"/>
  <c r="BL160" i="3"/>
  <c r="AZ160" i="3" s="1"/>
  <c r="G161" i="3"/>
  <c r="BA163" i="3"/>
  <c r="AZ163" i="3" s="1"/>
  <c r="BL164" i="3"/>
  <c r="G165" i="3"/>
  <c r="BA167" i="3"/>
  <c r="AZ167" i="3" s="1"/>
  <c r="BL168" i="3"/>
  <c r="G169" i="3"/>
  <c r="BA171" i="3"/>
  <c r="AZ171" i="3" s="1"/>
  <c r="BL172" i="3"/>
  <c r="G173" i="3"/>
  <c r="BA175" i="3"/>
  <c r="AZ175" i="3" s="1"/>
  <c r="BL176" i="3"/>
  <c r="G177" i="3"/>
  <c r="BA179" i="3"/>
  <c r="AZ179" i="3" s="1"/>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204" i="3" s="1"/>
  <c r="AZ39" i="3"/>
  <c r="AZ43" i="3"/>
  <c r="AZ47" i="3"/>
  <c r="AZ51" i="3"/>
  <c r="AZ55" i="3"/>
  <c r="AZ59" i="3"/>
  <c r="AZ63" i="3"/>
  <c r="AZ67" i="3"/>
  <c r="AZ71" i="3"/>
  <c r="AZ75" i="3"/>
  <c r="AZ79" i="3"/>
  <c r="AZ83" i="3"/>
  <c r="AZ176" i="3"/>
  <c r="AZ85" i="3"/>
  <c r="AZ93" i="3"/>
  <c r="AZ97" i="3"/>
  <c r="AZ101" i="3"/>
  <c r="AZ120" i="3"/>
  <c r="G534"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6" i="3"/>
  <c r="AZ166" i="3"/>
  <c r="AZ170" i="3"/>
  <c r="AZ182" i="3"/>
  <c r="AZ186"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F29" i="6" s="1"/>
  <c r="BH5" i="3"/>
  <c r="BD5" i="3"/>
  <c r="AZ317" i="3"/>
  <c r="AZ333" i="3"/>
  <c r="BQ5" i="3"/>
  <c r="F28" i="6" s="1"/>
  <c r="AZ549" i="3"/>
  <c r="AZ496" i="3"/>
  <c r="G538" i="3"/>
  <c r="G520" i="3"/>
  <c r="G502" i="3"/>
  <c r="BP5" i="3"/>
  <c r="AZ343" i="3"/>
  <c r="BI5" i="3"/>
  <c r="BE5" i="3"/>
  <c r="G17" i="3"/>
  <c r="BA17" i="3"/>
  <c r="BT5" i="3"/>
  <c r="AZ350" i="3"/>
  <c r="AZ352" i="3"/>
  <c r="AZ360" i="3"/>
  <c r="AZ368" i="3"/>
  <c r="BA15" i="3"/>
  <c r="BR5" i="3"/>
  <c r="AZ380" i="3"/>
  <c r="AZ388" i="3"/>
  <c r="AZ396" i="3"/>
  <c r="AZ499" i="3"/>
  <c r="G509" i="3"/>
  <c r="BL493" i="3"/>
  <c r="AZ491" i="3"/>
  <c r="AZ390" i="3"/>
  <c r="AZ493" i="3"/>
  <c r="U36" i="40"/>
  <c r="N4" i="43"/>
  <c r="F36" i="43"/>
  <c r="F81" i="43"/>
  <c r="H113" i="43"/>
  <c r="F48" i="43"/>
  <c r="H52" i="43"/>
  <c r="N7" i="43"/>
  <c r="F70" i="43"/>
  <c r="M6" i="43"/>
  <c r="M11" i="43"/>
  <c r="E17" i="43"/>
  <c r="F39" i="43"/>
  <c r="I17" i="43"/>
  <c r="F35" i="43"/>
  <c r="J17" i="43"/>
  <c r="F6" i="1"/>
  <c r="U17" i="39"/>
  <c r="U43" i="21"/>
  <c r="U35" i="21"/>
  <c r="AC35" i="21"/>
  <c r="U10" i="21"/>
  <c r="G8" i="1"/>
  <c r="G9" i="1"/>
  <c r="G10" i="1"/>
  <c r="F48" i="9"/>
  <c r="O52" i="9" s="1"/>
  <c r="AZ563" i="3"/>
  <c r="W37" i="37"/>
  <c r="W44" i="34"/>
  <c r="AC44" i="34"/>
  <c r="S15" i="37"/>
  <c r="U13" i="37"/>
  <c r="U12" i="40"/>
  <c r="AA12" i="40"/>
  <c r="J37" i="33"/>
  <c r="W37" i="33" s="1"/>
  <c r="AC17" i="34"/>
  <c r="F106" i="33"/>
  <c r="G106" i="33" s="1"/>
  <c r="H106" i="33"/>
  <c r="I106" i="33" s="1"/>
  <c r="J106" i="33" s="1"/>
  <c r="K106" i="33" s="1"/>
  <c r="L106" i="33" s="1"/>
  <c r="M106" i="33" s="1"/>
  <c r="J34" i="33"/>
  <c r="W34" i="33" s="1"/>
  <c r="F33" i="34"/>
  <c r="S33" i="34" s="1"/>
  <c r="H20" i="36"/>
  <c r="U20" i="36" s="1"/>
  <c r="J20" i="36"/>
  <c r="W20" i="36" s="1"/>
  <c r="J27" i="36"/>
  <c r="W27" i="36"/>
  <c r="AB25" i="37"/>
  <c r="AC33" i="40"/>
  <c r="G111" i="40"/>
  <c r="H111" i="40" s="1"/>
  <c r="I111" i="40"/>
  <c r="J111" i="40" s="1"/>
  <c r="K111" i="40" s="1"/>
  <c r="L111" i="40" s="1"/>
  <c r="M111" i="40" s="1"/>
  <c r="H35" i="40"/>
  <c r="AB35" i="40"/>
  <c r="W29" i="35"/>
  <c r="H35" i="37"/>
  <c r="U35" i="37"/>
  <c r="H20" i="35"/>
  <c r="U20" i="35" s="1"/>
  <c r="F20" i="35"/>
  <c r="AA20" i="35" s="1"/>
  <c r="U29" i="36"/>
  <c r="H32" i="37"/>
  <c r="AB32" i="37"/>
  <c r="H27" i="40"/>
  <c r="J27" i="40"/>
  <c r="F27" i="40"/>
  <c r="J30" i="40"/>
  <c r="AC30" i="40" s="1"/>
  <c r="F30" i="40"/>
  <c r="AA30" i="40" s="1"/>
  <c r="AC21" i="40"/>
  <c r="S31" i="39"/>
  <c r="S11" i="40"/>
  <c r="F98" i="40"/>
  <c r="G98" i="40" s="1"/>
  <c r="H98" i="40" s="1"/>
  <c r="I98" i="40" s="1"/>
  <c r="J98" i="40" s="1"/>
  <c r="K98" i="40" s="1"/>
  <c r="L98" i="40" s="1"/>
  <c r="M98" i="40" s="1"/>
  <c r="F10" i="33"/>
  <c r="F34" i="33"/>
  <c r="H34" i="33"/>
  <c r="U34" i="33" s="1"/>
  <c r="F35" i="33"/>
  <c r="F39" i="34"/>
  <c r="S39" i="34" s="1"/>
  <c r="J39" i="34"/>
  <c r="F40" i="34"/>
  <c r="S40" i="34" s="1"/>
  <c r="F43" i="34"/>
  <c r="AA43" i="34" s="1"/>
  <c r="H44" i="34"/>
  <c r="AC38" i="39"/>
  <c r="F39" i="39"/>
  <c r="S39" i="39"/>
  <c r="J39" i="39"/>
  <c r="AC39" i="39"/>
  <c r="E97" i="39"/>
  <c r="F97" i="39"/>
  <c r="G97" i="39" s="1"/>
  <c r="AZ353" i="3"/>
  <c r="AZ354" i="3"/>
  <c r="AZ386" i="3"/>
  <c r="C40" i="11"/>
  <c r="AZ215" i="3"/>
  <c r="AZ223" i="3"/>
  <c r="AZ232" i="3"/>
  <c r="AZ235" i="3"/>
  <c r="AZ240" i="3"/>
  <c r="AZ248" i="3"/>
  <c r="AZ251" i="3"/>
  <c r="AZ256" i="3"/>
  <c r="AZ268" i="3"/>
  <c r="AZ271" i="3"/>
  <c r="AZ280" i="3"/>
  <c r="AZ288" i="3"/>
  <c r="AZ296" i="3"/>
  <c r="AZ117" i="3"/>
  <c r="AZ21" i="3"/>
  <c r="AZ31" i="3"/>
  <c r="AZ33" i="3"/>
  <c r="AZ37" i="3"/>
  <c r="AZ42" i="3"/>
  <c r="AZ45" i="3"/>
  <c r="AZ50" i="3"/>
  <c r="AZ58" i="3"/>
  <c r="AZ61" i="3"/>
  <c r="AZ66" i="3"/>
  <c r="AZ72" i="3"/>
  <c r="AZ77" i="3"/>
  <c r="AZ82" i="3"/>
  <c r="AZ86" i="3"/>
  <c r="AZ94" i="3"/>
  <c r="H74" i="43"/>
  <c r="H50" i="43"/>
  <c r="H49" i="43"/>
  <c r="H48" i="43"/>
  <c r="I20" i="43"/>
  <c r="C20" i="43" s="1"/>
  <c r="F23" i="39"/>
  <c r="AA23" i="39"/>
  <c r="H27" i="36"/>
  <c r="U27" i="36"/>
  <c r="F27" i="36"/>
  <c r="AA27" i="36"/>
  <c r="H33" i="34"/>
  <c r="U33" i="34"/>
  <c r="F32" i="37"/>
  <c r="AA32" i="37"/>
  <c r="H96" i="37"/>
  <c r="I96" i="37" s="1"/>
  <c r="J96" i="37" s="1"/>
  <c r="K96" i="37" s="1"/>
  <c r="L96" i="37" s="1"/>
  <c r="M96" i="37" s="1"/>
  <c r="F20" i="36"/>
  <c r="J33" i="34"/>
  <c r="AC33" i="34" s="1"/>
  <c r="H23" i="39"/>
  <c r="U23" i="39" s="1"/>
  <c r="D48" i="9"/>
  <c r="M52" i="9" s="1"/>
  <c r="H86" i="43"/>
  <c r="H87" i="43"/>
  <c r="K9" i="1"/>
  <c r="M9" i="1" s="1"/>
  <c r="O9" i="1" s="1"/>
  <c r="AE9" i="1"/>
  <c r="D93" i="9"/>
  <c r="K6" i="1"/>
  <c r="AC27" i="34"/>
  <c r="U34" i="36"/>
  <c r="U33" i="36"/>
  <c r="W12" i="39"/>
  <c r="AZ401" i="3"/>
  <c r="AZ412" i="3"/>
  <c r="AZ417" i="3"/>
  <c r="AZ428" i="3"/>
  <c r="AZ433" i="3"/>
  <c r="AZ465" i="3"/>
  <c r="K101" i="43"/>
  <c r="N101" i="43"/>
  <c r="W12" i="33"/>
  <c r="AA32" i="36"/>
  <c r="AZ408" i="3"/>
  <c r="AZ437" i="3"/>
  <c r="AZ441" i="3"/>
  <c r="AZ457" i="3"/>
  <c r="AZ473" i="3"/>
  <c r="AZ490" i="3"/>
  <c r="AA39" i="34"/>
  <c r="BL14" i="3"/>
  <c r="AZ14" i="3" s="1"/>
  <c r="AZ266" i="3"/>
  <c r="U30" i="33"/>
  <c r="W28" i="37"/>
  <c r="S19" i="39"/>
  <c r="H12" i="39"/>
  <c r="F39" i="40"/>
  <c r="S39" i="40" s="1"/>
  <c r="BA14" i="3"/>
  <c r="AZ367" i="3"/>
  <c r="AZ213" i="3"/>
  <c r="AZ234" i="3"/>
  <c r="AZ250" i="3"/>
  <c r="AZ281" i="3"/>
  <c r="AZ286" i="3"/>
  <c r="AZ297" i="3"/>
  <c r="AZ165" i="3"/>
  <c r="AZ173" i="3"/>
  <c r="AZ181" i="3"/>
  <c r="AZ189" i="3"/>
  <c r="AZ197" i="3"/>
  <c r="AZ19" i="3"/>
  <c r="AZ26" i="3"/>
  <c r="AZ41" i="3"/>
  <c r="S12" i="1"/>
  <c r="AQ12" i="1" s="1"/>
  <c r="R12" i="1"/>
  <c r="B12" i="1"/>
  <c r="E12" i="1" s="1"/>
  <c r="S10" i="1"/>
  <c r="R10" i="1"/>
  <c r="B10" i="1"/>
  <c r="E10" i="1"/>
  <c r="D1" i="66"/>
  <c r="E10" i="66"/>
  <c r="AZ84" i="3"/>
  <c r="AZ88" i="3"/>
  <c r="AZ107" i="3"/>
  <c r="K12" i="1"/>
  <c r="M12" i="1" s="1"/>
  <c r="O12" i="1" s="1"/>
  <c r="S13" i="1"/>
  <c r="AR13" i="1" s="1"/>
  <c r="R13" i="1"/>
  <c r="S11" i="1"/>
  <c r="AQ11" i="1" s="1"/>
  <c r="R11" i="1"/>
  <c r="S9" i="1"/>
  <c r="R9" i="1"/>
  <c r="J51" i="67"/>
  <c r="C42" i="1"/>
  <c r="H100" i="43"/>
  <c r="C30" i="66"/>
  <c r="E26" i="66" s="1"/>
  <c r="AC34" i="33"/>
  <c r="B41" i="1"/>
  <c r="F53" i="9" s="1"/>
  <c r="J100" i="43"/>
  <c r="AB37" i="40"/>
  <c r="S35" i="40"/>
  <c r="U35" i="40"/>
  <c r="AC36" i="40"/>
  <c r="AA32" i="40"/>
  <c r="S23" i="40"/>
  <c r="AC15" i="40"/>
  <c r="S30" i="40"/>
  <c r="S28" i="40"/>
  <c r="U21" i="40"/>
  <c r="W42" i="39"/>
  <c r="U37" i="39"/>
  <c r="W39" i="39"/>
  <c r="S43" i="39"/>
  <c r="S37" i="39"/>
  <c r="U35" i="39"/>
  <c r="F32" i="39"/>
  <c r="AA32" i="39" s="1"/>
  <c r="G107" i="39"/>
  <c r="U25" i="39"/>
  <c r="AB27" i="39"/>
  <c r="U31" i="39"/>
  <c r="S25" i="39"/>
  <c r="J21" i="39"/>
  <c r="F21" i="39"/>
  <c r="AA21" i="39" s="1"/>
  <c r="G95" i="39"/>
  <c r="H21" i="39"/>
  <c r="AB21" i="39" s="1"/>
  <c r="U19" i="39"/>
  <c r="AC15" i="39"/>
  <c r="AB15" i="39"/>
  <c r="S9" i="39"/>
  <c r="AC13" i="39"/>
  <c r="S23" i="36"/>
  <c r="AC27" i="36"/>
  <c r="AB27" i="36"/>
  <c r="U26" i="36"/>
  <c r="S33" i="36"/>
  <c r="S27" i="36"/>
  <c r="AA26" i="36"/>
  <c r="AA34" i="36"/>
  <c r="AC26" i="36"/>
  <c r="AA22" i="36"/>
  <c r="W14" i="36"/>
  <c r="AB14" i="36"/>
  <c r="U22" i="36"/>
  <c r="S16" i="36"/>
  <c r="AA25" i="36"/>
  <c r="U23" i="36"/>
  <c r="AB20" i="36"/>
  <c r="S14" i="36"/>
  <c r="U10" i="36"/>
  <c r="W10" i="36"/>
  <c r="S23" i="35"/>
  <c r="U29" i="35"/>
  <c r="U28" i="35"/>
  <c r="AB27" i="35"/>
  <c r="U36" i="35"/>
  <c r="U32" i="35"/>
  <c r="AA33" i="35"/>
  <c r="S32" i="35"/>
  <c r="W32" i="35"/>
  <c r="S28" i="35"/>
  <c r="AB16" i="35"/>
  <c r="S20" i="35"/>
  <c r="S22" i="35"/>
  <c r="AC10" i="35"/>
  <c r="AA10" i="35"/>
  <c r="AB10" i="35"/>
  <c r="S8" i="35"/>
  <c r="AC9" i="35"/>
  <c r="W9" i="35"/>
  <c r="AC12" i="35"/>
  <c r="F9" i="35"/>
  <c r="H9" i="35"/>
  <c r="AB9" i="35" s="1"/>
  <c r="F26" i="35"/>
  <c r="AA26" i="35"/>
  <c r="J26" i="35"/>
  <c r="H26" i="35"/>
  <c r="U26" i="35" s="1"/>
  <c r="S25" i="37"/>
  <c r="W27" i="37"/>
  <c r="S26" i="37"/>
  <c r="AC29" i="37"/>
  <c r="U29" i="37"/>
  <c r="S32" i="37"/>
  <c r="AB31" i="37"/>
  <c r="W30" i="37"/>
  <c r="S36" i="37"/>
  <c r="AA38" i="37"/>
  <c r="U32" i="37"/>
  <c r="W38" i="37"/>
  <c r="AC35" i="37"/>
  <c r="W39" i="37"/>
  <c r="S30" i="37"/>
  <c r="S37" i="37"/>
  <c r="AC15" i="37"/>
  <c r="J17" i="37"/>
  <c r="W17" i="37" s="1"/>
  <c r="G73" i="37"/>
  <c r="F17" i="37"/>
  <c r="AA17" i="37"/>
  <c r="AB17" i="37"/>
  <c r="F75" i="37"/>
  <c r="G75" i="37" s="1"/>
  <c r="F19" i="37"/>
  <c r="F79" i="37"/>
  <c r="F23" i="37"/>
  <c r="S23" i="37"/>
  <c r="U23" i="37"/>
  <c r="U15" i="37"/>
  <c r="AC13" i="37"/>
  <c r="U9" i="37"/>
  <c r="AA13" i="37"/>
  <c r="AA12" i="37"/>
  <c r="H10" i="37"/>
  <c r="AB10" i="37" s="1"/>
  <c r="H60" i="37"/>
  <c r="F63" i="37"/>
  <c r="G63" i="37" s="1"/>
  <c r="F11" i="37"/>
  <c r="S11" i="37"/>
  <c r="W25" i="34"/>
  <c r="AB8" i="34"/>
  <c r="AA33" i="34"/>
  <c r="U43" i="34"/>
  <c r="W41" i="34"/>
  <c r="AC42" i="34"/>
  <c r="AB35" i="34"/>
  <c r="S43" i="34"/>
  <c r="AB41" i="34"/>
  <c r="AA25" i="34"/>
  <c r="U28" i="34"/>
  <c r="S17" i="34"/>
  <c r="S23" i="34"/>
  <c r="U15" i="34"/>
  <c r="S13" i="34"/>
  <c r="H67" i="34"/>
  <c r="H10" i="34"/>
  <c r="AB10" i="34" s="1"/>
  <c r="F11" i="34"/>
  <c r="S11" i="34"/>
  <c r="W42" i="33"/>
  <c r="S27" i="33"/>
  <c r="S32" i="33"/>
  <c r="AA29" i="33"/>
  <c r="W38" i="33"/>
  <c r="H41" i="33"/>
  <c r="F121" i="33"/>
  <c r="G121" i="33" s="1"/>
  <c r="H121" i="33" s="1"/>
  <c r="I121" i="33" s="1"/>
  <c r="J121" i="33" s="1"/>
  <c r="K121" i="33" s="1"/>
  <c r="L121" i="33" s="1"/>
  <c r="M121" i="33" s="1"/>
  <c r="U42" i="33"/>
  <c r="S42" i="33"/>
  <c r="J35" i="33"/>
  <c r="W35" i="33" s="1"/>
  <c r="S39" i="33"/>
  <c r="J32" i="33"/>
  <c r="AC32" i="33" s="1"/>
  <c r="S46" i="33"/>
  <c r="W43" i="33"/>
  <c r="S43" i="33"/>
  <c r="H27" i="33"/>
  <c r="U27" i="33" s="1"/>
  <c r="H25" i="33"/>
  <c r="U25" i="33" s="1"/>
  <c r="F19" i="33"/>
  <c r="W19" i="33"/>
  <c r="J17" i="33"/>
  <c r="W17" i="33" s="1"/>
  <c r="U9" i="33"/>
  <c r="I66" i="33"/>
  <c r="J10" i="33"/>
  <c r="W10" i="33" s="1"/>
  <c r="H10" i="33"/>
  <c r="U10" i="33" s="1"/>
  <c r="W43" i="21"/>
  <c r="W36" i="21"/>
  <c r="W41" i="21"/>
  <c r="AB39" i="21"/>
  <c r="AA43" i="21"/>
  <c r="S39" i="21"/>
  <c r="AA38" i="21"/>
  <c r="AA36" i="21"/>
  <c r="AC40" i="21"/>
  <c r="J15" i="21"/>
  <c r="W15" i="21"/>
  <c r="F77" i="21"/>
  <c r="G77" i="21"/>
  <c r="F23" i="21"/>
  <c r="S23" i="21"/>
  <c r="AC11" i="21"/>
  <c r="AA14" i="21"/>
  <c r="AB8" i="21"/>
  <c r="S8" i="21"/>
  <c r="M3" i="43"/>
  <c r="N10" i="43"/>
  <c r="M1" i="43"/>
  <c r="M8" i="43"/>
  <c r="N8" i="43"/>
  <c r="N9" i="43"/>
  <c r="D120" i="9"/>
  <c r="D6" i="52" s="1"/>
  <c r="F34" i="67"/>
  <c r="F62" i="67" s="1"/>
  <c r="M20" i="67"/>
  <c r="G13" i="3"/>
  <c r="BA13" i="3"/>
  <c r="BL17" i="3"/>
  <c r="AZ17" i="3" s="1"/>
  <c r="BL13" i="3"/>
  <c r="J56" i="9"/>
  <c r="J57" i="9"/>
  <c r="J59" i="9" s="1"/>
  <c r="J61" i="9" s="1"/>
  <c r="A24" i="51"/>
  <c r="B18" i="72"/>
  <c r="E5" i="6"/>
  <c r="D9" i="11" s="1"/>
  <c r="C9" i="11" s="1"/>
  <c r="H22" i="43"/>
  <c r="D101" i="43"/>
  <c r="M101" i="43"/>
  <c r="M106" i="43" s="1"/>
  <c r="I101" i="43"/>
  <c r="E101" i="43"/>
  <c r="E102" i="43" s="1"/>
  <c r="E32" i="6"/>
  <c r="L19" i="6"/>
  <c r="G1" i="68"/>
  <c r="K1" i="12"/>
  <c r="N103" i="43"/>
  <c r="N106" i="43"/>
  <c r="K107" i="43"/>
  <c r="K104" i="43"/>
  <c r="K106" i="43"/>
  <c r="N107" i="43"/>
  <c r="AR12" i="1"/>
  <c r="T12" i="1"/>
  <c r="T10" i="1"/>
  <c r="E19" i="69"/>
  <c r="E19" i="68"/>
  <c r="E19" i="11"/>
  <c r="E1" i="73"/>
  <c r="G41" i="69"/>
  <c r="G22" i="69"/>
  <c r="G41" i="68"/>
  <c r="G22" i="68"/>
  <c r="G27" i="12"/>
  <c r="G26" i="12"/>
  <c r="G41" i="11"/>
  <c r="G22" i="11"/>
  <c r="G25" i="12"/>
  <c r="C100" i="43"/>
  <c r="K109" i="43"/>
  <c r="E11" i="43"/>
  <c r="E10" i="43"/>
  <c r="E9" i="43"/>
  <c r="E8" i="43"/>
  <c r="C7" i="43" s="1"/>
  <c r="E81" i="43"/>
  <c r="B79" i="43" s="1"/>
  <c r="S5" i="43"/>
  <c r="E48" i="43"/>
  <c r="B46" i="43"/>
  <c r="E70" i="43"/>
  <c r="B68" i="43"/>
  <c r="N109" i="43"/>
  <c r="F100" i="43"/>
  <c r="H17" i="43"/>
  <c r="G6" i="1"/>
  <c r="H85" i="43"/>
  <c r="H84" i="43"/>
  <c r="H53" i="43"/>
  <c r="H54" i="43"/>
  <c r="H78" i="43"/>
  <c r="H71" i="43"/>
  <c r="C17" i="43"/>
  <c r="F33" i="43"/>
  <c r="G17" i="43"/>
  <c r="C16" i="43" s="1"/>
  <c r="C5" i="43" s="1"/>
  <c r="F34" i="43"/>
  <c r="M7" i="43"/>
  <c r="N6" i="43"/>
  <c r="M2" i="43"/>
  <c r="C6" i="43"/>
  <c r="M10" i="43"/>
  <c r="N3" i="43"/>
  <c r="N11" i="43"/>
  <c r="F38" i="43"/>
  <c r="F37" i="43"/>
  <c r="M9" i="43"/>
  <c r="N12" i="43"/>
  <c r="N5" i="43"/>
  <c r="M5" i="43"/>
  <c r="M12" i="43"/>
  <c r="M4" i="43"/>
  <c r="B19" i="53"/>
  <c r="B37" i="72" s="1"/>
  <c r="C7" i="39"/>
  <c r="C68" i="39" s="1"/>
  <c r="C70" i="39"/>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E46" i="36" s="1"/>
  <c r="D59" i="34"/>
  <c r="E59" i="34" s="1"/>
  <c r="C52" i="37"/>
  <c r="D52" i="37" s="1"/>
  <c r="E52" i="37" s="1"/>
  <c r="F52" i="37" s="1"/>
  <c r="G52" i="37" s="1"/>
  <c r="H52" i="37" s="1"/>
  <c r="I52" i="37" s="1"/>
  <c r="J52" i="37" s="1"/>
  <c r="A4" i="51"/>
  <c r="B6" i="72" s="1"/>
  <c r="C48" i="35"/>
  <c r="D48" i="35" s="1"/>
  <c r="E48" i="35" s="1"/>
  <c r="F48" i="35" s="1"/>
  <c r="G48" i="35" s="1"/>
  <c r="D58" i="21"/>
  <c r="E58" i="21" s="1"/>
  <c r="F58" i="21" s="1"/>
  <c r="G58" i="21" s="1"/>
  <c r="H58" i="21" s="1"/>
  <c r="I58" i="21" s="1"/>
  <c r="C94" i="9"/>
  <c r="C4" i="12"/>
  <c r="C92" i="9"/>
  <c r="H62" i="43"/>
  <c r="H66" i="43"/>
  <c r="H61" i="43"/>
  <c r="H65" i="43"/>
  <c r="H60" i="43"/>
  <c r="H64" i="43"/>
  <c r="H59" i="43"/>
  <c r="H63" i="43"/>
  <c r="H67" i="43"/>
  <c r="H55" i="43"/>
  <c r="H51" i="43"/>
  <c r="H56" i="43"/>
  <c r="H76" i="43"/>
  <c r="H77" i="43"/>
  <c r="L20" i="6"/>
  <c r="L27" i="6" s="1"/>
  <c r="B6" i="1"/>
  <c r="E6" i="1" s="1"/>
  <c r="S8" i="1"/>
  <c r="AQ8" i="1" s="1"/>
  <c r="K11" i="1"/>
  <c r="M11" i="1" s="1"/>
  <c r="O11" i="1" s="1"/>
  <c r="AP6" i="1"/>
  <c r="B9" i="1"/>
  <c r="E9" i="1" s="1"/>
  <c r="K7" i="1"/>
  <c r="M7" i="1" s="1"/>
  <c r="O7" i="1" s="1"/>
  <c r="G1" i="15"/>
  <c r="G1" i="69"/>
  <c r="G1" i="67"/>
  <c r="U32" i="40"/>
  <c r="AB31" i="40"/>
  <c r="S37" i="40"/>
  <c r="W28" i="40"/>
  <c r="W34" i="40"/>
  <c r="W19" i="40"/>
  <c r="S36" i="40"/>
  <c r="W37" i="40"/>
  <c r="AC14" i="40"/>
  <c r="S13" i="40"/>
  <c r="S33" i="40"/>
  <c r="U11" i="40"/>
  <c r="S31" i="40"/>
  <c r="AB13" i="40"/>
  <c r="AB17" i="40"/>
  <c r="U8" i="40"/>
  <c r="S8" i="40"/>
  <c r="AA39" i="39"/>
  <c r="AC41" i="39"/>
  <c r="AB23" i="39"/>
  <c r="AB41" i="39"/>
  <c r="W25" i="39"/>
  <c r="AC25" i="39"/>
  <c r="AB13" i="39"/>
  <c r="AA13" i="39"/>
  <c r="S13" i="39"/>
  <c r="AA14" i="39"/>
  <c r="U43" i="39"/>
  <c r="AB43" i="39"/>
  <c r="U11" i="39"/>
  <c r="AA27" i="39"/>
  <c r="S27" i="39"/>
  <c r="AC17" i="39"/>
  <c r="AC31" i="39"/>
  <c r="S23" i="39"/>
  <c r="AA45" i="39"/>
  <c r="W34" i="39"/>
  <c r="U38" i="39"/>
  <c r="S8" i="39"/>
  <c r="AC25" i="36"/>
  <c r="S28" i="36"/>
  <c r="U32" i="36"/>
  <c r="W29" i="36"/>
  <c r="AC20" i="36"/>
  <c r="U25" i="36"/>
  <c r="AB28" i="36"/>
  <c r="AA13" i="36"/>
  <c r="W9" i="36"/>
  <c r="W22" i="36"/>
  <c r="W23" i="36"/>
  <c r="S9" i="36"/>
  <c r="AB20" i="35"/>
  <c r="S24" i="35"/>
  <c r="W33" i="35"/>
  <c r="U24" i="35"/>
  <c r="W35" i="35"/>
  <c r="AA35" i="37"/>
  <c r="S27" i="37"/>
  <c r="S28" i="37"/>
  <c r="W32" i="37"/>
  <c r="U36" i="37"/>
  <c r="S40" i="37"/>
  <c r="U38" i="37"/>
  <c r="AB37" i="37"/>
  <c r="S33" i="37"/>
  <c r="AC34" i="37"/>
  <c r="AB35" i="37"/>
  <c r="AA11" i="37"/>
  <c r="U19" i="37"/>
  <c r="AA8" i="37"/>
  <c r="U8" i="37"/>
  <c r="AA40" i="34"/>
  <c r="AB40" i="34"/>
  <c r="U19" i="34"/>
  <c r="W19" i="34"/>
  <c r="AB33" i="34"/>
  <c r="AB45" i="34"/>
  <c r="U25" i="34"/>
  <c r="W33" i="34"/>
  <c r="AC32" i="34"/>
  <c r="W29" i="34"/>
  <c r="W46" i="34"/>
  <c r="AC46" i="34"/>
  <c r="S32" i="34"/>
  <c r="AA32" i="34"/>
  <c r="U30" i="34"/>
  <c r="AB30" i="34"/>
  <c r="U38" i="34"/>
  <c r="AC40" i="34"/>
  <c r="W40" i="34"/>
  <c r="S19" i="34"/>
  <c r="AA36" i="34"/>
  <c r="S36" i="34"/>
  <c r="AA8" i="34"/>
  <c r="S8" i="34"/>
  <c r="AB9" i="34"/>
  <c r="U9" i="34"/>
  <c r="AA46" i="34"/>
  <c r="AB32" i="34"/>
  <c r="AB14" i="34"/>
  <c r="AC43" i="34"/>
  <c r="W43" i="34"/>
  <c r="AA11" i="34"/>
  <c r="W23" i="34"/>
  <c r="AC23" i="34"/>
  <c r="AC35" i="34"/>
  <c r="U12" i="34"/>
  <c r="AB12" i="34"/>
  <c r="AB28" i="33"/>
  <c r="AC37" i="33"/>
  <c r="W46" i="33"/>
  <c r="U38" i="33"/>
  <c r="S33" i="33"/>
  <c r="AB34" i="33"/>
  <c r="AB44" i="33"/>
  <c r="W14" i="33"/>
  <c r="W30" i="33"/>
  <c r="S31" i="33"/>
  <c r="AA31" i="33"/>
  <c r="W13" i="33"/>
  <c r="AC13" i="33"/>
  <c r="U37" i="33"/>
  <c r="AC28" i="33"/>
  <c r="W9" i="33"/>
  <c r="W8" i="33"/>
  <c r="S44" i="21"/>
  <c r="AB42" i="21"/>
  <c r="U28" i="21"/>
  <c r="S45" i="21"/>
  <c r="J101" i="21"/>
  <c r="K101" i="21" s="1"/>
  <c r="L101" i="21" s="1"/>
  <c r="M101" i="21" s="1"/>
  <c r="F33" i="21"/>
  <c r="AA33" i="21" s="1"/>
  <c r="J33" i="21"/>
  <c r="H33" i="21"/>
  <c r="AB33" i="21" s="1"/>
  <c r="F37" i="21"/>
  <c r="AA26" i="21"/>
  <c r="AB14" i="21"/>
  <c r="AB46" i="21"/>
  <c r="U40" i="21"/>
  <c r="AB31" i="21"/>
  <c r="U31" i="21"/>
  <c r="AC15" i="21"/>
  <c r="U13" i="21"/>
  <c r="AB13" i="21"/>
  <c r="W8" i="21"/>
  <c r="S35" i="21"/>
  <c r="AB37" i="21"/>
  <c r="J37" i="21"/>
  <c r="H15" i="21"/>
  <c r="J17" i="21"/>
  <c r="AC19" i="21"/>
  <c r="W39" i="21"/>
  <c r="AC14" i="21"/>
  <c r="W30" i="21"/>
  <c r="H45" i="21"/>
  <c r="U45" i="21"/>
  <c r="F29" i="21"/>
  <c r="S29" i="21"/>
  <c r="F13" i="21"/>
  <c r="AA13" i="21"/>
  <c r="AC38" i="21"/>
  <c r="H32" i="21"/>
  <c r="U32" i="21" s="1"/>
  <c r="H9" i="21"/>
  <c r="J9" i="21"/>
  <c r="AC9" i="21" s="1"/>
  <c r="J32" i="21"/>
  <c r="F32" i="21"/>
  <c r="S32" i="21" s="1"/>
  <c r="AA31" i="21"/>
  <c r="U17" i="21"/>
  <c r="W29" i="21"/>
  <c r="S19" i="21"/>
  <c r="AA9" i="21"/>
  <c r="K141" i="21"/>
  <c r="K144" i="21"/>
  <c r="K143" i="21"/>
  <c r="AB25" i="21"/>
  <c r="AB44" i="21"/>
  <c r="AA30" i="21"/>
  <c r="W13" i="21"/>
  <c r="W42" i="21"/>
  <c r="AC45" i="21"/>
  <c r="F10" i="21"/>
  <c r="K145" i="21"/>
  <c r="W25" i="21"/>
  <c r="AA29" i="21"/>
  <c r="W31" i="21"/>
  <c r="S17" i="21"/>
  <c r="AA15" i="21"/>
  <c r="AC27" i="21"/>
  <c r="AB29" i="21"/>
  <c r="S28" i="21"/>
  <c r="AC34" i="21"/>
  <c r="W10" i="21"/>
  <c r="W12" i="21"/>
  <c r="AB36" i="21"/>
  <c r="W30" i="40"/>
  <c r="C19" i="39"/>
  <c r="C15" i="40"/>
  <c r="C17" i="40"/>
  <c r="C23" i="40"/>
  <c r="C21" i="40"/>
  <c r="U30" i="40"/>
  <c r="B65" i="43"/>
  <c r="B52" i="43"/>
  <c r="B56" i="43"/>
  <c r="B63" i="43"/>
  <c r="B67" i="43"/>
  <c r="D23" i="15"/>
  <c r="D22" i="15"/>
  <c r="AQ13" i="1"/>
  <c r="AZ13" i="3"/>
  <c r="M6" i="1"/>
  <c r="O6" i="1" s="1"/>
  <c r="F30" i="11"/>
  <c r="C48" i="11" s="1"/>
  <c r="T11" i="1"/>
  <c r="D9" i="69"/>
  <c r="C9" i="69" s="1"/>
  <c r="D19" i="12"/>
  <c r="C19" i="12" s="1"/>
  <c r="D68" i="39"/>
  <c r="D70" i="39" s="1"/>
  <c r="T13" i="1"/>
  <c r="C77" i="9"/>
  <c r="D9" i="68"/>
  <c r="E7" i="70"/>
  <c r="AA39" i="40"/>
  <c r="J32" i="39"/>
  <c r="H107" i="39"/>
  <c r="I107" i="39" s="1"/>
  <c r="J107" i="39"/>
  <c r="K107" i="39" s="1"/>
  <c r="L107" i="39" s="1"/>
  <c r="M107" i="39" s="1"/>
  <c r="H32" i="39"/>
  <c r="S32" i="39"/>
  <c r="U21" i="39"/>
  <c r="S21" i="39"/>
  <c r="AC21" i="39"/>
  <c r="W21" i="39"/>
  <c r="S26" i="35"/>
  <c r="U9" i="35"/>
  <c r="AA9" i="35"/>
  <c r="S9" i="35"/>
  <c r="AC26" i="35"/>
  <c r="W26" i="35"/>
  <c r="AB26" i="35"/>
  <c r="AC17" i="37"/>
  <c r="S17" i="37"/>
  <c r="J19" i="37"/>
  <c r="S19" i="37"/>
  <c r="AA19" i="37"/>
  <c r="AA23" i="37"/>
  <c r="J23" i="37"/>
  <c r="G79" i="37"/>
  <c r="J10" i="37"/>
  <c r="I60" i="37"/>
  <c r="H11" i="37"/>
  <c r="U10" i="37"/>
  <c r="H11" i="34"/>
  <c r="U10" i="34"/>
  <c r="J10" i="34"/>
  <c r="I67" i="34"/>
  <c r="AB41" i="33"/>
  <c r="U41" i="33"/>
  <c r="H91" i="33"/>
  <c r="I91" i="33" s="1"/>
  <c r="J91" i="33" s="1"/>
  <c r="K91" i="33" s="1"/>
  <c r="L91" i="33" s="1"/>
  <c r="M91" i="33" s="1"/>
  <c r="J27" i="33"/>
  <c r="AC27" i="33" s="1"/>
  <c r="J25" i="33"/>
  <c r="W25" i="33" s="1"/>
  <c r="H19" i="33"/>
  <c r="AB19" i="33" s="1"/>
  <c r="H17" i="33"/>
  <c r="U17" i="33" s="1"/>
  <c r="F17" i="33"/>
  <c r="AA17" i="33" s="1"/>
  <c r="AC17" i="33"/>
  <c r="AB10" i="33"/>
  <c r="AC10" i="33"/>
  <c r="U33" i="21"/>
  <c r="AA23" i="21"/>
  <c r="J23" i="21"/>
  <c r="G85" i="21"/>
  <c r="H23" i="21"/>
  <c r="S13" i="21"/>
  <c r="D121" i="9"/>
  <c r="D7" i="52" s="1"/>
  <c r="K120" i="9"/>
  <c r="A18" i="62" s="1"/>
  <c r="B64" i="72" s="1"/>
  <c r="C23" i="43"/>
  <c r="C21" i="43" s="1"/>
  <c r="S4" i="43"/>
  <c r="S7" i="43"/>
  <c r="J22" i="43"/>
  <c r="E106" i="43"/>
  <c r="I104" i="43"/>
  <c r="I107" i="43"/>
  <c r="I105" i="43"/>
  <c r="D105" i="43"/>
  <c r="D106" i="43"/>
  <c r="D102" i="43"/>
  <c r="F46" i="36"/>
  <c r="G46" i="36" s="1"/>
  <c r="H46" i="36" s="1"/>
  <c r="F59" i="34"/>
  <c r="AP7" i="1"/>
  <c r="AB45" i="21"/>
  <c r="AC33" i="21"/>
  <c r="W33" i="21"/>
  <c r="S33" i="21"/>
  <c r="W32" i="21"/>
  <c r="AC32" i="21"/>
  <c r="AB9" i="21"/>
  <c r="U9" i="21"/>
  <c r="AA32" i="21"/>
  <c r="W9" i="21"/>
  <c r="AB32" i="21"/>
  <c r="AA10" i="21"/>
  <c r="S10" i="21"/>
  <c r="E6" i="70"/>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B17" i="33"/>
  <c r="U23" i="21"/>
  <c r="AB23" i="21"/>
  <c r="AC23" i="21"/>
  <c r="W23" i="21"/>
  <c r="F1" i="15"/>
  <c r="Q52" i="15"/>
  <c r="G59" i="34"/>
  <c r="H59" i="34" s="1"/>
  <c r="E68" i="39"/>
  <c r="F68" i="39" s="1"/>
  <c r="C5" i="68"/>
  <c r="AC11" i="37"/>
  <c r="W11" i="37"/>
  <c r="W11" i="34"/>
  <c r="AC11" i="34"/>
  <c r="F34" i="11"/>
  <c r="F11" i="12"/>
  <c r="C23" i="12" s="1"/>
  <c r="F34" i="68"/>
  <c r="C36" i="68" s="1"/>
  <c r="E70" i="39"/>
  <c r="C36" i="11"/>
  <c r="R8" i="1"/>
  <c r="AE7" i="1"/>
  <c r="AE8" i="1"/>
  <c r="AG6" i="1"/>
  <c r="J7" i="33"/>
  <c r="W7" i="33"/>
  <c r="F7" i="33"/>
  <c r="S7" i="33" s="1"/>
  <c r="H7" i="33"/>
  <c r="AB7" i="33" s="1"/>
  <c r="AA7" i="33"/>
  <c r="AC7" i="33"/>
  <c r="H112" i="9"/>
  <c r="D21" i="53" s="1"/>
  <c r="B39" i="72" s="1"/>
  <c r="H111" i="9"/>
  <c r="D126" i="9" s="1"/>
  <c r="I14" i="74" s="1"/>
  <c r="B8" i="74" s="1"/>
  <c r="D59" i="9"/>
  <c r="M55" i="9" s="1"/>
  <c r="AD3" i="71"/>
  <c r="P21" i="43" s="1"/>
  <c r="P22" i="43"/>
  <c r="F31" i="67"/>
  <c r="B11" i="76"/>
  <c r="B9" i="76"/>
  <c r="F8" i="67"/>
  <c r="F37" i="67"/>
  <c r="F43" i="67"/>
  <c r="M21" i="15"/>
  <c r="E2" i="68"/>
  <c r="M27" i="15"/>
  <c r="B8" i="76"/>
  <c r="B10" i="76"/>
  <c r="F42" i="15"/>
  <c r="F43" i="15"/>
  <c r="M9" i="15"/>
  <c r="D2" i="36"/>
  <c r="F41" i="15"/>
  <c r="AO11" i="1"/>
  <c r="J15" i="15"/>
  <c r="E2" i="69"/>
  <c r="E13" i="76"/>
  <c r="B12" i="76"/>
  <c r="M24" i="15"/>
  <c r="C76" i="15"/>
  <c r="F9" i="15"/>
  <c r="M29" i="67"/>
  <c r="F20" i="31"/>
  <c r="D2" i="35"/>
  <c r="B13" i="76"/>
  <c r="AO12" i="1"/>
  <c r="F7" i="15"/>
  <c r="D2" i="33"/>
  <c r="F38" i="15"/>
  <c r="D2" i="21"/>
  <c r="B7" i="76"/>
  <c r="AO10" i="1"/>
  <c r="M8" i="67"/>
  <c r="F35" i="15"/>
  <c r="E11" i="76"/>
  <c r="F13" i="15"/>
  <c r="E9" i="76"/>
  <c r="E10" i="76"/>
  <c r="AO13" i="1"/>
  <c r="M6" i="67"/>
  <c r="M23" i="15"/>
  <c r="L48" i="15"/>
  <c r="AO7" i="1"/>
  <c r="D2" i="37"/>
  <c r="E7" i="76"/>
  <c r="E8" i="76"/>
  <c r="AO9" i="1"/>
  <c r="F16" i="67"/>
  <c r="F36" i="67"/>
  <c r="AO8" i="1"/>
  <c r="M9" i="67"/>
  <c r="F42" i="67"/>
  <c r="D2" i="34"/>
  <c r="F7" i="67"/>
  <c r="M8" i="15"/>
  <c r="M27" i="67"/>
  <c r="E12" i="76"/>
  <c r="M22" i="67"/>
  <c r="B4" i="49" l="1"/>
  <c r="D19" i="53"/>
  <c r="B24" i="72"/>
  <c r="D9" i="53"/>
  <c r="B25" i="72" s="1"/>
  <c r="S423" i="31"/>
  <c r="U423" i="31"/>
  <c r="S421" i="31"/>
  <c r="U421" i="31"/>
  <c r="S419" i="31"/>
  <c r="U419" i="31"/>
  <c r="S417" i="31"/>
  <c r="U417" i="31"/>
  <c r="S415" i="31"/>
  <c r="U415" i="31"/>
  <c r="S413" i="31"/>
  <c r="U413" i="31"/>
  <c r="S411" i="31"/>
  <c r="U411" i="31"/>
  <c r="S409" i="31"/>
  <c r="U409" i="31"/>
  <c r="S407" i="31"/>
  <c r="U407" i="31"/>
  <c r="S405" i="31"/>
  <c r="U405" i="31"/>
  <c r="S403" i="31"/>
  <c r="U403" i="31"/>
  <c r="S401" i="31"/>
  <c r="U401" i="31"/>
  <c r="S399" i="31"/>
  <c r="U399" i="31"/>
  <c r="S397" i="31"/>
  <c r="U397" i="31"/>
  <c r="S395" i="31"/>
  <c r="U395" i="31"/>
  <c r="S393" i="31"/>
  <c r="U393" i="31"/>
  <c r="S391" i="31"/>
  <c r="U391" i="31"/>
  <c r="S389" i="31"/>
  <c r="U389" i="31"/>
  <c r="S387" i="31"/>
  <c r="U387" i="31"/>
  <c r="S385" i="31"/>
  <c r="U385" i="31"/>
  <c r="S383" i="31"/>
  <c r="U383" i="31"/>
  <c r="S381" i="31"/>
  <c r="U381" i="31"/>
  <c r="S379" i="31"/>
  <c r="U379" i="31"/>
  <c r="S377" i="31"/>
  <c r="U377" i="31"/>
  <c r="S375" i="31"/>
  <c r="U375" i="31"/>
  <c r="S373" i="31"/>
  <c r="U373" i="31"/>
  <c r="S371" i="31"/>
  <c r="U371" i="31"/>
  <c r="S369" i="31"/>
  <c r="U369" i="31"/>
  <c r="S367" i="31"/>
  <c r="U367" i="31"/>
  <c r="S365" i="31"/>
  <c r="U365" i="31"/>
  <c r="S363" i="31"/>
  <c r="U363" i="31"/>
  <c r="S361" i="31"/>
  <c r="U361" i="31"/>
  <c r="S359" i="31"/>
  <c r="U359" i="31"/>
  <c r="S357" i="31"/>
  <c r="U357" i="31"/>
  <c r="S355" i="31"/>
  <c r="U355" i="31"/>
  <c r="S353" i="31"/>
  <c r="U353" i="31"/>
  <c r="S351" i="31"/>
  <c r="U351" i="31"/>
  <c r="S349" i="31"/>
  <c r="U349" i="31"/>
  <c r="S347" i="31"/>
  <c r="U347" i="31"/>
  <c r="S345" i="31"/>
  <c r="U345" i="31"/>
  <c r="S343" i="31"/>
  <c r="U343" i="31"/>
  <c r="S341" i="31"/>
  <c r="U341" i="31"/>
  <c r="S339" i="31"/>
  <c r="U339" i="31"/>
  <c r="S337" i="31"/>
  <c r="U337" i="31"/>
  <c r="S335" i="31"/>
  <c r="U335" i="31"/>
  <c r="S333" i="31"/>
  <c r="U333" i="31"/>
  <c r="S331" i="31"/>
  <c r="U331" i="31"/>
  <c r="S329" i="31"/>
  <c r="U329" i="31"/>
  <c r="S327" i="31"/>
  <c r="U327" i="31"/>
  <c r="S325" i="31"/>
  <c r="U325" i="31"/>
  <c r="S323" i="31"/>
  <c r="U323" i="31"/>
  <c r="S321" i="31"/>
  <c r="U321" i="31"/>
  <c r="S319" i="31"/>
  <c r="U319" i="31"/>
  <c r="S317" i="31"/>
  <c r="U317" i="31"/>
  <c r="S315" i="31"/>
  <c r="U315" i="31"/>
  <c r="S313" i="31"/>
  <c r="U313" i="31"/>
  <c r="S311" i="31"/>
  <c r="U311" i="31"/>
  <c r="S309" i="31"/>
  <c r="U309" i="31"/>
  <c r="S307" i="31"/>
  <c r="U307" i="31"/>
  <c r="S305" i="31"/>
  <c r="U305" i="31"/>
  <c r="S303" i="31"/>
  <c r="U303" i="31"/>
  <c r="S301" i="31"/>
  <c r="U301" i="31"/>
  <c r="S299" i="31"/>
  <c r="U299" i="31"/>
  <c r="S297" i="31"/>
  <c r="U297" i="31"/>
  <c r="S295" i="31"/>
  <c r="U295" i="31"/>
  <c r="S293" i="31"/>
  <c r="U293" i="31"/>
  <c r="S291" i="31"/>
  <c r="U291" i="31"/>
  <c r="S289" i="31"/>
  <c r="U289" i="31"/>
  <c r="S287" i="31"/>
  <c r="U287" i="31"/>
  <c r="S285" i="31"/>
  <c r="U285" i="31"/>
  <c r="S283" i="31"/>
  <c r="U283" i="31"/>
  <c r="S281" i="31"/>
  <c r="U281" i="31"/>
  <c r="S279" i="31"/>
  <c r="U279" i="31"/>
  <c r="S277" i="31"/>
  <c r="U277" i="31"/>
  <c r="S275" i="31"/>
  <c r="U275" i="31"/>
  <c r="S273" i="31"/>
  <c r="U273" i="31"/>
  <c r="G6" i="31"/>
  <c r="H6" i="31" s="1"/>
  <c r="I6" i="31" s="1"/>
  <c r="J6" i="31" s="1"/>
  <c r="K6" i="31" s="1"/>
  <c r="L6" i="31" s="1"/>
  <c r="M6" i="31" s="1"/>
  <c r="N6" i="31" s="1"/>
  <c r="O6" i="31" s="1"/>
  <c r="P6" i="31" s="1"/>
  <c r="Q6" i="31" s="1"/>
  <c r="R6" i="31" s="1"/>
  <c r="S6" i="31" s="1"/>
  <c r="B14" i="49"/>
  <c r="E16" i="49"/>
  <c r="C49" i="80"/>
  <c r="C48" i="80"/>
  <c r="W40" i="33"/>
  <c r="F69" i="33"/>
  <c r="E10" i="49"/>
  <c r="B5" i="49"/>
  <c r="B22" i="49"/>
  <c r="F37" i="33"/>
  <c r="E4" i="49"/>
  <c r="E5" i="49"/>
  <c r="E8" i="49"/>
  <c r="B9" i="49"/>
  <c r="C4" i="4" s="1"/>
  <c r="B4" i="62" s="1"/>
  <c r="B71" i="72" s="1"/>
  <c r="E22" i="49"/>
  <c r="B7" i="49"/>
  <c r="F36" i="33"/>
  <c r="H111" i="33"/>
  <c r="I111" i="33" s="1"/>
  <c r="J111" i="33" s="1"/>
  <c r="K111" i="33" s="1"/>
  <c r="L111" i="33" s="1"/>
  <c r="M111" i="33" s="1"/>
  <c r="H36" i="33"/>
  <c r="J36" i="33"/>
  <c r="J23" i="33"/>
  <c r="F85" i="33"/>
  <c r="G85" i="33" s="1"/>
  <c r="F23" i="33"/>
  <c r="H23" i="33"/>
  <c r="AB21" i="33"/>
  <c r="F77" i="33"/>
  <c r="G77" i="33" s="1"/>
  <c r="J15" i="33"/>
  <c r="F15" i="33"/>
  <c r="AA15" i="33" s="1"/>
  <c r="H15" i="33"/>
  <c r="F87" i="33"/>
  <c r="G87" i="33" s="1"/>
  <c r="H87" i="33" s="1"/>
  <c r="I87" i="33" s="1"/>
  <c r="J87" i="33" s="1"/>
  <c r="K87" i="33" s="1"/>
  <c r="L87" i="33" s="1"/>
  <c r="M87" i="33" s="1"/>
  <c r="F25" i="33"/>
  <c r="AA25" i="33" s="1"/>
  <c r="AB25" i="33"/>
  <c r="S17" i="33"/>
  <c r="AC35" i="33"/>
  <c r="U35" i="33"/>
  <c r="U32" i="33"/>
  <c r="W32" i="33"/>
  <c r="AB27" i="33"/>
  <c r="W27" i="33"/>
  <c r="W26" i="33"/>
  <c r="S25" i="33"/>
  <c r="AC25" i="33"/>
  <c r="AC21" i="33"/>
  <c r="U19" i="33"/>
  <c r="B55" i="43"/>
  <c r="B54" i="43"/>
  <c r="C27" i="39"/>
  <c r="B60" i="43"/>
  <c r="B49" i="43"/>
  <c r="C21" i="39"/>
  <c r="F34" i="15"/>
  <c r="F62" i="15" s="1"/>
  <c r="F30" i="69"/>
  <c r="C48" i="69" s="1"/>
  <c r="M18" i="15"/>
  <c r="F52" i="9"/>
  <c r="C30" i="11"/>
  <c r="F54" i="9"/>
  <c r="F32" i="15"/>
  <c r="F60" i="15" s="1"/>
  <c r="F32" i="67"/>
  <c r="F60" i="67" s="1"/>
  <c r="F28" i="67"/>
  <c r="C13" i="12"/>
  <c r="D68" i="9"/>
  <c r="F28" i="15"/>
  <c r="C28" i="15" s="1"/>
  <c r="M18" i="67"/>
  <c r="F31" i="12"/>
  <c r="F30" i="68"/>
  <c r="C30" i="68" s="1"/>
  <c r="C31" i="12"/>
  <c r="C9" i="68"/>
  <c r="E11" i="49"/>
  <c r="B8" i="49"/>
  <c r="B6" i="49"/>
  <c r="E9" i="49"/>
  <c r="E21" i="49"/>
  <c r="B11" i="49"/>
  <c r="B13" i="49"/>
  <c r="E6" i="49"/>
  <c r="E7" i="49"/>
  <c r="B16" i="49"/>
  <c r="E4" i="4" s="1"/>
  <c r="B5" i="62" s="1"/>
  <c r="B73" i="72" s="1"/>
  <c r="B10" i="49"/>
  <c r="AR8" i="1"/>
  <c r="C36" i="69"/>
  <c r="T8" i="1"/>
  <c r="E2" i="70"/>
  <c r="AZ16" i="3"/>
  <c r="AZ115" i="3"/>
  <c r="M103" i="43"/>
  <c r="AZ172" i="3"/>
  <c r="AZ116" i="3"/>
  <c r="AZ151" i="3"/>
  <c r="AZ127" i="3"/>
  <c r="AZ124" i="3"/>
  <c r="BL16" i="3"/>
  <c r="BA208" i="3"/>
  <c r="AZ208" i="3" s="1"/>
  <c r="BL208" i="3"/>
  <c r="BL211" i="3"/>
  <c r="BL219" i="3"/>
  <c r="BL222" i="3"/>
  <c r="AZ222" i="3" s="1"/>
  <c r="BL224" i="3"/>
  <c r="AZ224" i="3" s="1"/>
  <c r="BL227" i="3"/>
  <c r="AZ227" i="3" s="1"/>
  <c r="BL236" i="3"/>
  <c r="BL238" i="3"/>
  <c r="AZ238" i="3" s="1"/>
  <c r="BL243" i="3"/>
  <c r="AZ243" i="3" s="1"/>
  <c r="BL252" i="3"/>
  <c r="BL254" i="3"/>
  <c r="AZ254" i="3" s="1"/>
  <c r="BL259" i="3"/>
  <c r="AZ259" i="3" s="1"/>
  <c r="BA113" i="3"/>
  <c r="AZ113" i="3" s="1"/>
  <c r="BA114" i="3"/>
  <c r="AZ114" i="3" s="1"/>
  <c r="BL115" i="3"/>
  <c r="BA118" i="3"/>
  <c r="AZ118" i="3" s="1"/>
  <c r="BL119" i="3"/>
  <c r="BA121" i="3"/>
  <c r="AZ121" i="3" s="1"/>
  <c r="BA122" i="3"/>
  <c r="BL122" i="3"/>
  <c r="BA124" i="3"/>
  <c r="BA126" i="3"/>
  <c r="BL126" i="3"/>
  <c r="BA128" i="3"/>
  <c r="AZ128" i="3" s="1"/>
  <c r="BL130" i="3"/>
  <c r="AZ130" i="3" s="1"/>
  <c r="BA133" i="3"/>
  <c r="AZ133" i="3" s="1"/>
  <c r="BA136" i="3"/>
  <c r="AZ136" i="3" s="1"/>
  <c r="BL137" i="3"/>
  <c r="BA141" i="3"/>
  <c r="BL141" i="3"/>
  <c r="BA144" i="3"/>
  <c r="AZ144" i="3" s="1"/>
  <c r="BL145" i="3"/>
  <c r="AZ145" i="3" s="1"/>
  <c r="BA149" i="3"/>
  <c r="AZ149" i="3" s="1"/>
  <c r="BA150" i="3"/>
  <c r="AZ150" i="3" s="1"/>
  <c r="BL151" i="3"/>
  <c r="BA153" i="3"/>
  <c r="AZ153" i="3" s="1"/>
  <c r="BA154" i="3"/>
  <c r="AZ154" i="3" s="1"/>
  <c r="BL155" i="3"/>
  <c r="AZ155" i="3" s="1"/>
  <c r="BA157" i="3"/>
  <c r="BL157" i="3"/>
  <c r="AZ27" i="3"/>
  <c r="BL15" i="3"/>
  <c r="AZ15" i="3" s="1"/>
  <c r="AZ236" i="3"/>
  <c r="AZ137" i="3"/>
  <c r="BL158" i="3"/>
  <c r="AZ158" i="3" s="1"/>
  <c r="BA162" i="3"/>
  <c r="BL162" i="3"/>
  <c r="BA164" i="3"/>
  <c r="AZ164" i="3" s="1"/>
  <c r="BA168" i="3"/>
  <c r="AZ168" i="3" s="1"/>
  <c r="BA172" i="3"/>
  <c r="BL174" i="3"/>
  <c r="AZ174" i="3" s="1"/>
  <c r="BA178" i="3"/>
  <c r="BL178" i="3"/>
  <c r="BA180" i="3"/>
  <c r="AZ180" i="3" s="1"/>
  <c r="BA184" i="3"/>
  <c r="AZ184" i="3" s="1"/>
  <c r="BA188" i="3"/>
  <c r="AZ188" i="3" s="1"/>
  <c r="BL190" i="3"/>
  <c r="AZ190" i="3" s="1"/>
  <c r="BA194" i="3"/>
  <c r="BL194" i="3"/>
  <c r="BA196" i="3"/>
  <c r="AZ196" i="3" s="1"/>
  <c r="BA200" i="3"/>
  <c r="AZ200" i="3" s="1"/>
  <c r="BL205" i="3"/>
  <c r="AZ205" i="3" s="1"/>
  <c r="BL18" i="3"/>
  <c r="AZ18" i="3" s="1"/>
  <c r="BL20" i="3"/>
  <c r="AZ20" i="3" s="1"/>
  <c r="BL23" i="3"/>
  <c r="AZ23" i="3" s="1"/>
  <c r="BL27" i="3"/>
  <c r="BL29" i="3"/>
  <c r="AZ29" i="3" s="1"/>
  <c r="BL35" i="3"/>
  <c r="AZ35" i="3" s="1"/>
  <c r="BL38" i="3"/>
  <c r="BL44" i="3"/>
  <c r="BL48" i="3"/>
  <c r="BL53" i="3"/>
  <c r="AZ53" i="3" s="1"/>
  <c r="BL60" i="3"/>
  <c r="BL64" i="3"/>
  <c r="BL69" i="3"/>
  <c r="AZ69" i="3" s="1"/>
  <c r="BL74" i="3"/>
  <c r="AZ74" i="3" s="1"/>
  <c r="BL78" i="3"/>
  <c r="BL80" i="3"/>
  <c r="AZ80" i="3" s="1"/>
  <c r="BL87" i="3"/>
  <c r="AZ87" i="3" s="1"/>
  <c r="BL89" i="3"/>
  <c r="AZ89" i="3" s="1"/>
  <c r="BL95" i="3"/>
  <c r="AZ95" i="3" s="1"/>
  <c r="BL100" i="3"/>
  <c r="AZ100" i="3" s="1"/>
  <c r="BL102" i="3"/>
  <c r="AZ102" i="3" s="1"/>
  <c r="BL105" i="3"/>
  <c r="AZ105" i="3" s="1"/>
  <c r="BL108" i="3"/>
  <c r="BL109" i="3"/>
  <c r="AZ109" i="3" s="1"/>
  <c r="BL110" i="3"/>
  <c r="AZ110" i="3" s="1"/>
  <c r="BL111" i="3"/>
  <c r="AZ111" i="3" s="1"/>
  <c r="M102" i="43"/>
  <c r="E22" i="43"/>
  <c r="F101" i="43"/>
  <c r="F102" i="43" s="1"/>
  <c r="P7" i="1"/>
  <c r="E103" i="43"/>
  <c r="AR11" i="1"/>
  <c r="T35" i="4"/>
  <c r="A19" i="51" s="1"/>
  <c r="B14" i="72" s="1"/>
  <c r="A15" i="62"/>
  <c r="B61" i="72" s="1"/>
  <c r="C65" i="40"/>
  <c r="D63" i="40"/>
  <c r="U7" i="33"/>
  <c r="C28" i="67"/>
  <c r="B8" i="70"/>
  <c r="B7" i="70"/>
  <c r="F69" i="15"/>
  <c r="F63" i="15"/>
  <c r="C62" i="15" s="1"/>
  <c r="J20" i="15"/>
  <c r="F70" i="67"/>
  <c r="F64" i="67"/>
  <c r="L56" i="15"/>
  <c r="J57" i="15"/>
  <c r="J55" i="15" s="1"/>
  <c r="J58" i="15" s="1"/>
  <c r="Q50" i="15" s="1"/>
  <c r="I54" i="15"/>
  <c r="F71" i="67"/>
  <c r="F66" i="15"/>
  <c r="F50" i="15"/>
  <c r="M7" i="15"/>
  <c r="F71" i="15"/>
  <c r="F65" i="67"/>
  <c r="Q71" i="15"/>
  <c r="F50" i="67"/>
  <c r="M7" i="67"/>
  <c r="F51" i="67"/>
  <c r="B12" i="70"/>
  <c r="B13" i="70"/>
  <c r="B9" i="70"/>
  <c r="B10" i="70"/>
  <c r="B11" i="70"/>
  <c r="J58" i="21"/>
  <c r="K58" i="21" s="1"/>
  <c r="L58" i="21" s="1"/>
  <c r="M58" i="21" s="1"/>
  <c r="N58" i="21" s="1"/>
  <c r="O58" i="21" s="1"/>
  <c r="I59" i="34"/>
  <c r="J59" i="34" s="1"/>
  <c r="K59" i="34" s="1"/>
  <c r="L59" i="34" s="1"/>
  <c r="M59" i="34" s="1"/>
  <c r="N59" i="34" s="1"/>
  <c r="O59" i="34" s="1"/>
  <c r="H7" i="34"/>
  <c r="H48" i="35"/>
  <c r="I48" i="35" s="1"/>
  <c r="J48" i="35" s="1"/>
  <c r="K48" i="35" s="1"/>
  <c r="L48" i="35" s="1"/>
  <c r="M48" i="35" s="1"/>
  <c r="N48" i="35" s="1"/>
  <c r="O48" i="35" s="1"/>
  <c r="F7" i="35"/>
  <c r="I46" i="36"/>
  <c r="J46" i="36" s="1"/>
  <c r="K46" i="36" s="1"/>
  <c r="L46" i="36" s="1"/>
  <c r="M46" i="36" s="1"/>
  <c r="N46" i="36" s="1"/>
  <c r="O46" i="36" s="1"/>
  <c r="J7" i="36"/>
  <c r="P25" i="43"/>
  <c r="P24" i="43"/>
  <c r="B66" i="40" s="1"/>
  <c r="P23" i="43"/>
  <c r="B71" i="39" s="1"/>
  <c r="D12" i="52"/>
  <c r="D127" i="9"/>
  <c r="D13" i="52" s="1"/>
  <c r="F70" i="39"/>
  <c r="G68" i="39"/>
  <c r="K52" i="37"/>
  <c r="L52" i="37" s="1"/>
  <c r="M52" i="37" s="1"/>
  <c r="N52" i="37" s="1"/>
  <c r="O52" i="37" s="1"/>
  <c r="F7" i="37"/>
  <c r="F7" i="36"/>
  <c r="P6" i="1"/>
  <c r="AC17" i="21"/>
  <c r="W17" i="21"/>
  <c r="W37" i="21"/>
  <c r="AC37" i="21"/>
  <c r="I109" i="43"/>
  <c r="I102" i="43"/>
  <c r="I106" i="43"/>
  <c r="I103" i="43"/>
  <c r="D109" i="43"/>
  <c r="D103" i="43"/>
  <c r="D104" i="43"/>
  <c r="D107" i="43"/>
  <c r="S19" i="33"/>
  <c r="AA19" i="33"/>
  <c r="C48" i="68"/>
  <c r="C74" i="9"/>
  <c r="C30" i="69"/>
  <c r="C24" i="12"/>
  <c r="P12" i="1"/>
  <c r="N102" i="43"/>
  <c r="N105" i="43"/>
  <c r="N104" i="43"/>
  <c r="K103" i="43"/>
  <c r="K102" i="43"/>
  <c r="K105" i="43"/>
  <c r="Q16" i="1"/>
  <c r="H16" i="1"/>
  <c r="P9" i="1"/>
  <c r="AA20" i="36"/>
  <c r="S20" i="36"/>
  <c r="W39" i="34"/>
  <c r="AC39" i="34"/>
  <c r="S35" i="33"/>
  <c r="AA35" i="33"/>
  <c r="S34" i="33"/>
  <c r="AA34" i="33"/>
  <c r="AC27" i="40"/>
  <c r="W27" i="40"/>
  <c r="G16" i="1"/>
  <c r="H73" i="43"/>
  <c r="H75" i="43"/>
  <c r="H70" i="43"/>
  <c r="H72" i="43"/>
  <c r="F30" i="6"/>
  <c r="AZ372" i="3"/>
  <c r="AZ337" i="3"/>
  <c r="AZ305" i="3"/>
  <c r="AZ119" i="3"/>
  <c r="W11" i="39"/>
  <c r="AC11" i="39"/>
  <c r="AA15" i="39"/>
  <c r="S15" i="39"/>
  <c r="S19" i="40"/>
  <c r="AA19" i="40"/>
  <c r="U19" i="40"/>
  <c r="AB19" i="40"/>
  <c r="S31" i="37"/>
  <c r="AA31" i="37"/>
  <c r="AB12" i="37"/>
  <c r="U12" i="37"/>
  <c r="S9" i="37"/>
  <c r="AA9" i="37"/>
  <c r="W9" i="37"/>
  <c r="AC9" i="37"/>
  <c r="AZ509" i="3"/>
  <c r="G521" i="3"/>
  <c r="AC5" i="3"/>
  <c r="AZ501" i="3"/>
  <c r="AZ511" i="3"/>
  <c r="AZ515" i="3"/>
  <c r="AZ519" i="3"/>
  <c r="AZ573" i="3"/>
  <c r="AZ508" i="3"/>
  <c r="AZ520" i="3"/>
  <c r="AZ558" i="3"/>
  <c r="AC36" i="37"/>
  <c r="W36" i="37"/>
  <c r="AC14" i="39"/>
  <c r="W14" i="39"/>
  <c r="W13" i="34"/>
  <c r="AC13" i="34"/>
  <c r="S14" i="33"/>
  <c r="AA14" i="33"/>
  <c r="U40" i="37"/>
  <c r="AB40" i="37"/>
  <c r="AA11" i="36"/>
  <c r="S11" i="36"/>
  <c r="AC11" i="35"/>
  <c r="W11" i="35"/>
  <c r="W30" i="34"/>
  <c r="AC30" i="34"/>
  <c r="AA45" i="33"/>
  <c r="S45" i="33"/>
  <c r="AC29" i="33"/>
  <c r="W29" i="33"/>
  <c r="U37" i="34"/>
  <c r="AB37" i="34"/>
  <c r="S15" i="40"/>
  <c r="AA15" i="40"/>
  <c r="AA17" i="40"/>
  <c r="S17" i="40"/>
  <c r="U28" i="40"/>
  <c r="AB28" i="40"/>
  <c r="AA37" i="34"/>
  <c r="S37" i="34"/>
  <c r="W20" i="35"/>
  <c r="AC20" i="35"/>
  <c r="S16" i="35"/>
  <c r="AA16" i="35"/>
  <c r="AB30" i="35"/>
  <c r="U30" i="35"/>
  <c r="S11" i="21"/>
  <c r="AA11" i="21"/>
  <c r="AC23" i="40"/>
  <c r="W23" i="40"/>
  <c r="AB40" i="39"/>
  <c r="U40" i="39"/>
  <c r="AA26" i="33"/>
  <c r="S26" i="33"/>
  <c r="AB22" i="35"/>
  <c r="U22" i="35"/>
  <c r="W26" i="21"/>
  <c r="AC26" i="21"/>
  <c r="AZ586" i="3"/>
  <c r="BL575" i="3"/>
  <c r="AZ575" i="3" s="1"/>
  <c r="BL571" i="3"/>
  <c r="AZ571" i="3" s="1"/>
  <c r="BL561" i="3"/>
  <c r="AZ561" i="3" s="1"/>
  <c r="AZ560" i="3"/>
  <c r="AZ559" i="3"/>
  <c r="U15" i="21"/>
  <c r="AB15" i="21"/>
  <c r="AA37" i="21"/>
  <c r="S37" i="21"/>
  <c r="P11" i="1"/>
  <c r="O19" i="43"/>
  <c r="E104" i="43"/>
  <c r="E107" i="43"/>
  <c r="E105" i="43"/>
  <c r="E109" i="43"/>
  <c r="M109" i="43"/>
  <c r="M104" i="43"/>
  <c r="M107" i="43"/>
  <c r="M105" i="43"/>
  <c r="AR9" i="1"/>
  <c r="AQ9" i="1"/>
  <c r="T9" i="1"/>
  <c r="AQ10" i="1"/>
  <c r="AR10" i="1"/>
  <c r="AB12" i="39"/>
  <c r="U12" i="39"/>
  <c r="F104" i="43"/>
  <c r="F105" i="43"/>
  <c r="AB44" i="34"/>
  <c r="U44" i="34"/>
  <c r="S10" i="33"/>
  <c r="AA10" i="33"/>
  <c r="S27" i="40"/>
  <c r="AA27" i="40"/>
  <c r="U27" i="40"/>
  <c r="AB27" i="40"/>
  <c r="H83" i="43"/>
  <c r="H82" i="43"/>
  <c r="H81" i="43"/>
  <c r="H88" i="43"/>
  <c r="G28" i="6"/>
  <c r="S12" i="39"/>
  <c r="AA12" i="39"/>
  <c r="S36" i="35"/>
  <c r="AA36" i="35"/>
  <c r="AZ521" i="3"/>
  <c r="AZ565" i="3"/>
  <c r="AZ569" i="3"/>
  <c r="AZ577" i="3"/>
  <c r="AZ583" i="3"/>
  <c r="AZ532" i="3"/>
  <c r="AZ544" i="3"/>
  <c r="AZ556" i="3"/>
  <c r="U13" i="34"/>
  <c r="AB13" i="34"/>
  <c r="S44" i="33"/>
  <c r="AA44" i="33"/>
  <c r="U14" i="33"/>
  <c r="AB14" i="33"/>
  <c r="AC40" i="37"/>
  <c r="W40" i="37"/>
  <c r="S29" i="37"/>
  <c r="AA29" i="37"/>
  <c r="AB13" i="36"/>
  <c r="U13" i="36"/>
  <c r="U11" i="36"/>
  <c r="AB11" i="36"/>
  <c r="S11" i="35"/>
  <c r="AA11" i="35"/>
  <c r="S30" i="34"/>
  <c r="AA30" i="34"/>
  <c r="W14" i="34"/>
  <c r="AC14" i="34"/>
  <c r="W45" i="33"/>
  <c r="AC45" i="33"/>
  <c r="U29" i="33"/>
  <c r="AB29" i="33"/>
  <c r="S13" i="33"/>
  <c r="AA13" i="33"/>
  <c r="S30" i="35"/>
  <c r="AA30" i="35"/>
  <c r="AA28" i="33"/>
  <c r="S28" i="33"/>
  <c r="U26" i="33"/>
  <c r="AB26" i="33"/>
  <c r="AB15" i="40"/>
  <c r="U15" i="40"/>
  <c r="W17" i="40"/>
  <c r="AC17" i="40"/>
  <c r="U36" i="34"/>
  <c r="AB36" i="34"/>
  <c r="AB14" i="35"/>
  <c r="U14" i="35"/>
  <c r="AA14" i="35"/>
  <c r="S14" i="35"/>
  <c r="AA24" i="36"/>
  <c r="S24" i="36"/>
  <c r="AB16" i="36"/>
  <c r="U16" i="36"/>
  <c r="W30" i="35"/>
  <c r="AC30" i="35"/>
  <c r="AC19" i="39"/>
  <c r="W19" i="39"/>
  <c r="AB42" i="39"/>
  <c r="U42" i="39"/>
  <c r="AA21" i="40"/>
  <c r="S21" i="40"/>
  <c r="AA17" i="39"/>
  <c r="S17" i="39"/>
  <c r="U39" i="39"/>
  <c r="AB39" i="39"/>
  <c r="AB39" i="33"/>
  <c r="U39" i="33"/>
  <c r="W33" i="36"/>
  <c r="AC33" i="36"/>
  <c r="AA29" i="36"/>
  <c r="S29" i="36"/>
  <c r="B113" i="43"/>
  <c r="G101" i="43"/>
  <c r="C101" i="43"/>
  <c r="J101" i="43"/>
  <c r="N104" i="46"/>
  <c r="L101" i="43"/>
  <c r="H101" i="43"/>
  <c r="G22" i="43"/>
  <c r="D22" i="43" s="1"/>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3" i="43"/>
  <c r="AZ547" i="3"/>
  <c r="AZ546" i="3"/>
  <c r="BL545" i="3"/>
  <c r="AZ545" i="3" s="1"/>
  <c r="AZ543" i="3"/>
  <c r="BL541" i="3"/>
  <c r="AZ541" i="3" s="1"/>
  <c r="AZ539" i="3"/>
  <c r="BL537" i="3"/>
  <c r="AZ537" i="3" s="1"/>
  <c r="AZ535" i="3"/>
  <c r="BL533" i="3"/>
  <c r="AZ533" i="3" s="1"/>
  <c r="AZ531" i="3"/>
  <c r="BL529" i="3"/>
  <c r="G29" i="6"/>
  <c r="E29" i="6" s="1"/>
  <c r="K15" i="1" s="1"/>
  <c r="AZ527" i="3"/>
  <c r="S15" i="33"/>
  <c r="S10" i="34"/>
  <c r="W34" i="34"/>
  <c r="U39" i="34"/>
  <c r="W24" i="35"/>
  <c r="F12" i="33"/>
  <c r="AC14" i="35"/>
  <c r="BB5" i="3"/>
  <c r="E8" i="6" s="1"/>
  <c r="E51" i="40" s="1"/>
  <c r="BC5" i="3"/>
  <c r="H5" i="3"/>
  <c r="S42" i="21"/>
  <c r="H27" i="34"/>
  <c r="J14" i="37"/>
  <c r="F14" i="37"/>
  <c r="H35" i="35"/>
  <c r="F35" i="35"/>
  <c r="H25" i="35"/>
  <c r="F25" i="35"/>
  <c r="H13" i="35"/>
  <c r="J13" i="35"/>
  <c r="J47" i="34"/>
  <c r="F47" i="34"/>
  <c r="F45" i="34"/>
  <c r="J45" i="34"/>
  <c r="F31" i="34"/>
  <c r="H31" i="34"/>
  <c r="H29" i="34"/>
  <c r="F30" i="33"/>
  <c r="F27" i="21"/>
  <c r="H27" i="21"/>
  <c r="F46" i="21"/>
  <c r="J46" i="21"/>
  <c r="S38" i="33"/>
  <c r="F27" i="34"/>
  <c r="W39" i="33"/>
  <c r="U33" i="33"/>
  <c r="W9" i="34"/>
  <c r="S34" i="35"/>
  <c r="U31" i="36"/>
  <c r="U14" i="37"/>
  <c r="F39" i="37"/>
  <c r="H23" i="35"/>
  <c r="J23" i="35"/>
  <c r="F38" i="40"/>
  <c r="J38" i="40"/>
  <c r="H38" i="40"/>
  <c r="BL550" i="3"/>
  <c r="AZ550" i="3" s="1"/>
  <c r="O8" i="1"/>
  <c r="P8" i="1" s="1"/>
  <c r="AZ399" i="3"/>
  <c r="AZ404" i="3"/>
  <c r="AZ411" i="3"/>
  <c r="AZ414" i="3"/>
  <c r="AZ421" i="3"/>
  <c r="AZ430" i="3"/>
  <c r="AZ440" i="3"/>
  <c r="AZ449" i="3"/>
  <c r="AZ453" i="3"/>
  <c r="AZ455" i="3"/>
  <c r="AZ460" i="3"/>
  <c r="AZ471" i="3"/>
  <c r="AZ476" i="3"/>
  <c r="J12" i="36"/>
  <c r="H12" i="36"/>
  <c r="J24" i="36"/>
  <c r="H24" i="36"/>
  <c r="J39" i="40"/>
  <c r="H39" i="40"/>
  <c r="BA551" i="3"/>
  <c r="AZ551" i="3" s="1"/>
  <c r="AZ409" i="3"/>
  <c r="AZ425" i="3"/>
  <c r="AZ432" i="3"/>
  <c r="AZ464" i="3"/>
  <c r="AZ467" i="3"/>
  <c r="AZ474" i="3"/>
  <c r="AZ479" i="3"/>
  <c r="AZ484" i="3"/>
  <c r="AZ226" i="3"/>
  <c r="AZ230" i="3"/>
  <c r="AZ242" i="3"/>
  <c r="AZ246" i="3"/>
  <c r="AZ262" i="3"/>
  <c r="AZ267" i="3"/>
  <c r="AZ480" i="3"/>
  <c r="AZ211" i="3"/>
  <c r="AZ219" i="3"/>
  <c r="AZ252" i="3"/>
  <c r="AZ301" i="3"/>
  <c r="AZ122" i="3"/>
  <c r="AZ125" i="3"/>
  <c r="AZ293" i="3"/>
  <c r="AZ126" i="3"/>
  <c r="AZ129" i="3"/>
  <c r="AZ141" i="3"/>
  <c r="AZ161" i="3"/>
  <c r="AZ177" i="3"/>
  <c r="AZ193" i="3"/>
  <c r="AZ34" i="3"/>
  <c r="AZ38" i="3"/>
  <c r="AZ44" i="3"/>
  <c r="AZ48" i="3"/>
  <c r="AZ60" i="3"/>
  <c r="AZ64" i="3"/>
  <c r="AZ78" i="3"/>
  <c r="AZ91" i="3"/>
  <c r="AZ98" i="3"/>
  <c r="AZ104" i="3"/>
  <c r="AZ108" i="3"/>
  <c r="S21" i="37"/>
  <c r="C19" i="71"/>
  <c r="D18" i="71"/>
  <c r="C15" i="71"/>
  <c r="D14" i="71"/>
  <c r="D24" i="67"/>
  <c r="D23" i="67"/>
  <c r="B10" i="71"/>
  <c r="B9" i="71" s="1"/>
  <c r="S11" i="71"/>
  <c r="C26" i="71"/>
  <c r="D25" i="71"/>
  <c r="C30" i="71"/>
  <c r="D30" i="71" s="1"/>
  <c r="D29" i="71"/>
  <c r="D33" i="71"/>
  <c r="C34" i="71"/>
  <c r="D37" i="71"/>
  <c r="C38" i="71"/>
  <c r="C29" i="39"/>
  <c r="B66" i="43"/>
  <c r="V11" i="71"/>
  <c r="AB11" i="71"/>
  <c r="AB9" i="71"/>
  <c r="D17" i="71"/>
  <c r="X9" i="71"/>
  <c r="Y11" i="71"/>
  <c r="Z11" i="71" s="1"/>
  <c r="Y10" i="71"/>
  <c r="Z10" i="71" s="1"/>
  <c r="Y9" i="71"/>
  <c r="Z9" i="71" s="1"/>
  <c r="Y8" i="71"/>
  <c r="Z8" i="71" s="1"/>
  <c r="Y3" i="71"/>
  <c r="Z3" i="71" s="1"/>
  <c r="X18" i="71"/>
  <c r="X17" i="71"/>
  <c r="AA15" i="71"/>
  <c r="AA14" i="71"/>
  <c r="AB12" i="71"/>
  <c r="V51" i="71"/>
  <c r="F50" i="71"/>
  <c r="AA7" i="71"/>
  <c r="AA6" i="71"/>
  <c r="X6" i="71"/>
  <c r="AA5" i="71"/>
  <c r="X5" i="71"/>
  <c r="AB7" i="71"/>
  <c r="Y5" i="71"/>
  <c r="Z5" i="71" s="1"/>
  <c r="AB5" i="71"/>
  <c r="J1" i="73"/>
  <c r="P74" i="67"/>
  <c r="X7" i="71"/>
  <c r="Y7" i="71"/>
  <c r="Z7" i="71" s="1"/>
  <c r="V7" i="71"/>
  <c r="B7" i="71"/>
  <c r="C7" i="71"/>
  <c r="Y6" i="71"/>
  <c r="Z6" i="71" s="1"/>
  <c r="AB6" i="71"/>
  <c r="M17" i="67"/>
  <c r="F59" i="67"/>
  <c r="F31" i="15"/>
  <c r="M17" i="15"/>
  <c r="M6" i="15"/>
  <c r="F26" i="67"/>
  <c r="J15" i="67"/>
  <c r="M24" i="67"/>
  <c r="F37" i="15"/>
  <c r="C76" i="67"/>
  <c r="F6" i="15"/>
  <c r="F3" i="73"/>
  <c r="L47" i="67"/>
  <c r="F16" i="15"/>
  <c r="M28" i="67"/>
  <c r="F6" i="73"/>
  <c r="L48" i="67"/>
  <c r="F8" i="15"/>
  <c r="F13" i="67"/>
  <c r="F40" i="15"/>
  <c r="F5" i="73"/>
  <c r="F9" i="67"/>
  <c r="C17" i="67"/>
  <c r="M22" i="15"/>
  <c r="F36" i="15"/>
  <c r="C14" i="15"/>
  <c r="F40" i="67"/>
  <c r="M29" i="15"/>
  <c r="F38" i="67"/>
  <c r="M26" i="15"/>
  <c r="C16" i="67"/>
  <c r="M28" i="15"/>
  <c r="M26" i="67"/>
  <c r="F4" i="73"/>
  <c r="C14" i="67"/>
  <c r="C17" i="15"/>
  <c r="M23" i="67"/>
  <c r="F7" i="73"/>
  <c r="L47" i="15"/>
  <c r="F26" i="15"/>
  <c r="D20" i="53" l="1"/>
  <c r="B40" i="72" s="1"/>
  <c r="B38" i="72"/>
  <c r="E38" i="31"/>
  <c r="C49" i="67"/>
  <c r="B3" i="80"/>
  <c r="U6" i="1" s="1"/>
  <c r="B2" i="80"/>
  <c r="G69" i="33"/>
  <c r="H69" i="33" s="1"/>
  <c r="H11" i="33" s="1"/>
  <c r="S37" i="33"/>
  <c r="AA37" i="33"/>
  <c r="AC36" i="33"/>
  <c r="W36" i="33"/>
  <c r="U36" i="33"/>
  <c r="AB36" i="33"/>
  <c r="S36" i="33"/>
  <c r="AA36" i="33"/>
  <c r="AB23" i="33"/>
  <c r="U23" i="33"/>
  <c r="S23" i="33"/>
  <c r="AA23" i="33"/>
  <c r="AC23" i="33"/>
  <c r="W23" i="33"/>
  <c r="AB15" i="33"/>
  <c r="U15" i="33"/>
  <c r="AC15" i="33"/>
  <c r="W15" i="33"/>
  <c r="J53" i="67"/>
  <c r="C34" i="15"/>
  <c r="K4" i="4"/>
  <c r="B46" i="48" s="1"/>
  <c r="B4" i="72" s="1"/>
  <c r="AZ194" i="3"/>
  <c r="AZ178" i="3"/>
  <c r="AZ162" i="3"/>
  <c r="AZ157" i="3"/>
  <c r="F106" i="43"/>
  <c r="F103" i="43"/>
  <c r="F107" i="43"/>
  <c r="F109" i="43"/>
  <c r="C18" i="15"/>
  <c r="C15" i="15"/>
  <c r="F27" i="6"/>
  <c r="F31" i="6" s="1"/>
  <c r="E56" i="39"/>
  <c r="J7" i="37"/>
  <c r="J7" i="34"/>
  <c r="F7" i="34"/>
  <c r="D65" i="40"/>
  <c r="E63" i="40"/>
  <c r="I1" i="73"/>
  <c r="B39" i="1" s="1"/>
  <c r="C27" i="15"/>
  <c r="F68" i="15"/>
  <c r="F64" i="15"/>
  <c r="C6" i="15"/>
  <c r="F66" i="67"/>
  <c r="Q71" i="67"/>
  <c r="F51" i="15"/>
  <c r="M59" i="15"/>
  <c r="N59" i="15"/>
  <c r="L58" i="15"/>
  <c r="L59" i="15"/>
  <c r="F65" i="15"/>
  <c r="J6" i="15"/>
  <c r="F68" i="67"/>
  <c r="L58" i="67"/>
  <c r="L59" i="67"/>
  <c r="N59" i="67"/>
  <c r="M59" i="67"/>
  <c r="L56" i="67"/>
  <c r="I54" i="67"/>
  <c r="J57" i="67"/>
  <c r="J55" i="67" s="1"/>
  <c r="J58" i="67" s="1"/>
  <c r="Q50" i="67" s="1"/>
  <c r="C27" i="67"/>
  <c r="C15" i="67"/>
  <c r="C18" i="67"/>
  <c r="B6" i="71"/>
  <c r="B5" i="71" s="1"/>
  <c r="S7" i="71"/>
  <c r="C39" i="71"/>
  <c r="D38" i="71"/>
  <c r="C35" i="71"/>
  <c r="D34" i="71"/>
  <c r="AC39" i="40"/>
  <c r="W39" i="40"/>
  <c r="AC24" i="36"/>
  <c r="W24" i="36"/>
  <c r="AC12" i="36"/>
  <c r="W12" i="36"/>
  <c r="AC38" i="40"/>
  <c r="W38" i="40"/>
  <c r="AC23" i="35"/>
  <c r="W23" i="35"/>
  <c r="S39" i="37"/>
  <c r="AA39" i="37"/>
  <c r="AA46" i="21"/>
  <c r="S46" i="21"/>
  <c r="S27" i="21"/>
  <c r="AA27" i="21"/>
  <c r="U29" i="34"/>
  <c r="AB29" i="34"/>
  <c r="S31" i="34"/>
  <c r="AA31" i="34"/>
  <c r="AA45" i="34"/>
  <c r="S45" i="34"/>
  <c r="AC47" i="34"/>
  <c r="W47" i="34"/>
  <c r="AB13" i="35"/>
  <c r="U13" i="35"/>
  <c r="AB25" i="35"/>
  <c r="U25" i="35"/>
  <c r="U35" i="35"/>
  <c r="AB35" i="35"/>
  <c r="W14" i="37"/>
  <c r="AC14" i="37"/>
  <c r="L102" i="43"/>
  <c r="L105" i="43"/>
  <c r="L104" i="43"/>
  <c r="L109" i="43"/>
  <c r="L107" i="43"/>
  <c r="L106" i="43"/>
  <c r="L103" i="43"/>
  <c r="J107" i="43"/>
  <c r="J102" i="43"/>
  <c r="J105" i="43"/>
  <c r="J106" i="43"/>
  <c r="J109" i="43"/>
  <c r="J104" i="43"/>
  <c r="J103" i="43"/>
  <c r="G107" i="43"/>
  <c r="G104" i="43"/>
  <c r="G106" i="43"/>
  <c r="G109" i="43"/>
  <c r="G105" i="43"/>
  <c r="G102" i="43"/>
  <c r="G103" i="43"/>
  <c r="C6" i="71"/>
  <c r="T7" i="71"/>
  <c r="D7" i="71"/>
  <c r="U7" i="71" s="1"/>
  <c r="F49" i="71"/>
  <c r="Q50" i="71"/>
  <c r="C27" i="71"/>
  <c r="D26" i="71"/>
  <c r="D15" i="71"/>
  <c r="T15" i="71"/>
  <c r="D19" i="71"/>
  <c r="T19" i="71"/>
  <c r="U39" i="40"/>
  <c r="AB39" i="40"/>
  <c r="AB24" i="36"/>
  <c r="U24" i="36"/>
  <c r="U12" i="36"/>
  <c r="AB12" i="36"/>
  <c r="AB38" i="40"/>
  <c r="U38" i="40"/>
  <c r="AA38" i="40"/>
  <c r="S38" i="40"/>
  <c r="U23" i="35"/>
  <c r="AB23" i="35"/>
  <c r="S27" i="34"/>
  <c r="AA27" i="34"/>
  <c r="AC46" i="21"/>
  <c r="W46" i="21"/>
  <c r="AB27" i="21"/>
  <c r="U27" i="21"/>
  <c r="S30" i="33"/>
  <c r="AA30" i="33"/>
  <c r="U31" i="34"/>
  <c r="AB31" i="34"/>
  <c r="AC45" i="34"/>
  <c r="W45" i="34"/>
  <c r="S47" i="34"/>
  <c r="AA47" i="34"/>
  <c r="AC13" i="35"/>
  <c r="W13" i="35"/>
  <c r="AA25" i="35"/>
  <c r="S25" i="35"/>
  <c r="S35" i="35"/>
  <c r="AA35" i="35"/>
  <c r="AA14" i="37"/>
  <c r="S14" i="37"/>
  <c r="U27" i="34"/>
  <c r="AB27" i="34"/>
  <c r="E12" i="6"/>
  <c r="E13" i="6"/>
  <c r="E11" i="6"/>
  <c r="E14" i="6"/>
  <c r="E15" i="6"/>
  <c r="E10" i="6"/>
  <c r="AA12" i="33"/>
  <c r="S12" i="33"/>
  <c r="AZ529" i="3"/>
  <c r="AZ5" i="3" s="1"/>
  <c r="BL5" i="3"/>
  <c r="H107" i="43"/>
  <c r="H106" i="43"/>
  <c r="H105" i="43"/>
  <c r="H102" i="43"/>
  <c r="H104" i="43"/>
  <c r="H109" i="43"/>
  <c r="H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I118" i="43"/>
  <c r="J118" i="43" s="1"/>
  <c r="K118" i="43" s="1"/>
  <c r="L118" i="43" s="1"/>
  <c r="M118" i="43" s="1"/>
  <c r="D115" i="43"/>
  <c r="E115" i="43" s="1"/>
  <c r="F115" i="43" s="1"/>
  <c r="G115" i="43" s="1"/>
  <c r="H115" i="43" s="1"/>
  <c r="D117" i="43"/>
  <c r="E117" i="43" s="1"/>
  <c r="F117" i="43" s="1"/>
  <c r="G117" i="43" s="1"/>
  <c r="H117" i="43" s="1"/>
  <c r="D118" i="43"/>
  <c r="E118" i="43" s="1"/>
  <c r="F118" i="43" s="1"/>
  <c r="G30" i="6"/>
  <c r="G31" i="6" s="1"/>
  <c r="BA5" i="3"/>
  <c r="E28" i="6"/>
  <c r="H10" i="40"/>
  <c r="J10" i="40"/>
  <c r="H10" i="39"/>
  <c r="F10" i="39"/>
  <c r="F10" i="40"/>
  <c r="J10" i="39"/>
  <c r="S7" i="37"/>
  <c r="AA7" i="37"/>
  <c r="R42" i="37" s="1"/>
  <c r="H7" i="37"/>
  <c r="H68" i="39"/>
  <c r="G70" i="39"/>
  <c r="H7" i="36"/>
  <c r="J7" i="35"/>
  <c r="H7" i="35"/>
  <c r="U7" i="34"/>
  <c r="AB7" i="34"/>
  <c r="T49" i="34" s="1"/>
  <c r="G49" i="34" s="1"/>
  <c r="F7" i="21"/>
  <c r="H7" i="21"/>
  <c r="F27" i="69"/>
  <c r="F28" i="12"/>
  <c r="C29" i="12" s="1"/>
  <c r="D28" i="12" s="1"/>
  <c r="F27" i="11"/>
  <c r="F27" i="68"/>
  <c r="G5" i="3"/>
  <c r="B3" i="3" s="1"/>
  <c r="AA7" i="36"/>
  <c r="R36" i="36" s="1"/>
  <c r="S7" i="36"/>
  <c r="AC7" i="37"/>
  <c r="V42" i="37" s="1"/>
  <c r="I42" i="37" s="1"/>
  <c r="W7" i="37"/>
  <c r="W7" i="36"/>
  <c r="AC7" i="36"/>
  <c r="V36" i="36" s="1"/>
  <c r="I36" i="36" s="1"/>
  <c r="AA7" i="35"/>
  <c r="R38" i="35" s="1"/>
  <c r="S7" i="35"/>
  <c r="AC7" i="34"/>
  <c r="V49" i="34" s="1"/>
  <c r="I49" i="34" s="1"/>
  <c r="W7" i="34"/>
  <c r="S7" i="34"/>
  <c r="AA7" i="34"/>
  <c r="R49" i="34" s="1"/>
  <c r="J7" i="21"/>
  <c r="J6" i="67"/>
  <c r="F59" i="15"/>
  <c r="D4" i="73"/>
  <c r="D6" i="73"/>
  <c r="D7" i="73"/>
  <c r="F6" i="67"/>
  <c r="D3" i="73"/>
  <c r="D5" i="73"/>
  <c r="C16" i="15"/>
  <c r="C6" i="67" l="1"/>
  <c r="AB11" i="33"/>
  <c r="U11" i="33"/>
  <c r="T48" i="33"/>
  <c r="G48" i="33" s="1"/>
  <c r="G52" i="33" s="1"/>
  <c r="H52" i="33" s="1"/>
  <c r="I69" i="33"/>
  <c r="J69" i="33" s="1"/>
  <c r="K69" i="33" s="1"/>
  <c r="L69" i="33" s="1"/>
  <c r="M69" i="33" s="1"/>
  <c r="J11" i="33"/>
  <c r="F11" i="33"/>
  <c r="F1" i="67"/>
  <c r="Q52" i="67"/>
  <c r="E27" i="6"/>
  <c r="K21" i="6" s="1"/>
  <c r="M21" i="6" s="1"/>
  <c r="I21" i="6" s="1"/>
  <c r="S21" i="6" s="1"/>
  <c r="F63" i="40"/>
  <c r="E65" i="40"/>
  <c r="C19" i="67"/>
  <c r="C20" i="67" s="1"/>
  <c r="C19" i="15"/>
  <c r="E20" i="43"/>
  <c r="K1" i="73"/>
  <c r="E3" i="6"/>
  <c r="AY6" i="3"/>
  <c r="W7" i="21"/>
  <c r="AC7" i="21"/>
  <c r="V48" i="21" s="1"/>
  <c r="I48" i="21" s="1"/>
  <c r="I53" i="34"/>
  <c r="J53" i="34" s="1"/>
  <c r="E38" i="35"/>
  <c r="R39" i="35"/>
  <c r="E53" i="3"/>
  <c r="E175" i="3"/>
  <c r="E217" i="3"/>
  <c r="E366" i="3"/>
  <c r="E526" i="3"/>
  <c r="E501" i="3"/>
  <c r="E343" i="3"/>
  <c r="E268" i="3"/>
  <c r="E153" i="3"/>
  <c r="E282" i="3"/>
  <c r="E322" i="3"/>
  <c r="E426" i="3"/>
  <c r="E328" i="3"/>
  <c r="E239" i="3"/>
  <c r="O6" i="3"/>
  <c r="E516" i="3"/>
  <c r="E555" i="3"/>
  <c r="E574" i="3"/>
  <c r="E569" i="3"/>
  <c r="E410" i="3"/>
  <c r="E431" i="3"/>
  <c r="E396" i="3"/>
  <c r="E247" i="3"/>
  <c r="E285" i="3"/>
  <c r="E229" i="3"/>
  <c r="E143" i="3"/>
  <c r="E201" i="3"/>
  <c r="E97" i="3"/>
  <c r="E151" i="3"/>
  <c r="E397" i="3"/>
  <c r="E353" i="3"/>
  <c r="E314" i="3"/>
  <c r="E385" i="3"/>
  <c r="E518" i="3"/>
  <c r="I6" i="3"/>
  <c r="AN6" i="3"/>
  <c r="AI6" i="3"/>
  <c r="AK6" i="3"/>
  <c r="E578" i="3"/>
  <c r="E549" i="3"/>
  <c r="E402" i="3"/>
  <c r="E434" i="3"/>
  <c r="E423" i="3"/>
  <c r="E453" i="3"/>
  <c r="E306" i="3"/>
  <c r="E382"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16" i="3"/>
  <c r="E133" i="3"/>
  <c r="E105" i="3"/>
  <c r="E286" i="3"/>
  <c r="E327" i="3"/>
  <c r="AD6" i="3"/>
  <c r="E542" i="3"/>
  <c r="U6" i="3"/>
  <c r="AG6" i="3"/>
  <c r="E552" i="3"/>
  <c r="E421" i="3"/>
  <c r="E411" i="3"/>
  <c r="E442" i="3"/>
  <c r="E448" i="3"/>
  <c r="E464" i="3"/>
  <c r="E478" i="3"/>
  <c r="E466" i="3"/>
  <c r="E485" i="3"/>
  <c r="E487" i="3"/>
  <c r="E398" i="3"/>
  <c r="E414" i="3"/>
  <c r="E430" i="3"/>
  <c r="E400" i="3"/>
  <c r="E416" i="3"/>
  <c r="E432" i="3"/>
  <c r="E449" i="3"/>
  <c r="E443" i="3"/>
  <c r="E459" i="3"/>
  <c r="E477" i="3"/>
  <c r="E255" i="3"/>
  <c r="E345" i="3"/>
  <c r="E374" i="3"/>
  <c r="E367" i="3"/>
  <c r="I3" i="6"/>
  <c r="E558" i="3"/>
  <c r="E566" i="3"/>
  <c r="E505" i="3"/>
  <c r="AP6" i="3"/>
  <c r="E554" i="3"/>
  <c r="E581" i="3"/>
  <c r="E582" i="3"/>
  <c r="AS6" i="3"/>
  <c r="E517"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8" i="3"/>
  <c r="E349" i="3"/>
  <c r="E334" i="3"/>
  <c r="E384" i="3"/>
  <c r="E389" i="3"/>
  <c r="E504" i="3"/>
  <c r="AM6"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513" i="3"/>
  <c r="E82" i="3"/>
  <c r="E21" i="3"/>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69" i="3"/>
  <c r="E114" i="3"/>
  <c r="E278" i="3"/>
  <c r="E415" i="3"/>
  <c r="E563" i="3"/>
  <c r="E395" i="3"/>
  <c r="E172" i="3"/>
  <c r="E260" i="3"/>
  <c r="E445" i="3"/>
  <c r="E550" i="3"/>
  <c r="E535" i="3"/>
  <c r="E347" i="3"/>
  <c r="AA6" i="3"/>
  <c r="E399" i="3"/>
  <c r="E280" i="3"/>
  <c r="E124" i="3"/>
  <c r="E358" i="3"/>
  <c r="E559" i="3"/>
  <c r="E551" i="3"/>
  <c r="V6" i="3"/>
  <c r="E407" i="3"/>
  <c r="E320" i="3"/>
  <c r="E294" i="3"/>
  <c r="E230" i="3"/>
  <c r="E130" i="3"/>
  <c r="E254" i="3"/>
  <c r="E221" i="3"/>
  <c r="E207" i="3"/>
  <c r="E271" i="3"/>
  <c r="E145" i="3"/>
  <c r="E107"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12" i="3"/>
  <c r="E123" i="3"/>
  <c r="E147" i="3"/>
  <c r="E289" i="3"/>
  <c r="E340" i="3"/>
  <c r="E364" i="3"/>
  <c r="E50" i="3"/>
  <c r="E20" i="3"/>
  <c r="E62" i="3"/>
  <c r="E176" i="3"/>
  <c r="E218" i="3"/>
  <c r="E265" i="3"/>
  <c r="E365" i="3"/>
  <c r="E524" i="3"/>
  <c r="E101" i="3"/>
  <c r="E583" i="3"/>
  <c r="X6" i="3"/>
  <c r="E336" i="3"/>
  <c r="E246" i="3"/>
  <c r="E293" i="3"/>
  <c r="E311" i="3"/>
  <c r="E514" i="3"/>
  <c r="E570" i="3"/>
  <c r="M6" i="3"/>
  <c r="AB6" i="3"/>
  <c r="E387" i="3"/>
  <c r="E335" i="3"/>
  <c r="E215" i="3"/>
  <c r="E189" i="3"/>
  <c r="E134" i="3"/>
  <c r="E91" i="3"/>
  <c r="E180" i="3"/>
  <c r="E252" i="3"/>
  <c r="E204" i="3"/>
  <c r="E164"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75" i="3"/>
  <c r="E473" i="3"/>
  <c r="E455" i="3"/>
  <c r="E38" i="3"/>
  <c r="E170" i="3"/>
  <c r="E194" i="3"/>
  <c r="E219" i="3"/>
  <c r="E339" i="3"/>
  <c r="E392" i="3"/>
  <c r="E52" i="3"/>
  <c r="E34" i="3"/>
  <c r="E49" i="3"/>
  <c r="E206" i="3"/>
  <c r="E232" i="3"/>
  <c r="E251" i="3"/>
  <c r="E370" i="3"/>
  <c r="AF6" i="3"/>
  <c r="E102" i="3"/>
  <c r="E80" i="3"/>
  <c r="E113" i="3"/>
  <c r="E158" i="3"/>
  <c r="E287" i="3"/>
  <c r="E308" i="3"/>
  <c r="E326" i="3"/>
  <c r="E22" i="3"/>
  <c r="E83" i="3"/>
  <c r="E363" i="3"/>
  <c r="E312" i="3"/>
  <c r="E350" i="3"/>
  <c r="E317" i="3"/>
  <c r="E177" i="3"/>
  <c r="E337" i="3"/>
  <c r="E303" i="3"/>
  <c r="E495" i="3"/>
  <c r="E553" i="3"/>
  <c r="E568" i="3"/>
  <c r="E572" i="3"/>
  <c r="E359" i="3"/>
  <c r="E173" i="3"/>
  <c r="E305" i="3"/>
  <c r="E546" i="3"/>
  <c r="E499" i="3"/>
  <c r="E547" i="3"/>
  <c r="E575" i="3"/>
  <c r="E536" i="3"/>
  <c r="E375" i="3"/>
  <c r="E386" i="3"/>
  <c r="E341" i="3"/>
  <c r="E16" i="3"/>
  <c r="E157" i="3"/>
  <c r="E388" i="3"/>
  <c r="E377" i="3"/>
  <c r="E310" i="3"/>
  <c r="E515" i="3"/>
  <c r="E557" i="3"/>
  <c r="E584" i="3"/>
  <c r="E508" i="3"/>
  <c r="E586" i="3"/>
  <c r="Z6" i="3"/>
  <c r="P6" i="3"/>
  <c r="AO6" i="3"/>
  <c r="E540" i="3"/>
  <c r="E531" i="3"/>
  <c r="E509" i="3"/>
  <c r="E502" i="3"/>
  <c r="E348" i="3"/>
  <c r="E368" i="3"/>
  <c r="E309" i="3"/>
  <c r="E193" i="3"/>
  <c r="E125" i="3"/>
  <c r="E379" i="3"/>
  <c r="E319" i="3"/>
  <c r="E511" i="3"/>
  <c r="E579" i="3"/>
  <c r="E576" i="3"/>
  <c r="E500" i="3"/>
  <c r="E544" i="3"/>
  <c r="E585" i="3"/>
  <c r="R6" i="3"/>
  <c r="N6" i="3"/>
  <c r="AJ6" i="3"/>
  <c r="E548" i="3"/>
  <c r="E541" i="3"/>
  <c r="E530" i="3"/>
  <c r="C29" i="68"/>
  <c r="D27" i="68" s="1"/>
  <c r="C47" i="68"/>
  <c r="D45" i="68" s="1"/>
  <c r="S7" i="21"/>
  <c r="AA7" i="21"/>
  <c r="R48" i="21" s="1"/>
  <c r="AC7" i="35"/>
  <c r="V38" i="35" s="1"/>
  <c r="I38" i="35" s="1"/>
  <c r="W7" i="35"/>
  <c r="U7" i="37"/>
  <c r="AB7" i="37"/>
  <c r="T42" i="37" s="1"/>
  <c r="G42" i="37" s="1"/>
  <c r="AC10" i="39"/>
  <c r="W10" i="39"/>
  <c r="S10" i="39"/>
  <c r="AA10" i="39"/>
  <c r="W10" i="40"/>
  <c r="AC10" i="40"/>
  <c r="E16" i="6"/>
  <c r="E59" i="40"/>
  <c r="E64" i="39"/>
  <c r="E63" i="39"/>
  <c r="E58" i="40"/>
  <c r="D27" i="71"/>
  <c r="T27" i="71"/>
  <c r="Q49" i="71"/>
  <c r="Q48" i="71"/>
  <c r="D35" i="71"/>
  <c r="T35" i="71"/>
  <c r="D39" i="71"/>
  <c r="T39" i="71"/>
  <c r="Q60" i="67"/>
  <c r="Q73" i="67"/>
  <c r="Q73" i="15"/>
  <c r="Q60" i="15"/>
  <c r="R50" i="34"/>
  <c r="E49" i="34"/>
  <c r="I54" i="34" s="1"/>
  <c r="J54" i="34" s="1"/>
  <c r="I40" i="36"/>
  <c r="J40" i="36" s="1"/>
  <c r="I46" i="37"/>
  <c r="J46" i="37" s="1"/>
  <c r="E36" i="36"/>
  <c r="R37" i="36"/>
  <c r="C47" i="11"/>
  <c r="D45" i="11" s="1"/>
  <c r="C29" i="11"/>
  <c r="D27" i="11" s="1"/>
  <c r="C47" i="69"/>
  <c r="D45" i="69" s="1"/>
  <c r="C29" i="69"/>
  <c r="D27" i="69" s="1"/>
  <c r="U7" i="21"/>
  <c r="AB7" i="21"/>
  <c r="T48" i="21" s="1"/>
  <c r="G48" i="21" s="1"/>
  <c r="G53" i="34"/>
  <c r="H53" i="34" s="1"/>
  <c r="G54" i="34"/>
  <c r="H54" i="34" s="1"/>
  <c r="AB7" i="35"/>
  <c r="T38" i="35" s="1"/>
  <c r="G38" i="35" s="1"/>
  <c r="U7" i="35"/>
  <c r="AB7" i="36"/>
  <c r="T36" i="36" s="1"/>
  <c r="G36" i="36" s="1"/>
  <c r="U7" i="36"/>
  <c r="I68" i="39"/>
  <c r="H70" i="39"/>
  <c r="E42" i="37"/>
  <c r="R43" i="37"/>
  <c r="AA10" i="40"/>
  <c r="S10" i="40"/>
  <c r="AB10" i="39"/>
  <c r="U10" i="39"/>
  <c r="U10" i="40"/>
  <c r="AB10" i="40"/>
  <c r="E30" i="6"/>
  <c r="E31" i="6" s="1"/>
  <c r="K22" i="6"/>
  <c r="M22" i="6" s="1"/>
  <c r="I22" i="6" s="1"/>
  <c r="S22" i="6" s="1"/>
  <c r="K25" i="6"/>
  <c r="M25" i="6" s="1"/>
  <c r="I25" i="6" s="1"/>
  <c r="S25" i="6" s="1"/>
  <c r="K23" i="6"/>
  <c r="M23" i="6" s="1"/>
  <c r="I23" i="6" s="1"/>
  <c r="S23" i="6" s="1"/>
  <c r="K20" i="6"/>
  <c r="K24" i="6"/>
  <c r="M24" i="6" s="1"/>
  <c r="I24" i="6" s="1"/>
  <c r="S24" i="6" s="1"/>
  <c r="K26" i="6"/>
  <c r="M26" i="6" s="1"/>
  <c r="I26" i="6" s="1"/>
  <c r="S26" i="6" s="1"/>
  <c r="K14" i="1"/>
  <c r="K19" i="6"/>
  <c r="S6" i="1" s="1"/>
  <c r="E521" i="3"/>
  <c r="C115" i="43"/>
  <c r="D113" i="43" s="1"/>
  <c r="E60" i="40"/>
  <c r="E65" i="39"/>
  <c r="E56" i="40"/>
  <c r="E61" i="39"/>
  <c r="E57" i="40"/>
  <c r="E62" i="39"/>
  <c r="C5" i="71"/>
  <c r="D5" i="71" s="1"/>
  <c r="D6" i="71"/>
  <c r="M20" i="43" s="1"/>
  <c r="C19" i="43" s="1"/>
  <c r="Q74" i="67"/>
  <c r="Q61" i="67"/>
  <c r="Q61" i="15"/>
  <c r="Q74" i="15"/>
  <c r="C49" i="15"/>
  <c r="M11" i="15"/>
  <c r="J10" i="15" s="1"/>
  <c r="J5" i="15" s="1"/>
  <c r="M11" i="67"/>
  <c r="J10" i="67" s="1"/>
  <c r="J5" i="67" s="1"/>
  <c r="F11" i="15"/>
  <c r="F11" i="67"/>
  <c r="AE6" i="1"/>
  <c r="G1" i="73"/>
  <c r="AA11" i="33" l="1"/>
  <c r="R48" i="33" s="1"/>
  <c r="S11" i="33"/>
  <c r="W11" i="33"/>
  <c r="AC11" i="33"/>
  <c r="V48" i="33" s="1"/>
  <c r="I48" i="33" s="1"/>
  <c r="M20" i="6"/>
  <c r="I20" i="6" s="1"/>
  <c r="S20" i="6" s="1"/>
  <c r="S7" i="1"/>
  <c r="AQ6" i="1"/>
  <c r="S16" i="1"/>
  <c r="AR6" i="1"/>
  <c r="T6" i="1"/>
  <c r="AC6" i="3"/>
  <c r="E6" i="3" s="1"/>
  <c r="H6" i="3"/>
  <c r="G63" i="40"/>
  <c r="F65" i="40"/>
  <c r="B40" i="1"/>
  <c r="J18" i="67"/>
  <c r="J24" i="67"/>
  <c r="J26" i="67"/>
  <c r="J18" i="15"/>
  <c r="J24" i="15"/>
  <c r="J26" i="15"/>
  <c r="J29" i="15" s="1"/>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C37" i="43"/>
  <c r="C38" i="43"/>
  <c r="C29" i="43"/>
  <c r="C34" i="43"/>
  <c r="C36" i="43"/>
  <c r="C33" i="43"/>
  <c r="C35" i="43"/>
  <c r="E66" i="39"/>
  <c r="M14" i="1"/>
  <c r="K16" i="1"/>
  <c r="C34" i="69"/>
  <c r="E47" i="37"/>
  <c r="F47" i="37" s="1"/>
  <c r="E46" i="37"/>
  <c r="F46" i="37" s="1"/>
  <c r="J68" i="39"/>
  <c r="I70" i="39"/>
  <c r="G40" i="36"/>
  <c r="H40" i="36" s="1"/>
  <c r="G41" i="36"/>
  <c r="H41" i="36" s="1"/>
  <c r="G42" i="35"/>
  <c r="H42" i="35" s="1"/>
  <c r="G43" i="35"/>
  <c r="H43" i="35" s="1"/>
  <c r="C10" i="15"/>
  <c r="C5" i="15" s="1"/>
  <c r="C53" i="15"/>
  <c r="C48" i="15" s="1"/>
  <c r="M19" i="6"/>
  <c r="K27" i="6"/>
  <c r="C42" i="37"/>
  <c r="C43" i="37"/>
  <c r="G52" i="21"/>
  <c r="H52" i="21" s="1"/>
  <c r="G53" i="21"/>
  <c r="H53" i="21" s="1"/>
  <c r="E41" i="36"/>
  <c r="F41" i="36" s="1"/>
  <c r="E40" i="36"/>
  <c r="F40" i="36" s="1"/>
  <c r="I47" i="37"/>
  <c r="J47" i="37" s="1"/>
  <c r="I41" i="36"/>
  <c r="J41" i="36" s="1"/>
  <c r="C50" i="34"/>
  <c r="C49" i="34"/>
  <c r="I42" i="35"/>
  <c r="J42" i="35" s="1"/>
  <c r="I43" i="35"/>
  <c r="J43" i="35" s="1"/>
  <c r="C38" i="35"/>
  <c r="C39" i="35"/>
  <c r="B2" i="35" s="1"/>
  <c r="B3" i="35" s="1"/>
  <c r="I52" i="21"/>
  <c r="J52" i="21" s="1"/>
  <c r="D3" i="34"/>
  <c r="D3" i="33"/>
  <c r="E6" i="6"/>
  <c r="C17" i="4"/>
  <c r="B4" i="52" s="1"/>
  <c r="B43" i="72" s="1"/>
  <c r="L18" i="9"/>
  <c r="D3" i="37"/>
  <c r="D3" i="21"/>
  <c r="D19" i="11"/>
  <c r="C19" i="11" s="1"/>
  <c r="D37" i="11"/>
  <c r="C37" i="11" s="1"/>
  <c r="D14" i="12"/>
  <c r="M18" i="9"/>
  <c r="B118" i="9" s="1"/>
  <c r="B14" i="74" s="1"/>
  <c r="B1" i="74" s="1"/>
  <c r="C26" i="67"/>
  <c r="O17" i="43"/>
  <c r="P17" i="43"/>
  <c r="N17" i="43"/>
  <c r="M17" i="43"/>
  <c r="C10" i="67"/>
  <c r="C5" i="67" s="1"/>
  <c r="C53" i="67"/>
  <c r="C48" i="67" s="1"/>
  <c r="C37" i="36"/>
  <c r="B2" i="36" s="1"/>
  <c r="B3" i="36" s="1"/>
  <c r="C36" i="36"/>
  <c r="E54" i="34"/>
  <c r="F54" i="34" s="1"/>
  <c r="E53" i="34"/>
  <c r="F53" i="34" s="1"/>
  <c r="G46" i="37"/>
  <c r="H46" i="37" s="1"/>
  <c r="G47" i="37"/>
  <c r="H47" i="37" s="1"/>
  <c r="R49" i="21"/>
  <c r="E48" i="21"/>
  <c r="E43" i="35"/>
  <c r="F43" i="35" s="1"/>
  <c r="E42" i="35"/>
  <c r="F42" i="35"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20" i="15"/>
  <c r="F41" i="67"/>
  <c r="F69" i="67" l="1"/>
  <c r="J29" i="67"/>
  <c r="E48" i="33"/>
  <c r="I53" i="33" s="1"/>
  <c r="J53" i="33" s="1"/>
  <c r="R49" i="33"/>
  <c r="I52" i="33"/>
  <c r="J52" i="33" s="1"/>
  <c r="G53" i="33"/>
  <c r="H53" i="33" s="1"/>
  <c r="AQ7" i="1"/>
  <c r="T7" i="1"/>
  <c r="AR7" i="1"/>
  <c r="G65" i="40"/>
  <c r="H63" i="40"/>
  <c r="C26" i="15"/>
  <c r="E52" i="21"/>
  <c r="F52" i="21" s="1"/>
  <c r="E53" i="21"/>
  <c r="F53" i="21" s="1"/>
  <c r="C32" i="67"/>
  <c r="C38" i="67"/>
  <c r="D17" i="12"/>
  <c r="C17" i="12" s="1"/>
  <c r="C14" i="12"/>
  <c r="C20" i="11"/>
  <c r="I19" i="6"/>
  <c r="M27" i="6"/>
  <c r="C35" i="69"/>
  <c r="C38" i="69"/>
  <c r="O14" i="1"/>
  <c r="O16" i="1" s="1"/>
  <c r="M16" i="1"/>
  <c r="T16" i="1"/>
  <c r="G35" i="43"/>
  <c r="I35" i="43" s="1"/>
  <c r="E35" i="43"/>
  <c r="G36" i="43"/>
  <c r="I36" i="43" s="1"/>
  <c r="E36" i="43"/>
  <c r="C30" i="43"/>
  <c r="E30" i="43" s="1"/>
  <c r="E29" i="43"/>
  <c r="G37" i="43"/>
  <c r="I37" i="43" s="1"/>
  <c r="E37" i="43"/>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19" i="6"/>
  <c r="C48" i="21"/>
  <c r="C49" i="21"/>
  <c r="B2" i="21" s="1"/>
  <c r="B3" i="21" s="1"/>
  <c r="C66" i="67"/>
  <c r="C60" i="67"/>
  <c r="C8" i="74"/>
  <c r="D10" i="11"/>
  <c r="C10" i="11" s="1"/>
  <c r="D20" i="12"/>
  <c r="C20" i="12" s="1"/>
  <c r="C18" i="12" s="1"/>
  <c r="D10" i="69"/>
  <c r="D10" i="68"/>
  <c r="I53" i="21"/>
  <c r="J53" i="21" s="1"/>
  <c r="B2" i="34"/>
  <c r="B3" i="34" s="1"/>
  <c r="B2" i="37"/>
  <c r="B3" i="37" s="1"/>
  <c r="C60" i="15"/>
  <c r="C66" i="15"/>
  <c r="C32" i="15"/>
  <c r="C38" i="15"/>
  <c r="K68" i="39"/>
  <c r="J70" i="39"/>
  <c r="G33" i="43"/>
  <c r="I33" i="43" s="1"/>
  <c r="E33" i="43"/>
  <c r="G34" i="43"/>
  <c r="I34" i="43" s="1"/>
  <c r="E34" i="43"/>
  <c r="G38" i="43"/>
  <c r="I38" i="43" s="1"/>
  <c r="E38" i="43"/>
  <c r="G39" i="43"/>
  <c r="I39" i="43" s="1"/>
  <c r="E39" i="43"/>
  <c r="F24" i="15"/>
  <c r="F22" i="11"/>
  <c r="F22" i="69"/>
  <c r="F25" i="12"/>
  <c r="C26" i="12" s="1"/>
  <c r="D25" i="12" s="1"/>
  <c r="F24" i="67"/>
  <c r="F22" i="68"/>
  <c r="E52" i="33" l="1"/>
  <c r="F52" i="33" s="1"/>
  <c r="E53" i="33"/>
  <c r="F53" i="33" s="1"/>
  <c r="C48" i="33"/>
  <c r="C49" i="33"/>
  <c r="H27" i="6"/>
  <c r="D16" i="6"/>
  <c r="R25" i="6"/>
  <c r="H65" i="40"/>
  <c r="I63" i="40"/>
  <c r="C23" i="68"/>
  <c r="C26" i="68"/>
  <c r="D22" i="68" s="1"/>
  <c r="C44" i="68"/>
  <c r="D41" i="68" s="1"/>
  <c r="C44" i="11"/>
  <c r="D41" i="11" s="1"/>
  <c r="C23" i="11"/>
  <c r="C26" i="11"/>
  <c r="D22" i="11" s="1"/>
  <c r="C10" i="68"/>
  <c r="D19" i="68"/>
  <c r="R23" i="6"/>
  <c r="D27" i="6"/>
  <c r="D31" i="6" s="1"/>
  <c r="R19" i="6"/>
  <c r="C24" i="67"/>
  <c r="C23" i="67"/>
  <c r="C26" i="69"/>
  <c r="D22" i="69" s="1"/>
  <c r="C44" i="69"/>
  <c r="D41" i="69" s="1"/>
  <c r="C24" i="15"/>
  <c r="C23" i="15"/>
  <c r="L68" i="39"/>
  <c r="K70" i="39"/>
  <c r="C10" i="69"/>
  <c r="C8" i="69" s="1"/>
  <c r="C5" i="69" s="1"/>
  <c r="D19" i="69"/>
  <c r="R26" i="6"/>
  <c r="D8" i="74"/>
  <c r="R21" i="6"/>
  <c r="C27" i="43"/>
  <c r="L16" i="1"/>
  <c r="N16" i="1"/>
  <c r="C34" i="11"/>
  <c r="C34" i="68"/>
  <c r="P14" i="1"/>
  <c r="P16" i="1" s="1"/>
  <c r="C11" i="12" s="1"/>
  <c r="C25" i="11"/>
  <c r="C28" i="11"/>
  <c r="C27" i="11" s="1"/>
  <c r="A7" i="51"/>
  <c r="B7" i="72" s="1"/>
  <c r="C4" i="52"/>
  <c r="B45" i="72" s="1"/>
  <c r="A10" i="51"/>
  <c r="B9" i="72" s="1"/>
  <c r="R24" i="6"/>
  <c r="R22" i="6"/>
  <c r="C26" i="43"/>
  <c r="S19" i="6"/>
  <c r="S27" i="6" s="1"/>
  <c r="I27" i="6"/>
  <c r="C24" i="11"/>
  <c r="E6" i="76"/>
  <c r="B2" i="33" l="1"/>
  <c r="B3" i="33"/>
  <c r="R27" i="6"/>
  <c r="R6" i="1"/>
  <c r="I65" i="40"/>
  <c r="J63" i="40"/>
  <c r="E2" i="76"/>
  <c r="C15" i="12"/>
  <c r="C12" i="12"/>
  <c r="C19" i="69"/>
  <c r="C24" i="69" s="1"/>
  <c r="D37" i="69"/>
  <c r="C37" i="69" s="1"/>
  <c r="C33" i="69" s="1"/>
  <c r="I6" i="6"/>
  <c r="I5" i="6"/>
  <c r="B2" i="43"/>
  <c r="C35" i="68"/>
  <c r="C38" i="68"/>
  <c r="F50" i="69"/>
  <c r="F50" i="11"/>
  <c r="F50" i="68"/>
  <c r="C23" i="69"/>
  <c r="C29" i="15"/>
  <c r="C29" i="67"/>
  <c r="C19" i="68"/>
  <c r="D37" i="68"/>
  <c r="C37" i="68" s="1"/>
  <c r="C38" i="11"/>
  <c r="C35" i="11"/>
  <c r="M68" i="39"/>
  <c r="L70" i="39"/>
  <c r="C22" i="11"/>
  <c r="C31" i="11" s="1"/>
  <c r="C20" i="9"/>
  <c r="F35" i="67"/>
  <c r="C19" i="9"/>
  <c r="M21" i="67"/>
  <c r="B6" i="76"/>
  <c r="C103" i="9" l="1"/>
  <c r="C102" i="9"/>
  <c r="C21" i="9"/>
  <c r="F63" i="67"/>
  <c r="C62" i="67" s="1"/>
  <c r="C34" i="67"/>
  <c r="J20" i="67"/>
  <c r="R16" i="1"/>
  <c r="C33" i="11"/>
  <c r="C39" i="11" s="1"/>
  <c r="C43" i="11" s="1"/>
  <c r="C20" i="69"/>
  <c r="C25" i="69" s="1"/>
  <c r="C22" i="69" s="1"/>
  <c r="C33" i="68"/>
  <c r="C42" i="68" s="1"/>
  <c r="C16" i="12"/>
  <c r="C21" i="12" s="1"/>
  <c r="C22" i="12" s="1"/>
  <c r="C27" i="12" s="1"/>
  <c r="C25" i="12" s="1"/>
  <c r="K63" i="40"/>
  <c r="J65" i="40"/>
  <c r="B2" i="76"/>
  <c r="B3" i="76" s="1"/>
  <c r="C24" i="68"/>
  <c r="C20" i="68"/>
  <c r="C25" i="68" s="1"/>
  <c r="J19" i="15"/>
  <c r="J17" i="15" s="1"/>
  <c r="Q49" i="15"/>
  <c r="J14" i="15"/>
  <c r="C57" i="15"/>
  <c r="C13" i="15"/>
  <c r="C33" i="15"/>
  <c r="C31" i="15" s="1"/>
  <c r="C36" i="15"/>
  <c r="J59" i="15"/>
  <c r="J60" i="15" s="1"/>
  <c r="C42" i="69"/>
  <c r="C39" i="69"/>
  <c r="C43" i="69" s="1"/>
  <c r="N68" i="39"/>
  <c r="M70" i="39"/>
  <c r="C13" i="67"/>
  <c r="J19" i="67"/>
  <c r="J17" i="67" s="1"/>
  <c r="C36" i="67"/>
  <c r="C33" i="67"/>
  <c r="C57" i="67"/>
  <c r="Q49" i="67"/>
  <c r="J14" i="67"/>
  <c r="J59" i="67"/>
  <c r="J60" i="67" s="1"/>
  <c r="B3" i="43"/>
  <c r="C31" i="67" l="1"/>
  <c r="C42" i="11"/>
  <c r="C41" i="11" s="1"/>
  <c r="C39" i="68"/>
  <c r="C43" i="68" s="1"/>
  <c r="C41" i="68" s="1"/>
  <c r="C46" i="69"/>
  <c r="C45" i="69" s="1"/>
  <c r="C28" i="69"/>
  <c r="C27" i="69" s="1"/>
  <c r="C31" i="69" s="1"/>
  <c r="K65" i="40"/>
  <c r="L63" i="40"/>
  <c r="C28" i="68"/>
  <c r="C27" i="68" s="1"/>
  <c r="J13" i="67"/>
  <c r="J23" i="67" s="1"/>
  <c r="J22" i="67"/>
  <c r="C64" i="67"/>
  <c r="C61" i="67"/>
  <c r="C59" i="67" s="1"/>
  <c r="C75" i="67"/>
  <c r="C56" i="67"/>
  <c r="C65" i="67" s="1"/>
  <c r="Q70" i="67"/>
  <c r="C37" i="67"/>
  <c r="Q48" i="67"/>
  <c r="C41" i="69"/>
  <c r="C37" i="15"/>
  <c r="C30" i="15" s="1"/>
  <c r="C39" i="15" s="1"/>
  <c r="Q70" i="15"/>
  <c r="C56" i="15"/>
  <c r="C65" i="15" s="1"/>
  <c r="C75" i="15"/>
  <c r="J13" i="15"/>
  <c r="J23" i="15" s="1"/>
  <c r="J22" i="15"/>
  <c r="C22" i="68"/>
  <c r="C46" i="11"/>
  <c r="C45" i="11" s="1"/>
  <c r="C30" i="12"/>
  <c r="C28" i="12" s="1"/>
  <c r="C32" i="12" s="1"/>
  <c r="B2" i="12" s="1"/>
  <c r="B3" i="12" s="1"/>
  <c r="N70" i="39"/>
  <c r="O68" i="39"/>
  <c r="O70" i="39" s="1"/>
  <c r="Q48" i="15"/>
  <c r="L46" i="15"/>
  <c r="C61" i="15"/>
  <c r="C59" i="15" s="1"/>
  <c r="C64" i="15"/>
  <c r="C30" i="67" l="1"/>
  <c r="C39" i="67" s="1"/>
  <c r="Q69" i="67" s="1"/>
  <c r="Q68" i="67" s="1"/>
  <c r="C31" i="68"/>
  <c r="C49" i="69"/>
  <c r="C51" i="69" s="1"/>
  <c r="C52" i="69" s="1"/>
  <c r="B2" i="69" s="1"/>
  <c r="C46" i="68"/>
  <c r="C45" i="68" s="1"/>
  <c r="C49" i="68" s="1"/>
  <c r="C51" i="68" s="1"/>
  <c r="C52" i="68" s="1"/>
  <c r="B2" i="68" s="1"/>
  <c r="B3" i="68" s="1"/>
  <c r="C49" i="11"/>
  <c r="C51" i="11" s="1"/>
  <c r="C52" i="11" s="1"/>
  <c r="B2" i="11" s="1"/>
  <c r="B3" i="11" s="1"/>
  <c r="J16" i="67"/>
  <c r="J25" i="67" s="1"/>
  <c r="C58" i="15"/>
  <c r="C67" i="15" s="1"/>
  <c r="C68" i="15" s="1"/>
  <c r="C71" i="15" s="1"/>
  <c r="J7" i="39"/>
  <c r="J16" i="15"/>
  <c r="J25" i="15" s="1"/>
  <c r="M63" i="40"/>
  <c r="L65" i="40"/>
  <c r="C80" i="15"/>
  <c r="C79" i="15" s="1"/>
  <c r="AC7" i="39"/>
  <c r="V47" i="39" s="1"/>
  <c r="I47" i="39" s="1"/>
  <c r="W7" i="39"/>
  <c r="Q69" i="15"/>
  <c r="Q68" i="15" s="1"/>
  <c r="C40" i="15"/>
  <c r="H7" i="39"/>
  <c r="F7" i="39"/>
  <c r="C58" i="67"/>
  <c r="C67" i="67" s="1"/>
  <c r="C68" i="67" s="1"/>
  <c r="L51" i="15"/>
  <c r="L51" i="67"/>
  <c r="C80" i="67" l="1"/>
  <c r="C79" i="67" s="1"/>
  <c r="C40" i="67"/>
  <c r="C43" i="67" s="1"/>
  <c r="B3" i="69"/>
  <c r="N63" i="40"/>
  <c r="M65" i="40"/>
  <c r="C57" i="69"/>
  <c r="C56" i="69" s="1"/>
  <c r="Q67" i="67"/>
  <c r="L57" i="67"/>
  <c r="L60" i="67" s="1"/>
  <c r="L46" i="67" s="1"/>
  <c r="Q67" i="15"/>
  <c r="L57" i="15"/>
  <c r="L60" i="15" s="1"/>
  <c r="C71" i="67"/>
  <c r="C45" i="67"/>
  <c r="C46" i="67" s="1"/>
  <c r="AB7" i="39"/>
  <c r="T47" i="39" s="1"/>
  <c r="G47" i="39" s="1"/>
  <c r="U7" i="39"/>
  <c r="C43" i="15"/>
  <c r="Q65" i="15"/>
  <c r="Q47" i="15"/>
  <c r="Q53" i="15" s="1"/>
  <c r="Q56" i="15"/>
  <c r="B2" i="15"/>
  <c r="B3" i="15" s="1"/>
  <c r="C83" i="15"/>
  <c r="C82" i="15" s="1"/>
  <c r="S7" i="39"/>
  <c r="AA7" i="39"/>
  <c r="R47" i="39" s="1"/>
  <c r="I51" i="39"/>
  <c r="J51" i="39" s="1"/>
  <c r="C57" i="68"/>
  <c r="C56" i="68" s="1"/>
  <c r="C46" i="15"/>
  <c r="C56" i="11"/>
  <c r="C57" i="11" s="1"/>
  <c r="Q56" i="67" l="1"/>
  <c r="C83" i="67"/>
  <c r="C82" i="67" s="1"/>
  <c r="Q65" i="67"/>
  <c r="D2" i="67"/>
  <c r="B3" i="67" s="1"/>
  <c r="Q47" i="67"/>
  <c r="Q53" i="67" s="1"/>
  <c r="N65" i="40"/>
  <c r="O63" i="40"/>
  <c r="O65" i="40" s="1"/>
  <c r="G52" i="39"/>
  <c r="H52" i="39" s="1"/>
  <c r="G51" i="39"/>
  <c r="H51" i="39" s="1"/>
  <c r="E47" i="39"/>
  <c r="R48" i="39"/>
  <c r="Q57" i="15"/>
  <c r="Q62" i="15" s="1"/>
  <c r="Q66" i="15"/>
  <c r="Q75" i="15" s="1"/>
  <c r="Q66" i="67"/>
  <c r="Q57" i="67"/>
  <c r="D20" i="9"/>
  <c r="Q62" i="67" l="1"/>
  <c r="Q75" i="67"/>
  <c r="B2" i="67"/>
  <c r="D103" i="9"/>
  <c r="G20" i="9"/>
  <c r="F7" i="40"/>
  <c r="J7" i="40"/>
  <c r="H7" i="40"/>
  <c r="C47" i="39"/>
  <c r="C48" i="39"/>
  <c r="E51" i="39"/>
  <c r="F51" i="39" s="1"/>
  <c r="E52" i="39"/>
  <c r="F52" i="39" s="1"/>
  <c r="I52" i="39"/>
  <c r="J52" i="39" s="1"/>
  <c r="D35" i="9"/>
  <c r="D34" i="9"/>
  <c r="AO6" i="1"/>
  <c r="D19" i="9"/>
  <c r="D102" i="9" l="1"/>
  <c r="D22" i="9"/>
  <c r="G19" i="9"/>
  <c r="C32" i="9" s="1"/>
  <c r="D21" i="9"/>
  <c r="B6" i="70"/>
  <c r="B2" i="70" s="1"/>
  <c r="B3" i="70" s="1"/>
  <c r="AB7" i="40"/>
  <c r="T42" i="40" s="1"/>
  <c r="G42" i="40" s="1"/>
  <c r="U7" i="40"/>
  <c r="W7" i="40"/>
  <c r="AC7" i="40"/>
  <c r="V42" i="40" s="1"/>
  <c r="I42" i="40" s="1"/>
  <c r="S7" i="40"/>
  <c r="AA7" i="40"/>
  <c r="R42"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G21" i="9" l="1"/>
  <c r="H118" i="9"/>
  <c r="C35" i="9"/>
  <c r="F118" i="9" s="1"/>
  <c r="G46" i="40"/>
  <c r="H46" i="40" s="1"/>
  <c r="G47" i="40"/>
  <c r="H47" i="40" s="1"/>
  <c r="R43" i="40"/>
  <c r="E42" i="40"/>
  <c r="I46" i="40"/>
  <c r="J46" i="40" s="1"/>
  <c r="I47" i="40"/>
  <c r="J47" i="40" s="1"/>
  <c r="C34" i="9" l="1"/>
  <c r="D118" i="9" s="1"/>
  <c r="D119" i="9" s="1"/>
  <c r="D5" i="52" s="1"/>
  <c r="B49" i="72" s="1"/>
  <c r="H119" i="9"/>
  <c r="H5" i="52" s="1"/>
  <c r="D14" i="74"/>
  <c r="I118" i="9"/>
  <c r="R24" i="31" s="1"/>
  <c r="U24" i="31" s="1"/>
  <c r="C104" i="9"/>
  <c r="H101" i="9"/>
  <c r="H109" i="9" s="1"/>
  <c r="H4" i="52"/>
  <c r="F119" i="9"/>
  <c r="F5" i="52" s="1"/>
  <c r="B53" i="72" s="1"/>
  <c r="F4" i="52"/>
  <c r="B51" i="72" s="1"/>
  <c r="G118" i="9"/>
  <c r="G4" i="52" s="1"/>
  <c r="B52" i="72" s="1"/>
  <c r="E46" i="40"/>
  <c r="F46" i="40" s="1"/>
  <c r="E47" i="40"/>
  <c r="F47" i="40" s="1"/>
  <c r="C42" i="40"/>
  <c r="C43" i="40"/>
  <c r="H110" i="9" l="1"/>
  <c r="D18" i="53" s="1"/>
  <c r="B35" i="72" s="1"/>
  <c r="D16" i="53"/>
  <c r="D124" i="9"/>
  <c r="S24" i="31"/>
  <c r="R271" i="31"/>
  <c r="R267" i="31"/>
  <c r="R263" i="31"/>
  <c r="R259" i="31"/>
  <c r="R255" i="31"/>
  <c r="R251" i="31"/>
  <c r="R247" i="31"/>
  <c r="R243" i="31"/>
  <c r="R239" i="31"/>
  <c r="R235" i="31"/>
  <c r="R231" i="31"/>
  <c r="R227" i="31"/>
  <c r="R223" i="31"/>
  <c r="R219" i="31"/>
  <c r="R215" i="31"/>
  <c r="R211" i="31"/>
  <c r="R207" i="31"/>
  <c r="R203" i="31"/>
  <c r="R199" i="31"/>
  <c r="R195" i="31"/>
  <c r="R191" i="31"/>
  <c r="R187" i="31"/>
  <c r="R183" i="31"/>
  <c r="R179" i="31"/>
  <c r="R175" i="31"/>
  <c r="R171" i="31"/>
  <c r="R167" i="3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270" i="31"/>
  <c r="R266" i="31"/>
  <c r="R262" i="31"/>
  <c r="R258" i="31"/>
  <c r="R254" i="31"/>
  <c r="R250" i="31"/>
  <c r="R246" i="31"/>
  <c r="R242" i="31"/>
  <c r="R238" i="31"/>
  <c r="R234" i="31"/>
  <c r="R230" i="31"/>
  <c r="R226" i="31"/>
  <c r="R222" i="31"/>
  <c r="R218" i="31"/>
  <c r="R214" i="31"/>
  <c r="R210" i="31"/>
  <c r="R206" i="31"/>
  <c r="R202" i="31"/>
  <c r="R198" i="31"/>
  <c r="R33" i="31"/>
  <c r="R29" i="31"/>
  <c r="R25" i="31"/>
  <c r="R192" i="31"/>
  <c r="R188" i="31"/>
  <c r="R184" i="31"/>
  <c r="R180" i="31"/>
  <c r="R176" i="31"/>
  <c r="R172" i="31"/>
  <c r="R168" i="31"/>
  <c r="R164" i="31"/>
  <c r="R160" i="31"/>
  <c r="R156" i="31"/>
  <c r="R152" i="31"/>
  <c r="R148" i="31"/>
  <c r="R144" i="31"/>
  <c r="R140" i="31"/>
  <c r="R136" i="31"/>
  <c r="R132" i="31"/>
  <c r="R128" i="31"/>
  <c r="R124" i="31"/>
  <c r="R120" i="31"/>
  <c r="R116" i="31"/>
  <c r="R112" i="31"/>
  <c r="R108" i="31"/>
  <c r="R104" i="31"/>
  <c r="R100" i="31"/>
  <c r="R96" i="31"/>
  <c r="R92" i="31"/>
  <c r="R88" i="31"/>
  <c r="R84" i="31"/>
  <c r="R80" i="31"/>
  <c r="R76" i="31"/>
  <c r="R72" i="31"/>
  <c r="R68" i="31"/>
  <c r="R64" i="31"/>
  <c r="R60" i="31"/>
  <c r="R56" i="31"/>
  <c r="R52" i="31"/>
  <c r="R48" i="31"/>
  <c r="R44" i="31"/>
  <c r="R40" i="31"/>
  <c r="R36" i="31"/>
  <c r="R32" i="31"/>
  <c r="R28" i="31"/>
  <c r="R224" i="31"/>
  <c r="R138" i="31"/>
  <c r="R126" i="31"/>
  <c r="R118" i="31"/>
  <c r="R110" i="31"/>
  <c r="R102" i="31"/>
  <c r="R98" i="31"/>
  <c r="R90" i="31"/>
  <c r="R82" i="31"/>
  <c r="R74" i="31"/>
  <c r="R66" i="31"/>
  <c r="R58" i="31"/>
  <c r="R54" i="31"/>
  <c r="R46" i="31"/>
  <c r="R38" i="31"/>
  <c r="R30" i="31"/>
  <c r="R269" i="31"/>
  <c r="R265" i="31"/>
  <c r="R261" i="31"/>
  <c r="R257" i="31"/>
  <c r="R253" i="31"/>
  <c r="R249" i="31"/>
  <c r="R245" i="31"/>
  <c r="R241" i="31"/>
  <c r="R237" i="31"/>
  <c r="R233" i="31"/>
  <c r="R229" i="31"/>
  <c r="R225" i="31"/>
  <c r="R221" i="31"/>
  <c r="R217" i="31"/>
  <c r="R213" i="31"/>
  <c r="R209" i="31"/>
  <c r="R205" i="31"/>
  <c r="R201" i="31"/>
  <c r="R197" i="31"/>
  <c r="R193" i="31"/>
  <c r="R189" i="31"/>
  <c r="R185" i="31"/>
  <c r="R181" i="31"/>
  <c r="R177" i="31"/>
  <c r="R173" i="31"/>
  <c r="R169" i="31"/>
  <c r="R165" i="31"/>
  <c r="R161" i="31"/>
  <c r="R157" i="31"/>
  <c r="R153" i="31"/>
  <c r="R149" i="31"/>
  <c r="R145" i="31"/>
  <c r="R141" i="31"/>
  <c r="R137" i="31"/>
  <c r="R133"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272" i="31"/>
  <c r="R268" i="31"/>
  <c r="R264" i="31"/>
  <c r="R260" i="31"/>
  <c r="R256" i="31"/>
  <c r="R252" i="31"/>
  <c r="R248" i="31"/>
  <c r="R244" i="31"/>
  <c r="R240" i="31"/>
  <c r="R236" i="31"/>
  <c r="R232" i="31"/>
  <c r="R228" i="31"/>
  <c r="R220" i="31"/>
  <c r="R216" i="31"/>
  <c r="R212" i="31"/>
  <c r="R208" i="31"/>
  <c r="R204" i="31"/>
  <c r="R200" i="31"/>
  <c r="R196" i="31"/>
  <c r="R31" i="31"/>
  <c r="R27" i="31"/>
  <c r="R194" i="31"/>
  <c r="R190" i="31"/>
  <c r="R186" i="31"/>
  <c r="R182" i="31"/>
  <c r="R178" i="31"/>
  <c r="R174" i="31"/>
  <c r="R170" i="31"/>
  <c r="R166" i="31"/>
  <c r="R162" i="31"/>
  <c r="R158" i="31"/>
  <c r="R154" i="31"/>
  <c r="R150" i="31"/>
  <c r="R146" i="31"/>
  <c r="R142" i="31"/>
  <c r="R134" i="31"/>
  <c r="R130" i="31"/>
  <c r="R122" i="31"/>
  <c r="R114" i="31"/>
  <c r="R106" i="31"/>
  <c r="R94" i="31"/>
  <c r="R86" i="31"/>
  <c r="R78" i="31"/>
  <c r="R70" i="31"/>
  <c r="R62" i="31"/>
  <c r="R50" i="31"/>
  <c r="R42" i="31"/>
  <c r="R34" i="31"/>
  <c r="R26" i="31"/>
  <c r="D4" i="52"/>
  <c r="B47" i="72" s="1"/>
  <c r="D45" i="9"/>
  <c r="D5" i="53"/>
  <c r="M48" i="9"/>
  <c r="H107" i="9"/>
  <c r="H102" i="9"/>
  <c r="D7" i="53" s="1"/>
  <c r="B21" i="72" s="1"/>
  <c r="C105" i="9"/>
  <c r="E118" i="9"/>
  <c r="E4" i="52" s="1"/>
  <c r="B48" i="72" s="1"/>
  <c r="I4" i="52"/>
  <c r="E14" i="74"/>
  <c r="F14" i="74"/>
  <c r="B55" i="40"/>
  <c r="F55" i="40" s="1"/>
  <c r="B60" i="40"/>
  <c r="F60" i="40" s="1"/>
  <c r="B51" i="40"/>
  <c r="F51" i="40" s="1"/>
  <c r="B54" i="40"/>
  <c r="F54" i="40" s="1"/>
  <c r="B53" i="40"/>
  <c r="F53" i="40" s="1"/>
  <c r="F61" i="40"/>
  <c r="B2" i="40" s="1"/>
  <c r="B3" i="40" s="1"/>
  <c r="B52" i="40"/>
  <c r="F52" i="40" s="1"/>
  <c r="B57" i="40"/>
  <c r="F57" i="40" s="1"/>
  <c r="B56" i="40"/>
  <c r="F56" i="40" s="1"/>
  <c r="B58" i="40"/>
  <c r="F58" i="40" s="1"/>
  <c r="B59" i="40"/>
  <c r="F59" i="40" s="1"/>
  <c r="D17" i="53" l="1"/>
  <c r="B36" i="72" s="1"/>
  <c r="B34" i="72"/>
  <c r="D125" i="9"/>
  <c r="D11" i="52" s="1"/>
  <c r="D10" i="52"/>
  <c r="H14" i="74"/>
  <c r="B7" i="74" s="1"/>
  <c r="S26" i="31"/>
  <c r="U26" i="31"/>
  <c r="S62" i="31"/>
  <c r="U62" i="31"/>
  <c r="S94" i="31"/>
  <c r="U94" i="31"/>
  <c r="S130" i="31"/>
  <c r="U130" i="31"/>
  <c r="S150" i="31"/>
  <c r="U150" i="31"/>
  <c r="S166" i="31"/>
  <c r="U166" i="31"/>
  <c r="S174" i="31"/>
  <c r="U174" i="31"/>
  <c r="S190" i="31"/>
  <c r="U190" i="31"/>
  <c r="S196" i="31"/>
  <c r="U196" i="31"/>
  <c r="S212" i="31"/>
  <c r="U212" i="31"/>
  <c r="S232" i="31"/>
  <c r="U232" i="31"/>
  <c r="S34" i="31"/>
  <c r="U34" i="31"/>
  <c r="S50" i="31"/>
  <c r="U50" i="31"/>
  <c r="S70" i="31"/>
  <c r="U70" i="31"/>
  <c r="S86" i="31"/>
  <c r="U86" i="31"/>
  <c r="S106" i="31"/>
  <c r="U106" i="31"/>
  <c r="S122" i="31"/>
  <c r="U122" i="31"/>
  <c r="S134" i="31"/>
  <c r="U134" i="31"/>
  <c r="S146" i="31"/>
  <c r="U146" i="31"/>
  <c r="S154" i="31"/>
  <c r="U154" i="31"/>
  <c r="S162" i="31"/>
  <c r="U162" i="31"/>
  <c r="S170" i="31"/>
  <c r="U170" i="31"/>
  <c r="S178" i="31"/>
  <c r="U178" i="31"/>
  <c r="S186" i="31"/>
  <c r="U186" i="31"/>
  <c r="S194" i="31"/>
  <c r="U194" i="31"/>
  <c r="S31" i="31"/>
  <c r="U31" i="31"/>
  <c r="S200" i="31"/>
  <c r="U200" i="31"/>
  <c r="S208" i="31"/>
  <c r="U208" i="31"/>
  <c r="S216" i="31"/>
  <c r="U216" i="31"/>
  <c r="S228" i="31"/>
  <c r="U228" i="31"/>
  <c r="S236" i="31"/>
  <c r="U236" i="31"/>
  <c r="S244" i="31"/>
  <c r="U244" i="31"/>
  <c r="S252" i="31"/>
  <c r="U252" i="31"/>
  <c r="S260" i="31"/>
  <c r="U260" i="31"/>
  <c r="S268" i="31"/>
  <c r="U268" i="31"/>
  <c r="S37" i="31"/>
  <c r="U37" i="31"/>
  <c r="S45" i="31"/>
  <c r="U45" i="31"/>
  <c r="S53" i="31"/>
  <c r="U53" i="31"/>
  <c r="S61" i="31"/>
  <c r="U61" i="31"/>
  <c r="S69" i="31"/>
  <c r="U69" i="31"/>
  <c r="S77" i="31"/>
  <c r="U77" i="31"/>
  <c r="S85" i="31"/>
  <c r="U85" i="31"/>
  <c r="S93" i="31"/>
  <c r="U93" i="31"/>
  <c r="S101" i="31"/>
  <c r="U101" i="31"/>
  <c r="S109" i="31"/>
  <c r="U109" i="31"/>
  <c r="S117" i="31"/>
  <c r="U117" i="31"/>
  <c r="S125" i="31"/>
  <c r="U125" i="31"/>
  <c r="S133" i="31"/>
  <c r="U133" i="31"/>
  <c r="S141" i="31"/>
  <c r="U141" i="31"/>
  <c r="S149" i="31"/>
  <c r="U149" i="31"/>
  <c r="S157" i="31"/>
  <c r="U157" i="31"/>
  <c r="S165" i="31"/>
  <c r="U165" i="31"/>
  <c r="S173" i="31"/>
  <c r="U173" i="31"/>
  <c r="S181" i="31"/>
  <c r="U181" i="31"/>
  <c r="S189" i="31"/>
  <c r="U189" i="31"/>
  <c r="S197" i="31"/>
  <c r="U197" i="31"/>
  <c r="S205" i="31"/>
  <c r="U205" i="31"/>
  <c r="S213" i="31"/>
  <c r="U213" i="31"/>
  <c r="S221" i="31"/>
  <c r="U221" i="31"/>
  <c r="S229" i="31"/>
  <c r="U229" i="31"/>
  <c r="S237" i="31"/>
  <c r="U237" i="31"/>
  <c r="S245" i="31"/>
  <c r="U245" i="31"/>
  <c r="S253" i="31"/>
  <c r="U253" i="31"/>
  <c r="S261" i="31"/>
  <c r="U261" i="31"/>
  <c r="S269" i="31"/>
  <c r="U269" i="31"/>
  <c r="S38" i="31"/>
  <c r="U38" i="31"/>
  <c r="S54" i="31"/>
  <c r="U54" i="31"/>
  <c r="S66" i="31"/>
  <c r="U66" i="31"/>
  <c r="S82" i="31"/>
  <c r="U82" i="31"/>
  <c r="S98" i="31"/>
  <c r="U98" i="31"/>
  <c r="S110" i="31"/>
  <c r="U110" i="31"/>
  <c r="S126" i="31"/>
  <c r="U126" i="31"/>
  <c r="S224" i="31"/>
  <c r="U224" i="31"/>
  <c r="S32" i="31"/>
  <c r="U32" i="31"/>
  <c r="S40" i="31"/>
  <c r="U40" i="31"/>
  <c r="S48" i="31"/>
  <c r="U48" i="31"/>
  <c r="S56" i="31"/>
  <c r="U56" i="31"/>
  <c r="S64" i="31"/>
  <c r="U64" i="31"/>
  <c r="S72" i="31"/>
  <c r="U72" i="31"/>
  <c r="S80" i="31"/>
  <c r="U80" i="31"/>
  <c r="S88" i="31"/>
  <c r="U88" i="31"/>
  <c r="S96" i="31"/>
  <c r="U96" i="31"/>
  <c r="S104" i="31"/>
  <c r="U104" i="31"/>
  <c r="S112" i="31"/>
  <c r="U112" i="31"/>
  <c r="S120" i="31"/>
  <c r="U120" i="31"/>
  <c r="S128" i="31"/>
  <c r="U128" i="31"/>
  <c r="S136" i="31"/>
  <c r="U136" i="31"/>
  <c r="S144" i="31"/>
  <c r="U144" i="31"/>
  <c r="S152" i="31"/>
  <c r="U152" i="31"/>
  <c r="S160" i="31"/>
  <c r="U160" i="31"/>
  <c r="S168" i="31"/>
  <c r="U168" i="31"/>
  <c r="S176" i="31"/>
  <c r="U176" i="31"/>
  <c r="S184" i="31"/>
  <c r="U184" i="31"/>
  <c r="S192" i="31"/>
  <c r="U192" i="31"/>
  <c r="S29" i="31"/>
  <c r="U29" i="31"/>
  <c r="S198" i="31"/>
  <c r="U198" i="31"/>
  <c r="S206" i="31"/>
  <c r="U206" i="31"/>
  <c r="S214" i="31"/>
  <c r="U214" i="31"/>
  <c r="S222" i="31"/>
  <c r="U222" i="31"/>
  <c r="S230" i="31"/>
  <c r="U230" i="31"/>
  <c r="S238" i="31"/>
  <c r="U238" i="31"/>
  <c r="S246" i="31"/>
  <c r="U246" i="31"/>
  <c r="S254" i="31"/>
  <c r="U254" i="31"/>
  <c r="S262" i="31"/>
  <c r="U262" i="31"/>
  <c r="S270" i="31"/>
  <c r="U270" i="31"/>
  <c r="S39" i="31"/>
  <c r="U39" i="31"/>
  <c r="S47" i="31"/>
  <c r="U47" i="31"/>
  <c r="S55" i="31"/>
  <c r="U55" i="31"/>
  <c r="S63" i="31"/>
  <c r="U63" i="31"/>
  <c r="S71" i="31"/>
  <c r="U71" i="31"/>
  <c r="S79" i="31"/>
  <c r="U79" i="31"/>
  <c r="S87" i="31"/>
  <c r="U87" i="31"/>
  <c r="S95" i="31"/>
  <c r="U95" i="31"/>
  <c r="S103" i="31"/>
  <c r="U103" i="31"/>
  <c r="S111" i="31"/>
  <c r="U111" i="31"/>
  <c r="S119" i="31"/>
  <c r="U119" i="31"/>
  <c r="S127" i="31"/>
  <c r="U127" i="31"/>
  <c r="S135" i="31"/>
  <c r="U135" i="31"/>
  <c r="S143" i="31"/>
  <c r="U143" i="31"/>
  <c r="S151" i="31"/>
  <c r="U151" i="31"/>
  <c r="S159" i="31"/>
  <c r="U159" i="31"/>
  <c r="S167" i="31"/>
  <c r="U167" i="31"/>
  <c r="S175" i="31"/>
  <c r="U175" i="31"/>
  <c r="S183" i="31"/>
  <c r="U183" i="31"/>
  <c r="S191" i="31"/>
  <c r="U191" i="31"/>
  <c r="S199" i="31"/>
  <c r="U199" i="31"/>
  <c r="S207" i="31"/>
  <c r="U207" i="31"/>
  <c r="S215" i="31"/>
  <c r="U215" i="31"/>
  <c r="S223" i="31"/>
  <c r="U223" i="31"/>
  <c r="S231" i="31"/>
  <c r="U231" i="31"/>
  <c r="S239" i="31"/>
  <c r="U239" i="31"/>
  <c r="S247" i="31"/>
  <c r="U247" i="31"/>
  <c r="S255" i="31"/>
  <c r="U255" i="31"/>
  <c r="S263" i="31"/>
  <c r="U263" i="31"/>
  <c r="S271" i="31"/>
  <c r="U271" i="31"/>
  <c r="S42" i="31"/>
  <c r="U42" i="31"/>
  <c r="S78" i="31"/>
  <c r="U78" i="31"/>
  <c r="S114" i="31"/>
  <c r="U114" i="31"/>
  <c r="S142" i="31"/>
  <c r="U142" i="31"/>
  <c r="S158" i="31"/>
  <c r="U158" i="31"/>
  <c r="S182" i="31"/>
  <c r="U182" i="31"/>
  <c r="S27" i="31"/>
  <c r="U27" i="31"/>
  <c r="S204" i="31"/>
  <c r="U204" i="31"/>
  <c r="S220" i="31"/>
  <c r="U220" i="31"/>
  <c r="S240" i="31"/>
  <c r="U240" i="31"/>
  <c r="S248" i="31"/>
  <c r="U248" i="31"/>
  <c r="S256" i="31"/>
  <c r="U256" i="31"/>
  <c r="S264" i="31"/>
  <c r="U264" i="31"/>
  <c r="S272" i="31"/>
  <c r="U272" i="31"/>
  <c r="S41" i="31"/>
  <c r="U41" i="31"/>
  <c r="S49" i="31"/>
  <c r="U49" i="31"/>
  <c r="S57" i="31"/>
  <c r="U57" i="31"/>
  <c r="S65" i="31"/>
  <c r="U65" i="31"/>
  <c r="S73" i="31"/>
  <c r="U73" i="31"/>
  <c r="S81" i="31"/>
  <c r="U81" i="31"/>
  <c r="S89" i="31"/>
  <c r="U89" i="31"/>
  <c r="S97" i="31"/>
  <c r="U97" i="31"/>
  <c r="S105" i="31"/>
  <c r="U105" i="31"/>
  <c r="S113" i="31"/>
  <c r="U113" i="31"/>
  <c r="S121" i="31"/>
  <c r="U121" i="31"/>
  <c r="S129" i="31"/>
  <c r="U129" i="31"/>
  <c r="S137" i="31"/>
  <c r="U137" i="31"/>
  <c r="S145" i="31"/>
  <c r="U145" i="31"/>
  <c r="S153" i="31"/>
  <c r="U153" i="31"/>
  <c r="S161" i="31"/>
  <c r="U161" i="31"/>
  <c r="S169" i="31"/>
  <c r="U169" i="31"/>
  <c r="S177" i="31"/>
  <c r="U177" i="31"/>
  <c r="S185" i="31"/>
  <c r="U185" i="31"/>
  <c r="S193" i="31"/>
  <c r="U193" i="31"/>
  <c r="S201" i="31"/>
  <c r="U201" i="31"/>
  <c r="S209" i="31"/>
  <c r="U209" i="31"/>
  <c r="S217" i="31"/>
  <c r="U217" i="31"/>
  <c r="S225" i="31"/>
  <c r="U225" i="31"/>
  <c r="S233" i="31"/>
  <c r="U233" i="31"/>
  <c r="S241" i="31"/>
  <c r="U241" i="31"/>
  <c r="S249" i="31"/>
  <c r="U249" i="31"/>
  <c r="S257" i="31"/>
  <c r="U257" i="31"/>
  <c r="S265" i="31"/>
  <c r="U265" i="31"/>
  <c r="S30" i="31"/>
  <c r="U30" i="31"/>
  <c r="S46" i="31"/>
  <c r="U46" i="31"/>
  <c r="S58" i="31"/>
  <c r="U58" i="31"/>
  <c r="S74" i="31"/>
  <c r="U74" i="31"/>
  <c r="S90" i="31"/>
  <c r="U90" i="31"/>
  <c r="S102" i="31"/>
  <c r="U102" i="31"/>
  <c r="S118" i="31"/>
  <c r="U118" i="31"/>
  <c r="S138" i="31"/>
  <c r="U138" i="31"/>
  <c r="S28" i="31"/>
  <c r="U28" i="31"/>
  <c r="S36" i="31"/>
  <c r="U36" i="31"/>
  <c r="S44" i="31"/>
  <c r="U44" i="31"/>
  <c r="S52" i="31"/>
  <c r="U52" i="31"/>
  <c r="S60" i="31"/>
  <c r="U60" i="31"/>
  <c r="S68" i="31"/>
  <c r="U68" i="31"/>
  <c r="S76" i="31"/>
  <c r="U76" i="31"/>
  <c r="S84" i="31"/>
  <c r="U84" i="31"/>
  <c r="S92" i="31"/>
  <c r="U92" i="31"/>
  <c r="S100" i="31"/>
  <c r="U100" i="31"/>
  <c r="S108" i="31"/>
  <c r="U108" i="31"/>
  <c r="S116" i="31"/>
  <c r="U116" i="31"/>
  <c r="S124" i="31"/>
  <c r="U124" i="31"/>
  <c r="S132" i="31"/>
  <c r="U132" i="31"/>
  <c r="S140" i="31"/>
  <c r="U140" i="31"/>
  <c r="S148" i="31"/>
  <c r="U148" i="31"/>
  <c r="S156" i="31"/>
  <c r="U156" i="31"/>
  <c r="S164" i="31"/>
  <c r="U164" i="31"/>
  <c r="S172" i="31"/>
  <c r="U172" i="31"/>
  <c r="S180" i="31"/>
  <c r="U180" i="31"/>
  <c r="S188" i="31"/>
  <c r="U188" i="31"/>
  <c r="S25" i="31"/>
  <c r="U25" i="31"/>
  <c r="S33" i="31"/>
  <c r="U33" i="31"/>
  <c r="S202" i="31"/>
  <c r="U202" i="31"/>
  <c r="S210" i="31"/>
  <c r="U210" i="31"/>
  <c r="S218" i="31"/>
  <c r="U218" i="31"/>
  <c r="S226" i="31"/>
  <c r="U226" i="31"/>
  <c r="S234" i="31"/>
  <c r="U234" i="31"/>
  <c r="S242" i="31"/>
  <c r="U242" i="31"/>
  <c r="S250" i="31"/>
  <c r="U250" i="31"/>
  <c r="S258" i="31"/>
  <c r="U258" i="31"/>
  <c r="S266" i="31"/>
  <c r="U266" i="31"/>
  <c r="S35" i="31"/>
  <c r="U35" i="31"/>
  <c r="S43" i="31"/>
  <c r="U43" i="31"/>
  <c r="S51" i="31"/>
  <c r="U51" i="31"/>
  <c r="S59" i="31"/>
  <c r="U59" i="31"/>
  <c r="S67" i="31"/>
  <c r="U67" i="31"/>
  <c r="S75" i="31"/>
  <c r="U75" i="31"/>
  <c r="S83" i="31"/>
  <c r="U83" i="31"/>
  <c r="S91" i="31"/>
  <c r="U91" i="31"/>
  <c r="S99" i="31"/>
  <c r="U99" i="31"/>
  <c r="S107" i="31"/>
  <c r="U107" i="31"/>
  <c r="S115" i="31"/>
  <c r="U115" i="31"/>
  <c r="S123" i="31"/>
  <c r="U123" i="31"/>
  <c r="S131" i="31"/>
  <c r="U131" i="31"/>
  <c r="S139" i="31"/>
  <c r="U139" i="31"/>
  <c r="S147" i="31"/>
  <c r="U147" i="31"/>
  <c r="S155" i="31"/>
  <c r="U155" i="31"/>
  <c r="S163" i="31"/>
  <c r="U163" i="31"/>
  <c r="S171" i="31"/>
  <c r="U171" i="31"/>
  <c r="S179" i="31"/>
  <c r="U179" i="31"/>
  <c r="S187" i="31"/>
  <c r="U187" i="31"/>
  <c r="S195" i="31"/>
  <c r="U195" i="31"/>
  <c r="S203" i="31"/>
  <c r="U203" i="31"/>
  <c r="S211" i="31"/>
  <c r="U211" i="31"/>
  <c r="S219" i="31"/>
  <c r="U219" i="31"/>
  <c r="S227" i="31"/>
  <c r="U227" i="31"/>
  <c r="S235" i="31"/>
  <c r="U235" i="31"/>
  <c r="S243" i="31"/>
  <c r="U243" i="31"/>
  <c r="S251" i="31"/>
  <c r="U251" i="31"/>
  <c r="S259" i="31"/>
  <c r="U259" i="31"/>
  <c r="S267" i="31"/>
  <c r="U267" i="31"/>
  <c r="C93" i="9"/>
  <c r="C86" i="9" s="1"/>
  <c r="C78" i="9"/>
  <c r="C73" i="9" s="1"/>
  <c r="D53" i="9"/>
  <c r="C64" i="9"/>
  <c r="C63" i="9" s="1"/>
  <c r="C67" i="9" s="1"/>
  <c r="C68" i="9" s="1"/>
  <c r="D54" i="9" s="1"/>
  <c r="C72" i="9"/>
  <c r="D55" i="9"/>
  <c r="M53" i="9" s="1"/>
  <c r="D52" i="9"/>
  <c r="C85" i="9"/>
  <c r="M49" i="9"/>
  <c r="D122" i="9"/>
  <c r="D13" i="53"/>
  <c r="H108" i="9"/>
  <c r="D15" i="53" s="1"/>
  <c r="B31" i="72" s="1"/>
  <c r="B20" i="72"/>
  <c r="D6" i="53"/>
  <c r="B22" i="72" s="1"/>
  <c r="C7" i="74" l="1"/>
  <c r="D7" i="74"/>
  <c r="M18" i="81"/>
  <c r="O18" i="81" s="1"/>
  <c r="M17" i="81"/>
  <c r="O17" i="81" s="1"/>
  <c r="M16" i="81"/>
  <c r="O16" i="81" s="1"/>
  <c r="M15" i="81"/>
  <c r="S22" i="31"/>
  <c r="C79" i="9"/>
  <c r="C80" i="9" s="1"/>
  <c r="E80" i="9" s="1"/>
  <c r="E81" i="9" s="1"/>
  <c r="L64" i="9"/>
  <c r="M64" i="9" s="1"/>
  <c r="L63" i="9"/>
  <c r="M63" i="9" s="1"/>
  <c r="L67" i="9"/>
  <c r="M67" i="9" s="1"/>
  <c r="L68" i="9"/>
  <c r="M68" i="9" s="1"/>
  <c r="L65" i="9"/>
  <c r="M65" i="9" s="1"/>
  <c r="L66" i="9"/>
  <c r="M66" i="9" s="1"/>
  <c r="D123" i="9"/>
  <c r="D9" i="52" s="1"/>
  <c r="D8" i="52"/>
  <c r="G14" i="74"/>
  <c r="C95" i="9"/>
  <c r="D14" i="53"/>
  <c r="B32" i="72" s="1"/>
  <c r="B30" i="72"/>
  <c r="B20" i="31" l="1"/>
  <c r="D15" i="74"/>
  <c r="G15" i="74" s="1"/>
  <c r="B6" i="74" s="1"/>
  <c r="O15" i="81"/>
  <c r="P17" i="81" s="1"/>
  <c r="M19" i="81"/>
  <c r="R22" i="31"/>
  <c r="B21" i="31" s="1"/>
  <c r="M69" i="9"/>
  <c r="N69" i="9" s="1"/>
  <c r="C81" i="9"/>
  <c r="C96" i="9"/>
  <c r="E96" i="9" s="1"/>
  <c r="E97" i="9" s="1"/>
  <c r="C6" i="74" l="1"/>
  <c r="D6" i="74"/>
  <c r="F15" i="74"/>
  <c r="E15" i="74"/>
  <c r="B5" i="74"/>
  <c r="P18" i="81"/>
  <c r="P16" i="81"/>
  <c r="C97" i="9"/>
  <c r="D58" i="9" s="1"/>
  <c r="D56" i="9" s="1"/>
  <c r="M54" i="9" s="1"/>
  <c r="N57" i="9" s="1"/>
  <c r="N58" i="9" s="1"/>
  <c r="D5" i="74" l="1"/>
  <c r="C5" i="74"/>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<sst xmlns="http://schemas.openxmlformats.org/spreadsheetml/2006/main" count="12395" uniqueCount="4005">
  <si>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</si>
  <si>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</si>
  <si>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</si>
  <si>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</si>
  <si>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</si>
  <si>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</si>
  <si>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</si>
  <si>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</si>
  <si>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</si>
  <si>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</si>
  <si>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</si>
  <si>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</si>
  <si>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</si>
  <si>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</si>
  <si>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</si>
  <si>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</si>
  <si>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</si>
  <si>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</si>
  <si>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</si>
  <si>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</si>
  <si>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</si>
  <si>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</si>
  <si>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</si>
  <si>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</si>
  <si>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</si>
  <si>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</si>
  <si>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</si>
  <si>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</si>
  <si>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</si>
  <si>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</si>
  <si>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</si>
  <si>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</si>
  <si>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</si>
  <si>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</si>
  <si>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</si>
  <si>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</si>
  <si>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</si>
  <si>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</si>
  <si>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</si>
  <si>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</si>
  <si>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</si>
  <si>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</si>
  <si>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</si>
  <si>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</si>
  <si>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</si>
  <si>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</si>
  <si>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</si>
  <si>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</si>
  <si>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</si>
  <si>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</si>
  <si>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</si>
  <si>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</si>
  <si>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</si>
  <si>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</si>
  <si>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</si>
  <si>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</si>
  <si>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</si>
  <si>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</si>
  <si>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</si>
  <si>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</si>
  <si>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</si>
  <si>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</si>
  <si>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</si>
  <si>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</si>
  <si>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</si>
  <si>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</si>
  <si>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</si>
  <si>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</si>
  <si>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</si>
  <si>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</si>
  <si>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</si>
  <si>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</si>
  <si>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</si>
  <si>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</si>
  <si>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</si>
  <si>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</si>
  <si>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</si>
  <si>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</si>
  <si>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</si>
  <si>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</si>
  <si>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</si>
  <si>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</si>
  <si>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</si>
  <si>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</si>
  <si>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</si>
  <si>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</si>
  <si>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</si>
  <si>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</si>
  <si>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</si>
  <si>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</si>
  <si>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</si>
  <si>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</si>
  <si>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</si>
  <si>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</si>
  <si>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</si>
  <si>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</si>
  <si>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</si>
  <si>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</si>
  <si>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</si>
  <si>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</si>
  <si>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</si>
  <si>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</si>
  <si>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</si>
  <si>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</si>
  <si>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</si>
  <si>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</si>
  <si>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</si>
  <si>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</si>
  <si>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</si>
  <si>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</si>
  <si>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</si>
  <si>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</si>
  <si>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</si>
  <si>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</si>
  <si>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</si>
  <si>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</si>
  <si>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</si>
  <si>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</si>
  <si>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</si>
  <si>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</si>
  <si>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</si>
  <si>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</si>
  <si>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</si>
  <si>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</si>
  <si>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</si>
  <si>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</si>
  <si>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</si>
  <si>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</si>
  <si>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</si>
  <si>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</si>
  <si>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</si>
  <si>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</si>
  <si>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</si>
  <si>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</si>
  <si>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</si>
  <si>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</si>
  <si>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</si>
  <si>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</si>
  <si>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</si>
  <si>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</si>
  <si>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</si>
  <si>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</si>
  <si>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</si>
  <si>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</si>
  <si>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</si>
  <si>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</si>
  <si>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</si>
  <si>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</si>
  <si>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</si>
  <si>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</si>
  <si>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</si>
  <si>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</si>
  <si>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</si>
  <si>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</si>
  <si>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</si>
  <si>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</si>
  <si>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</si>
  <si>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</si>
  <si>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</si>
  <si>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</si>
  <si>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</si>
  <si>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</si>
  <si>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</si>
  <si>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</si>
  <si>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</si>
  <si>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</si>
  <si>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</si>
  <si>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</si>
  <si>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</si>
  <si>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</si>
  <si>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</si>
  <si>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</si>
  <si>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</si>
  <si>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</si>
  <si>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</si>
  <si>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</si>
  <si>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</si>
  <si>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</si>
  <si>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</si>
  <si>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</si>
  <si>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</si>
  <si>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</si>
  <si>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</si>
  <si>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</si>
  <si>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</si>
  <si>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</si>
  <si>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</si>
  <si>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</si>
  <si>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</si>
  <si>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</si>
  <si>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</si>
  <si>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</si>
  <si>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</si>
  <si>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</si>
  <si>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</si>
  <si>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</si>
  <si>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</si>
  <si>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</si>
  <si>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</si>
  <si>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</si>
  <si>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</si>
  <si>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</si>
  <si>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</si>
  <si>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</si>
  <si>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</si>
  <si>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</si>
  <si>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</si>
  <si>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</si>
  <si>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</si>
  <si>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</si>
  <si>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</si>
  <si>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</si>
  <si>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</si>
  <si>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</si>
  <si>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</si>
  <si>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</si>
  <si>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</si>
  <si>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</si>
  <si>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</si>
  <si>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</si>
  <si>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</si>
  <si>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</si>
  <si>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</si>
  <si>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</si>
  <si>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</si>
  <si>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</si>
  <si>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</si>
  <si>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</si>
  <si>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</si>
  <si>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</si>
  <si>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</si>
  <si>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</si>
  <si>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</si>
  <si>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</si>
  <si>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</si>
  <si>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</si>
  <si>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</si>
  <si>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</si>
  <si>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</si>
  <si>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</si>
  <si>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</si>
  <si>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</si>
  <si>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</si>
  <si>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</si>
  <si>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</si>
  <si>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</si>
  <si>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</si>
  <si>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</si>
  <si>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</si>
  <si>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</si>
  <si>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</si>
  <si>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</si>
  <si>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</si>
  <si>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</si>
  <si>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</si>
  <si>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</si>
  <si>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</si>
  <si>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</si>
  <si>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</si>
  <si>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</si>
  <si>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</si>
  <si>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</si>
  <si>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</si>
  <si>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</si>
  <si>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</si>
  <si>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</si>
  <si>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</si>
  <si>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</si>
  <si>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</si>
  <si>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</si>
  <si>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</si>
  <si>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</si>
  <si>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</si>
  <si>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</si>
  <si>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</si>
  <si>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</si>
  <si>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</si>
  <si>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</si>
  <si>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</si>
  <si>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</si>
  <si>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</si>
  <si>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</si>
  <si>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</si>
  <si>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</si>
  <si>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</si>
  <si>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</si>
  <si>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</si>
  <si>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</si>
  <si>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</si>
  <si>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</si>
  <si>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</si>
  <si>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</si>
  <si>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</si>
  <si>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</si>
  <si>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</si>
  <si>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</si>
  <si>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</si>
  <si>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</si>
  <si>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</si>
  <si>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</si>
  <si>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</si>
  <si>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</si>
  <si>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</si>
  <si>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</si>
  <si>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</si>
  <si>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</si>
  <si>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</si>
  <si>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</si>
  <si>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</si>
  <si>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</si>
  <si>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</si>
  <si>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</si>
  <si>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</si>
  <si>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</si>
  <si>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</si>
  <si>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</si>
  <si>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</si>
  <si>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</si>
  <si>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</si>
  <si>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</si>
  <si>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</si>
  <si>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</si>
  <si>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</si>
  <si>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</si>
  <si>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</si>
  <si>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</si>
  <si>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</si>
  <si>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</si>
  <si>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</si>
  <si>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</si>
  <si>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</si>
  <si>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</si>
  <si>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</si>
  <si>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</si>
  <si>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</si>
  <si>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</si>
  <si>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</si>
  <si>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</si>
  <si>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</si>
  <si>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</si>
  <si>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</si>
  <si>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</si>
  <si>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</si>
  <si>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</si>
  <si>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</si>
  <si>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</si>
  <si>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</si>
  <si>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</si>
  <si>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</si>
  <si>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</si>
  <si>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</si>
  <si>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</si>
  <si>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</si>
  <si>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</si>
  <si>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</si>
  <si>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</si>
  <si>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</si>
  <si>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</si>
  <si>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</si>
  <si>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</si>
  <si>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</si>
  <si>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</si>
  <si>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</si>
  <si>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</si>
  <si>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</si>
  <si>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</si>
  <si>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</si>
  <si>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</si>
  <si>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</si>
  <si>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</si>
  <si>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</si>
  <si>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</si>
  <si>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</si>
  <si>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</si>
  <si>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</si>
  <si>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</si>
  <si>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</si>
  <si>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</si>
  <si>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</si>
  <si>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</si>
  <si>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</si>
  <si>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</si>
  <si>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</si>
  <si>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</si>
  <si>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</si>
  <si>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</si>
  <si>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</si>
  <si>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</si>
  <si>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</si>
  <si>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</si>
  <si>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</si>
  <si>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</si>
  <si>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</si>
  <si>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</si>
  <si>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</si>
  <si>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</si>
  <si>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</si>
  <si>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</si>
  <si>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</si>
  <si>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</si>
  <si>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</si>
  <si>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</si>
  <si>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</si>
  <si>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</si>
  <si>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</si>
  <si>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</si>
  <si>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</si>
  <si>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</si>
  <si>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</si>
  <si>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</si>
  <si>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</si>
  <si>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</si>
  <si>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</si>
  <si>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</si>
  <si>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</si>
  <si>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</si>
  <si>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</si>
  <si>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</si>
  <si>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</si>
  <si>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</si>
  <si>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</si>
  <si>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</si>
  <si>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</si>
  <si>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</si>
  <si>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</si>
  <si>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</si>
  <si>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</si>
  <si>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</si>
  <si>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</si>
  <si>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</si>
  <si>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</si>
  <si>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</si>
  <si>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</si>
  <si>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</si>
  <si>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</si>
  <si>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</si>
  <si>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</si>
  <si>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</si>
  <si>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</si>
  <si>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</si>
  <si>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</si>
  <si>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</si>
  <si>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</si>
  <si>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</si>
  <si>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</si>
  <si>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</si>
  <si>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</si>
  <si>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</si>
  <si>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</si>
  <si>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</si>
  <si>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</si>
  <si>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</si>
  <si>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</si>
  <si>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</si>
  <si>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</si>
  <si>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</si>
  <si>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</si>
  <si>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</si>
  <si>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</si>
  <si>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</si>
  <si>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</si>
  <si>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</si>
  <si>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</si>
  <si>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</si>
  <si>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</si>
  <si>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</si>
  <si>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</si>
  <si>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</si>
  <si>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</si>
  <si>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</si>
  <si>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</si>
  <si>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</si>
  <si>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</si>
  <si>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</si>
  <si>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</si>
  <si>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</si>
  <si>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</si>
  <si>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</si>
  <si>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</si>
  <si>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</si>
  <si>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</si>
  <si>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</si>
  <si>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</si>
  <si>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</si>
  <si>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</si>
  <si>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</si>
  <si>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</si>
  <si>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</si>
  <si>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</si>
  <si>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</si>
  <si>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</si>
  <si>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</si>
  <si>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</si>
  <si>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</si>
  <si>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</si>
  <si>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</si>
  <si>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</si>
  <si>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</si>
  <si>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</si>
  <si>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</si>
  <si>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</si>
  <si>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</si>
  <si>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</si>
  <si>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</si>
  <si>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</si>
  <si>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</si>
  <si>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</si>
  <si>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</si>
  <si>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</si>
  <si>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</si>
  <si>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</si>
  <si>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</si>
  <si>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</si>
  <si>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</si>
  <si>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</si>
  <si>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</si>
  <si>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</si>
  <si>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</si>
  <si>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</si>
  <si>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</si>
  <si>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</si>
  <si>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</si>
  <si>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</si>
  <si>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</si>
  <si>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</si>
  <si>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</si>
  <si>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</si>
  <si>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</si>
  <si>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</si>
  <si>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</si>
  <si>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</si>
  <si>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</si>
  <si>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</si>
  <si>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</si>
  <si>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</si>
  <si>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</si>
  <si>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</si>
  <si>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</si>
  <si>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</si>
  <si>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</si>
  <si>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</si>
  <si>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</si>
  <si>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</si>
  <si>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</si>
  <si>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</si>
  <si>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</si>
  <si>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</si>
  <si>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</si>
  <si>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</si>
  <si>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</si>
  <si>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</si>
  <si>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</si>
  <si>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</si>
  <si>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</si>
  <si>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</si>
  <si>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</si>
  <si>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</si>
  <si>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</si>
  <si>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</si>
  <si>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</si>
  <si>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</si>
  <si>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</si>
  <si>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</si>
  <si>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</si>
  <si>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</si>
  <si>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</si>
  <si>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</si>
  <si>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</si>
  <si>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</si>
  <si>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</si>
  <si>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</si>
  <si>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</si>
  <si>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</si>
  <si>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</si>
  <si>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</si>
  <si>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</si>
  <si>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</si>
  <si>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</si>
  <si>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</si>
  <si>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</si>
  <si>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</si>
  <si>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</si>
  <si>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</si>
  <si>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</si>
  <si>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</si>
  <si>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</si>
  <si>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</si>
  <si>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</si>
  <si>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</si>
  <si>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</si>
  <si>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</si>
  <si>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</si>
  <si>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</si>
  <si>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</si>
  <si>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</si>
  <si>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</si>
  <si>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</si>
  <si>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</si>
  <si>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</si>
  <si>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</si>
  <si>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</si>
  <si>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</si>
  <si>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</si>
  <si>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</si>
  <si>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</si>
  <si>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</si>
  <si>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</si>
  <si>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</si>
  <si>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</si>
  <si>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</si>
  <si>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</si>
  <si>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</si>
  <si>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</si>
  <si>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</si>
  <si>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</si>
  <si>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</si>
  <si>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</si>
  <si>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</si>
  <si>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</si>
  <si>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</si>
  <si>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</si>
  <si>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</si>
  <si>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</si>
  <si>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</si>
  <si>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</si>
  <si>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</si>
  <si>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</si>
  <si>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</si>
  <si>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</si>
  <si>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</si>
  <si>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</si>
  <si>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</si>
  <si>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</si>
  <si>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</si>
  <si>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</si>
  <si>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</si>
  <si>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</si>
  <si>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</si>
  <si>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</si>
  <si>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</si>
  <si>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</si>
  <si>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</si>
  <si>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</si>
  <si>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</si>
  <si>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</si>
  <si>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</si>
  <si>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</si>
  <si>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</si>
  <si>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</si>
  <si>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</si>
  <si>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</si>
  <si>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</si>
  <si>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</si>
  <si>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</si>
  <si>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</si>
  <si>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</si>
  <si>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</si>
  <si>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</si>
  <si>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</si>
  <si>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</si>
  <si>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</si>
  <si>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</si>
  <si>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</si>
  <si>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</si>
  <si>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</si>
  <si>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</si>
  <si>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</si>
  <si>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</si>
  <si>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</si>
  <si>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</si>
  <si>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</si>
  <si>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</si>
  <si>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</si>
  <si>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</si>
  <si>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</si>
  <si>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</si>
  <si>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</si>
  <si>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</si>
  <si>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</si>
  <si>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</si>
  <si>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</si>
  <si>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</si>
  <si>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</si>
  <si>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</si>
  <si>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</si>
  <si>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</si>
  <si>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</si>
  <si>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</si>
  <si>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</si>
  <si>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</si>
  <si>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</si>
  <si>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</si>
  <si>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</si>
  <si>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</si>
  <si>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</si>
  <si>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</si>
  <si>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</si>
  <si>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</si>
  <si>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</si>
  <si>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</si>
  <si>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</si>
  <si>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</si>
  <si>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</si>
  <si>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</si>
  <si>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</si>
  <si>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</si>
  <si>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</si>
  <si>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</si>
  <si>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</si>
  <si>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</si>
  <si>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</si>
  <si>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</si>
  <si>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</si>
  <si>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</si>
  <si>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</si>
  <si>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</si>
  <si>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</si>
  <si>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</si>
  <si>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</si>
  <si>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</si>
  <si>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</si>
  <si>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</si>
  <si>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</si>
  <si>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</si>
  <si>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</si>
  <si>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</si>
  <si>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</si>
  <si>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</si>
  <si>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</si>
  <si>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</si>
  <si>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</si>
  <si>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</si>
  <si>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</si>
  <si>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</si>
  <si>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</si>
  <si>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</si>
  <si>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</si>
  <si>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</si>
  <si>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</si>
  <si>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</si>
  <si>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</si>
  <si>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</si>
  <si>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</si>
  <si>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</si>
  <si>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</si>
  <si>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</si>
  <si>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</si>
  <si>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</si>
  <si>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</si>
  <si>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</si>
  <si>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</si>
  <si>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</si>
  <si>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</si>
  <si>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</si>
  <si>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</si>
  <si>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</si>
  <si>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</si>
  <si>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</si>
  <si>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</si>
  <si>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</si>
  <si>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</si>
  <si>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</si>
  <si>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</si>
  <si>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</si>
  <si>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</si>
  <si>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</si>
  <si>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</si>
  <si>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</si>
  <si>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</si>
  <si>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</si>
  <si>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</si>
  <si>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</si>
  <si>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</si>
  <si>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</si>
  <si>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</si>
  <si>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</si>
  <si>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</si>
  <si>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</si>
  <si>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</si>
  <si>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</si>
  <si>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</si>
  <si>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</si>
  <si>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</si>
  <si>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</si>
  <si>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</si>
  <si>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</si>
  <si>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</si>
  <si>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</si>
  <si>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</si>
  <si>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</si>
  <si>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</si>
  <si>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</si>
  <si>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</si>
  <si>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</si>
  <si>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</si>
  <si>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</si>
  <si>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</si>
  <si>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</si>
  <si>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</si>
  <si>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</si>
  <si>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</si>
  <si>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</si>
  <si>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</si>
  <si>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</si>
  <si>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</si>
  <si>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</si>
  <si>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</si>
  <si>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</si>
  <si>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</si>
  <si>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</si>
  <si>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</si>
  <si>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</si>
  <si>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</si>
  <si>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</si>
  <si>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</si>
  <si>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</si>
  <si>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</si>
  <si>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</si>
  <si>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</si>
  <si>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</si>
  <si>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</si>
  <si>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</si>
  <si>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</si>
  <si>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</si>
  <si>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</si>
  <si>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</si>
  <si>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</si>
  <si>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</si>
  <si>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</si>
  <si>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</si>
  <si>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</si>
  <si>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</si>
  <si>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</si>
  <si>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</si>
  <si>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</si>
  <si>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</si>
  <si>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</si>
  <si>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</si>
  <si>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</si>
  <si>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</si>
  <si>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</si>
  <si>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</si>
  <si>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</si>
  <si>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</si>
  <si>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</si>
  <si>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</si>
  <si>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</si>
  <si>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</si>
  <si>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</si>
  <si>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</si>
  <si>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</si>
  <si>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</si>
  <si>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</si>
  <si>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</si>
  <si>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</si>
  <si>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</si>
  <si>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</si>
  <si>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</si>
  <si>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</si>
  <si>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</si>
  <si>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</si>
  <si>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</si>
  <si>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</si>
  <si>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</si>
  <si>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</si>
  <si>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</si>
  <si>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</si>
  <si>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</si>
  <si>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</si>
  <si>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</si>
  <si>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</si>
  <si>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</si>
  <si>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</si>
  <si>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</si>
  <si>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</si>
  <si>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</si>
  <si>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</si>
  <si>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</si>
  <si>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</si>
  <si>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</si>
  <si>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</si>
  <si>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</si>
  <si>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</si>
  <si>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</si>
  <si>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</si>
  <si>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</si>
  <si>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</si>
  <si>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</si>
  <si>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</si>
  <si>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</si>
  <si>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</si>
  <si>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</si>
  <si>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</si>
  <si>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</si>
  <si>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</si>
  <si>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</si>
  <si>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</si>
  <si>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</si>
  <si>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</si>
  <si>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</si>
  <si>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</si>
  <si>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</si>
  <si>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</si>
  <si>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</si>
  <si>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</si>
  <si>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</si>
  <si>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</si>
  <si>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</si>
  <si>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</si>
  <si>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</si>
  <si>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</si>
  <si>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</si>
  <si>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</si>
  <si>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</si>
  <si>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</si>
  <si>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</si>
  <si>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</si>
  <si>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</si>
  <si>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</si>
  <si>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</si>
  <si>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</si>
  <si>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</si>
  <si>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</si>
  <si>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</si>
  <si>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</si>
  <si>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</si>
  <si>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</si>
  <si>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</si>
  <si>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</si>
  <si>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</si>
  <si>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</si>
  <si>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</si>
  <si>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</si>
  <si>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</si>
  <si>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</si>
  <si>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</si>
  <si>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</si>
  <si>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</si>
  <si>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</si>
  <si>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</si>
  <si>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</si>
  <si>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</si>
  <si>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</si>
  <si>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</si>
  <si>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</si>
  <si>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</si>
  <si>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</si>
  <si>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</si>
  <si>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</si>
  <si>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</si>
  <si>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</si>
  <si>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</si>
  <si>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</si>
  <si>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</si>
  <si>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</si>
  <si>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</si>
  <si>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</si>
  <si>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</si>
  <si>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</si>
  <si>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</si>
  <si>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</si>
  <si>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</si>
  <si>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</si>
  <si>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</si>
  <si>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</si>
  <si>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</si>
  <si>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</si>
  <si>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</si>
  <si>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</si>
  <si>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</si>
  <si>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</si>
  <si>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</si>
  <si>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</si>
  <si>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</si>
  <si>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</si>
  <si>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</si>
  <si>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</si>
  <si>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</si>
  <si>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</si>
  <si>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</si>
  <si>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</si>
  <si>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</si>
  <si>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</si>
  <si>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</si>
  <si>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</si>
  <si>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</si>
  <si>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</si>
  <si>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</si>
  <si>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</si>
  <si>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</si>
  <si>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</si>
  <si>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</si>
  <si>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</si>
  <si>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</si>
  <si>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</si>
  <si>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</si>
  <si>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</si>
  <si>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</si>
  <si>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</si>
  <si>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</si>
  <si>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</si>
  <si>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</si>
  <si>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</si>
  <si>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</si>
  <si>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</si>
  <si>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</si>
  <si>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</si>
  <si>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</si>
  <si>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</si>
  <si>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</si>
  <si>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</si>
  <si>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</si>
  <si>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</si>
  <si>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</si>
  <si>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</si>
  <si>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</si>
  <si>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</si>
  <si>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</si>
  <si>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</si>
  <si>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</si>
  <si>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</si>
  <si>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</si>
  <si>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</si>
  <si>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</si>
  <si>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</si>
  <si>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</si>
  <si>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</si>
  <si>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</si>
  <si>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</si>
  <si>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</si>
  <si>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</si>
  <si>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</si>
  <si>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</si>
  <si>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</si>
  <si>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</si>
  <si>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</si>
  <si>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</si>
  <si>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</si>
  <si>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</si>
  <si>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</si>
  <si>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</si>
  <si>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</si>
  <si>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</si>
  <si>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</si>
  <si>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</si>
  <si>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</si>
  <si>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</si>
  <si>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</si>
  <si>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</si>
  <si>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</si>
  <si>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</si>
  <si>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</si>
  <si>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</si>
  <si>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</si>
  <si>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</si>
  <si>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</si>
  <si>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</si>
  <si>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</si>
  <si>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</si>
  <si>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</si>
  <si>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</si>
  <si>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</si>
  <si>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</si>
  <si>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</si>
  <si>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</si>
  <si>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</si>
  <si>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</si>
  <si>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</si>
  <si>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</si>
  <si>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</si>
  <si>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</si>
  <si>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</si>
  <si>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</si>
  <si>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</si>
  <si>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</si>
  <si>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</si>
  <si>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</si>
  <si>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</si>
  <si>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</si>
  <si>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</si>
  <si>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</si>
  <si>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</si>
  <si>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</si>
  <si>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</si>
  <si>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</si>
  <si>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</si>
  <si>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</si>
  <si>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</si>
  <si>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</si>
  <si>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</si>
  <si>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</si>
  <si>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</si>
  <si>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</si>
  <si>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</si>
  <si>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</si>
  <si>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</si>
  <si>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</si>
  <si>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</si>
  <si>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</si>
  <si>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</si>
  <si>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</si>
  <si>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</si>
  <si>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</si>
  <si>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</si>
  <si>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</si>
  <si>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</si>
  <si>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</si>
  <si>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</si>
  <si>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</si>
  <si>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</si>
  <si>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</si>
  <si>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</si>
  <si>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</si>
  <si>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</si>
  <si>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</si>
  <si>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</si>
  <si>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</si>
  <si>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</si>
  <si>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</si>
  <si>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</si>
  <si>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</si>
  <si>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</si>
  <si>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</si>
  <si>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</si>
  <si>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</si>
  <si>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</si>
  <si>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</si>
  <si>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</si>
  <si>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</si>
  <si>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</si>
  <si>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</si>
  <si>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</si>
  <si>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</si>
  <si>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</si>
  <si>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</si>
  <si>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</si>
  <si>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</si>
  <si>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</si>
  <si>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</si>
  <si>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</si>
  <si>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</si>
  <si>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</si>
  <si>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</si>
  <si>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</si>
  <si>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</si>
  <si>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</si>
  <si>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</si>
  <si>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</si>
  <si>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</si>
  <si>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</si>
  <si>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</si>
  <si>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</si>
  <si>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</si>
  <si>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</si>
  <si>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</si>
  <si>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</si>
  <si>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</si>
  <si>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</si>
  <si>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</si>
  <si>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</si>
  <si>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</si>
  <si>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</si>
  <si>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</si>
  <si>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</si>
  <si>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</si>
  <si>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</si>
  <si>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</si>
  <si>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</si>
  <si>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</si>
  <si>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</si>
  <si>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</si>
  <si>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</si>
  <si>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</si>
  <si>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</si>
  <si>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</si>
  <si>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</si>
  <si>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</si>
  <si>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</si>
  <si>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</si>
  <si>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</si>
  <si>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</si>
  <si>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</si>
  <si>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</si>
  <si>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</si>
  <si>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</si>
  <si>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</si>
  <si>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</si>
  <si>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</si>
  <si>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</si>
  <si>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</si>
  <si>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</si>
  <si>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</si>
  <si>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</si>
  <si>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</si>
  <si>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</si>
  <si>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</si>
  <si>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</si>
  <si>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</si>
  <si>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</si>
  <si>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</si>
  <si>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</si>
  <si>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</si>
  <si>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</si>
  <si>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</si>
  <si>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</si>
  <si>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</si>
  <si>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</si>
  <si>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</si>
  <si>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</si>
  <si>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</si>
  <si>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</si>
  <si>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</si>
  <si>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</si>
  <si>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</si>
  <si>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</si>
  <si>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</si>
  <si>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</si>
  <si>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</si>
  <si>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</si>
  <si>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</si>
  <si>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</si>
  <si>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</si>
  <si>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</si>
  <si>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</si>
  <si>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</si>
  <si>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</si>
  <si>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</si>
  <si>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</si>
  <si>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</si>
  <si>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</si>
  <si>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</si>
  <si>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</si>
  <si>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</si>
  <si>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</si>
  <si>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</si>
  <si>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</si>
  <si>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</si>
  <si>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</si>
  <si>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</si>
  <si>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</si>
  <si>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</si>
  <si>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</si>
  <si>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</si>
  <si>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</si>
  <si>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</si>
  <si>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</si>
  <si>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</si>
  <si>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</si>
  <si>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</si>
  <si>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</si>
  <si>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</si>
  <si>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</si>
  <si>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</si>
  <si>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</si>
  <si>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</si>
  <si>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</si>
  <si>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</si>
  <si>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</si>
  <si>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</si>
  <si>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</si>
  <si>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</si>
  <si>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</si>
  <si>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</si>
  <si>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</si>
  <si>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</si>
  <si>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</si>
  <si>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</si>
  <si>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</si>
  <si>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</si>
  <si>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</si>
  <si>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</si>
  <si>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</si>
  <si>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</si>
  <si>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</si>
  <si>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</si>
  <si>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</si>
  <si>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</si>
  <si>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</si>
  <si>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</si>
  <si>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</si>
  <si>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</si>
  <si>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</si>
  <si>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</si>
  <si>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</si>
  <si>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</si>
  <si>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</si>
  <si>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</si>
  <si>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</si>
  <si>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</si>
  <si>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</si>
  <si>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</si>
  <si>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</si>
  <si>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</si>
  <si>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</si>
  <si>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</si>
  <si>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</si>
  <si>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</si>
  <si>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</si>
  <si>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</si>
  <si>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</si>
  <si>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</si>
  <si>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</si>
  <si>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</si>
  <si>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</si>
  <si>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</si>
  <si>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</si>
  <si>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</si>
  <si>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</si>
  <si>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</si>
  <si>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</si>
  <si>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</si>
  <si>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</si>
  <si>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</si>
  <si>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</si>
  <si>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</si>
  <si>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</si>
  <si>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</si>
  <si>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</si>
  <si>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</si>
  <si>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</si>
  <si>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</si>
  <si>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</si>
  <si>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</si>
  <si>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</si>
  <si>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</si>
  <si>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</si>
  <si>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</si>
  <si>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</si>
  <si>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</si>
  <si>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</si>
  <si>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</si>
  <si>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</si>
  <si>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</si>
  <si>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</si>
  <si>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</si>
  <si>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</si>
  <si>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</si>
  <si>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</si>
  <si>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</si>
  <si>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</si>
  <si>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</si>
  <si>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</si>
  <si>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</si>
  <si>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</si>
  <si>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</si>
  <si>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</si>
  <si>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</si>
  <si>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</si>
  <si>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</si>
  <si>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</si>
  <si>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</si>
  <si>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</si>
  <si>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</si>
  <si>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</si>
  <si>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</si>
  <si>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</si>
  <si>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</si>
  <si>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</si>
  <si>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</si>
  <si>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</si>
  <si>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</si>
  <si>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</si>
  <si>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</si>
  <si>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</si>
  <si>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</si>
  <si>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</si>
  <si>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</si>
  <si>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</si>
  <si>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</si>
  <si>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</si>
  <si>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</si>
  <si>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</si>
  <si>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</si>
  <si>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</si>
  <si>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</si>
  <si>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</si>
  <si>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</si>
  <si>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</si>
  <si>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</si>
  <si>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</si>
  <si>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</si>
  <si>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</si>
  <si>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</si>
  <si>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</si>
  <si>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</si>
  <si>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</si>
  <si>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</si>
  <si>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</si>
  <si>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</si>
  <si>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</si>
  <si>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</si>
  <si>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</si>
  <si>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</si>
  <si>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</si>
  <si>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</si>
  <si>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</si>
  <si>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</si>
  <si>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</si>
  <si>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</si>
  <si>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</si>
  <si>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</si>
  <si>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</si>
  <si>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</si>
  <si>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</si>
  <si>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</si>
  <si>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</si>
  <si>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</si>
  <si>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</si>
  <si>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</si>
  <si>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</si>
  <si>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</si>
  <si>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</si>
  <si>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</si>
  <si>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</si>
  <si>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</si>
  <si>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</si>
  <si>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</si>
  <si>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</si>
  <si>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</si>
  <si>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</si>
  <si>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</si>
  <si>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</si>
  <si>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</si>
  <si>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</si>
  <si>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</si>
  <si>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</si>
  <si>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</si>
  <si>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</si>
  <si>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</si>
  <si>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</si>
  <si>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</si>
  <si>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</si>
  <si>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</si>
  <si>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</si>
  <si>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</si>
  <si>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</si>
  <si>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</si>
  <si>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</si>
  <si>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</si>
  <si>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</si>
  <si>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</si>
  <si>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</si>
  <si>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</si>
  <si>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</si>
  <si>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</si>
  <si>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</si>
  <si>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</si>
  <si>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</si>
  <si>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</si>
  <si>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</si>
  <si>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</si>
  <si>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</si>
  <si>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</si>
  <si>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</si>
  <si>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</si>
  <si>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</si>
  <si>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</si>
  <si>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</si>
  <si>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</si>
  <si>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</si>
  <si>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</si>
  <si>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</si>
  <si>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</si>
  <si>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</si>
  <si>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</si>
  <si>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</si>
  <si>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</si>
  <si>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</si>
  <si>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</si>
  <si>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</si>
  <si>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</si>
  <si>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</si>
  <si>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</si>
  <si>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</si>
  <si>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</si>
  <si>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</si>
  <si>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</si>
  <si>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</si>
  <si>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</si>
  <si>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</si>
  <si>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</si>
  <si>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</si>
  <si>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</si>
  <si>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</si>
  <si>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</si>
  <si>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</si>
  <si>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</si>
  <si>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</si>
  <si>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</si>
  <si>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</si>
  <si>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</si>
  <si>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</si>
  <si>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</si>
  <si>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</si>
  <si>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</si>
  <si>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</si>
  <si>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</si>
  <si>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</si>
  <si>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</si>
  <si>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</si>
  <si>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</si>
  <si>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</si>
  <si>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</si>
  <si>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</si>
  <si>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</si>
  <si>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</si>
  <si>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</si>
  <si>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</si>
  <si>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</si>
  <si>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</si>
  <si>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</si>
  <si>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</si>
  <si>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</si>
  <si>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</si>
  <si>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</si>
  <si>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</si>
  <si>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</si>
  <si>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</si>
  <si>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</si>
  <si>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</si>
  <si>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</si>
  <si>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</si>
  <si>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</si>
  <si>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</si>
  <si>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</si>
  <si>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</si>
  <si>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</si>
  <si>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</si>
  <si>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</si>
  <si>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</si>
  <si>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</si>
  <si>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</si>
  <si>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</si>
  <si>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</si>
  <si>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</si>
  <si>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</si>
  <si>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</si>
  <si>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</si>
  <si>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</si>
  <si>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</si>
  <si>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</si>
  <si>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</si>
  <si>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</si>
  <si>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</si>
  <si>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</si>
  <si>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</si>
  <si>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</si>
  <si>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</si>
  <si>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</si>
  <si>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</si>
  <si>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</si>
  <si>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</si>
  <si>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</si>
  <si>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</si>
  <si>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</si>
  <si>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</si>
  <si>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</si>
  <si>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</si>
  <si>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</si>
  <si>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</si>
  <si>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</si>
  <si>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</si>
  <si>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</si>
  <si>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</si>
  <si>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</si>
  <si>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</si>
  <si>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</si>
  <si>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</si>
  <si>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</si>
  <si>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</si>
  <si>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</si>
  <si>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</si>
  <si>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</si>
  <si>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</si>
  <si>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</si>
  <si>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</si>
  <si>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</si>
  <si>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</si>
  <si>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</si>
  <si>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</si>
  <si>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</si>
  <si>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</si>
  <si>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</si>
  <si>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</si>
  <si>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</si>
  <si>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</si>
  <si>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</si>
  <si>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</si>
  <si>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</si>
  <si>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</si>
  <si>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</si>
  <si>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</si>
  <si>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</si>
  <si>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</si>
  <si>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</si>
  <si>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</si>
  <si>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</si>
  <si>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</si>
  <si>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</si>
  <si>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</si>
  <si>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</si>
  <si>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</si>
  <si>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</si>
  <si>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</si>
  <si>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</si>
  <si>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</si>
  <si>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</si>
  <si>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</si>
  <si>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</si>
  <si>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</si>
  <si>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</si>
  <si>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</si>
  <si>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</si>
  <si>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</si>
  <si>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</si>
  <si>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</si>
  <si>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</si>
  <si>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</si>
  <si>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</si>
  <si>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</si>
  <si>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</si>
  <si>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</si>
  <si>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</si>
  <si>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</si>
  <si>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</si>
  <si>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</si>
  <si>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</si>
  <si>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</si>
  <si>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</si>
  <si>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</si>
  <si>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</si>
  <si>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</si>
  <si>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</si>
  <si>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</si>
  <si>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</si>
  <si>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</si>
  <si>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</si>
  <si>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</si>
  <si>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</si>
  <si>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</si>
  <si>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</si>
  <si>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</si>
  <si>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</si>
  <si>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</si>
  <si>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</si>
  <si>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</si>
  <si>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</si>
  <si>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</si>
  <si>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</si>
  <si>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</si>
  <si>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</si>
  <si>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</si>
  <si>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</si>
  <si>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</si>
  <si>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</si>
  <si>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</si>
  <si>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</si>
  <si>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</si>
  <si>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</si>
  <si>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</si>
  <si>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</si>
  <si>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</si>
  <si>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</si>
  <si>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</si>
  <si>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</si>
  <si>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</si>
  <si>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</si>
  <si>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</si>
  <si>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</si>
  <si>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</si>
  <si>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</si>
  <si>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</si>
  <si>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</si>
  <si>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</si>
  <si>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</si>
  <si>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</si>
  <si>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</si>
  <si>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</si>
  <si>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</si>
  <si>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</si>
  <si>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</si>
  <si>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</si>
  <si>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</si>
  <si>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</si>
  <si>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</si>
  <si>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</si>
  <si>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</si>
  <si>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</si>
  <si>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</si>
  <si>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</si>
  <si>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</si>
  <si>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</si>
  <si>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</si>
  <si>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</si>
  <si>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</si>
  <si>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</si>
  <si>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</si>
  <si>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</si>
  <si>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</si>
  <si>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</si>
  <si>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</si>
  <si>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</si>
  <si>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</si>
  <si>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</si>
  <si>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</si>
  <si>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</si>
  <si>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</si>
  <si>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</si>
  <si>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</si>
  <si>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</si>
  <si>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</si>
  <si>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</si>
  <si>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</si>
  <si>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</si>
  <si>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</si>
  <si>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</si>
  <si>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</si>
  <si>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</si>
  <si>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</si>
  <si>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</si>
  <si>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</si>
  <si>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</si>
  <si>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</si>
  <si>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</si>
  <si>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</si>
  <si>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</si>
  <si>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</si>
  <si>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</si>
  <si>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</si>
  <si>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</si>
  <si>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</si>
  <si>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</si>
  <si>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</si>
  <si>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</si>
  <si>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</si>
  <si>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</si>
  <si>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</si>
  <si>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</si>
  <si>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</si>
  <si>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</si>
  <si>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</si>
  <si>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</si>
  <si>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</si>
  <si>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</si>
  <si>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</si>
  <si>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</si>
  <si>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</si>
  <si>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</si>
  <si>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</si>
  <si>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</si>
  <si>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</si>
  <si>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</si>
  <si>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</si>
  <si>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</si>
  <si>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</si>
  <si>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</si>
  <si>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</si>
  <si>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</si>
  <si>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</si>
  <si>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</si>
  <si>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</si>
  <si>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</si>
  <si>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</si>
  <si>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</si>
  <si>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</si>
  <si>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</si>
  <si>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</si>
  <si>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</si>
  <si>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</si>
  <si>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</si>
  <si>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</si>
  <si>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</si>
  <si>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</si>
  <si>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</si>
  <si>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</si>
  <si>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</si>
  <si>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</si>
  <si>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</si>
  <si>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</si>
  <si>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</si>
  <si>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</si>
  <si>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</si>
  <si>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</si>
  <si>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</si>
  <si>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</si>
  <si>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</si>
  <si>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</si>
  <si>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</si>
  <si>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</si>
  <si>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</si>
  <si>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</si>
  <si>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</si>
  <si>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</si>
  <si>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</si>
  <si>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</si>
  <si>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</si>
  <si>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</si>
  <si>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</si>
  <si>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</si>
  <si>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</si>
  <si>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</si>
  <si>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</si>
  <si>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</si>
  <si>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</si>
  <si>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</si>
  <si>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</si>
  <si>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</si>
  <si>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</si>
  <si>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</si>
  <si>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</si>
  <si>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</si>
  <si>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</si>
  <si>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</si>
  <si>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</si>
  <si>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</si>
  <si>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</si>
  <si>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</si>
  <si>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</si>
  <si>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</si>
  <si>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</si>
  <si>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</si>
  <si>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</si>
  <si>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</si>
  <si>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</si>
  <si>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</si>
  <si>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</si>
  <si>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</si>
  <si>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</si>
  <si>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</si>
  <si>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</si>
  <si>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</si>
  <si>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</si>
  <si>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</si>
  <si>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</si>
  <si>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</si>
  <si>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</si>
  <si>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</si>
  <si>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</si>
  <si>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</si>
  <si>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</si>
  <si>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</si>
  <si>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</si>
  <si>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</si>
  <si>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</si>
  <si>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</si>
  <si>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</si>
  <si>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</si>
  <si>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</si>
  <si>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</si>
  <si>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</si>
  <si>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</si>
  <si>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</si>
  <si>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</si>
  <si>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</si>
  <si>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</si>
  <si>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</si>
  <si>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</si>
  <si>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</si>
  <si>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</si>
  <si>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</si>
  <si>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</si>
  <si>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</si>
  <si>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</si>
  <si>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</si>
  <si>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</si>
  <si>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</si>
  <si>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</si>
  <si>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</si>
  <si>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</si>
  <si>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</si>
  <si>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</si>
  <si>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</si>
  <si>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</si>
  <si>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</si>
  <si>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</si>
  <si>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</si>
  <si>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</si>
  <si>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</si>
  <si>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</si>
  <si>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</si>
  <si>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</si>
  <si>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</si>
  <si>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</si>
  <si>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</si>
  <si>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</si>
  <si>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</si>
  <si>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</si>
  <si>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</si>
  <si>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</si>
  <si>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</si>
  <si>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</si>
  <si>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</si>
  <si>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</si>
  <si>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</si>
  <si>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</si>
  <si>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</si>
  <si>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</si>
  <si>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</si>
  <si>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</si>
  <si>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</si>
  <si>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</si>
  <si>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</si>
  <si>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</si>
  <si>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</si>
  <si>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</si>
  <si>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</si>
  <si>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</si>
  <si>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</si>
  <si>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</si>
  <si>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</si>
  <si>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</si>
  <si>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</si>
  <si>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</si>
  <si>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</si>
  <si>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</si>
  <si>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</si>
  <si>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</si>
  <si>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</si>
  <si>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</si>
  <si>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</si>
  <si>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</si>
  <si>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</si>
  <si>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</si>
  <si>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</si>
  <si>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</si>
  <si>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</si>
  <si>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</si>
  <si>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</si>
  <si>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</si>
  <si>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</si>
  <si>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</si>
  <si>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</si>
  <si>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</si>
  <si>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</si>
  <si>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</si>
  <si>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</si>
  <si>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</si>
  <si>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</si>
  <si>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</si>
  <si>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</si>
  <si>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</si>
  <si>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</si>
  <si>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</si>
  <si>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</si>
  <si>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</si>
  <si>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</si>
  <si>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</si>
  <si>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</si>
  <si>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</si>
  <si>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</si>
  <si>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</si>
  <si>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</si>
  <si>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</si>
  <si>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</si>
  <si>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</si>
  <si>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</si>
  <si>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</si>
  <si>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</si>
  <si>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</si>
  <si>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</si>
  <si>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</si>
  <si>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</si>
  <si>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</si>
  <si>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</si>
  <si>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</si>
  <si>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</si>
  <si>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</si>
  <si>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</si>
  <si>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</si>
  <si>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</si>
  <si>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</si>
  <si>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</si>
  <si>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</si>
  <si>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</si>
  <si>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</si>
  <si>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</si>
  <si>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</si>
  <si>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</si>
  <si>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</si>
  <si>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</si>
  <si>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</si>
  <si>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</si>
  <si>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</si>
  <si>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</si>
  <si>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</si>
  <si>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</si>
  <si>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</si>
  <si>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</si>
  <si>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</si>
  <si>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</si>
  <si>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</si>
  <si>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</si>
  <si>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</si>
  <si>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</si>
  <si>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</si>
  <si>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</si>
  <si>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</si>
  <si>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</si>
  <si>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</si>
  <si>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</si>
  <si>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</si>
  <si>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</si>
  <si>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</si>
  <si>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</si>
  <si>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</si>
  <si>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</si>
  <si>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</si>
  <si>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</si>
  <si>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</si>
  <si>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</si>
  <si>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</si>
  <si>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</si>
  <si>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</si>
  <si>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</si>
  <si>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</si>
  <si>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</si>
  <si>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</si>
  <si>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</si>
  <si>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</si>
  <si>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</si>
  <si>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</si>
  <si>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</si>
  <si>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</si>
  <si>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</si>
  <si>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</si>
  <si>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</si>
  <si>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</si>
  <si>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</si>
  <si>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</si>
  <si>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</si>
  <si>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</si>
  <si>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</si>
  <si>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</si>
  <si>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</si>
  <si>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</si>
  <si>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</si>
  <si>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</si>
  <si>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</si>
  <si>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</si>
  <si>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</si>
  <si>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</si>
  <si>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</si>
  <si>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</si>
  <si>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</si>
  <si>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</si>
  <si>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</si>
  <si>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</si>
  <si>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</si>
  <si>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</si>
  <si>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</si>
  <si>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</si>
  <si>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</si>
  <si>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</si>
  <si>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</si>
  <si>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</si>
  <si>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</si>
  <si>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</si>
  <si>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</si>
  <si>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</si>
  <si>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</si>
  <si>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</si>
  <si>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</si>
  <si>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</si>
  <si>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</si>
  <si>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</si>
  <si>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</si>
  <si>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</si>
  <si>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</si>
  <si>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</si>
  <si>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</si>
  <si>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</si>
  <si>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</si>
  <si>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</si>
  <si>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</si>
  <si>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</si>
  <si>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</si>
  <si>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</si>
  <si>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</si>
  <si>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</si>
  <si>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</si>
  <si>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</si>
  <si>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</si>
  <si>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</si>
  <si>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</si>
  <si>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</si>
  <si>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</si>
  <si>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</si>
  <si>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</si>
  <si>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</si>
  <si>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</si>
  <si>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</si>
  <si>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</si>
  <si>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</si>
  <si>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</si>
  <si>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</si>
  <si>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</si>
  <si>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</si>
  <si>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</si>
  <si>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</si>
  <si>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</si>
  <si>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</si>
  <si>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</si>
  <si>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</si>
  <si>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</si>
  <si>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</si>
  <si>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</si>
  <si>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</si>
  <si>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</si>
  <si>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</si>
  <si>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</si>
  <si>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</si>
  <si>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</si>
  <si>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</si>
  <si>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</si>
  <si>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</si>
  <si>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</si>
  <si>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</si>
  <si>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</si>
  <si>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</si>
  <si>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</si>
  <si>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</si>
  <si>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</si>
  <si>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</si>
  <si>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</si>
  <si>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</si>
  <si>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</si>
  <si>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</si>
  <si>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</si>
  <si>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</si>
  <si>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</si>
  <si>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</si>
  <si>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</si>
  <si>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</si>
  <si>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</si>
  <si>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</si>
  <si>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</si>
  <si>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</si>
  <si>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</si>
  <si>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</si>
  <si>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</si>
  <si>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</si>
  <si>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</si>
  <si>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</si>
  <si>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</si>
  <si>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</si>
  <si>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</si>
  <si>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</si>
  <si>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</si>
  <si>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</si>
  <si>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</si>
  <si>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</si>
  <si>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</si>
  <si>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</si>
  <si>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</si>
  <si>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</si>
  <si>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</si>
  <si>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</si>
  <si>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</si>
  <si>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</si>
  <si>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</si>
  <si>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</si>
  <si>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</si>
  <si>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</si>
  <si>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</si>
  <si>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</si>
  <si>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</si>
  <si>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</si>
  <si>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</si>
  <si>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</si>
  <si>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</si>
  <si>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</si>
  <si>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</si>
  <si>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</si>
  <si>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</si>
  <si>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</si>
  <si>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</si>
  <si>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</si>
  <si>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</si>
  <si>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</si>
  <si>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</si>
  <si>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</si>
  <si>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</si>
  <si>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</si>
  <si>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</si>
  <si>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</si>
  <si>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</si>
  <si>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</si>
  <si>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</si>
  <si>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</si>
  <si>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</si>
  <si>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</si>
  <si>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</si>
  <si>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</si>
  <si>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</si>
  <si>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</si>
  <si>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</si>
  <si>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</si>
  <si>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</si>
  <si>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</si>
  <si>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</si>
  <si>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</si>
  <si>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</si>
  <si>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</si>
  <si>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</si>
  <si>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</si>
  <si>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</si>
  <si>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</si>
  <si>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</si>
  <si>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</si>
  <si>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</si>
  <si>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</si>
  <si>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</si>
  <si>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</si>
  <si>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</si>
  <si>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</si>
  <si>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</si>
  <si>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</si>
  <si>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</si>
  <si>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</si>
  <si>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</si>
  <si>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</si>
  <si>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</si>
  <si>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</si>
  <si>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</si>
  <si>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</si>
  <si>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</si>
  <si>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</si>
  <si>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</si>
  <si>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</si>
  <si>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</si>
  <si>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</si>
  <si>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</si>
  <si>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</si>
  <si>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</si>
  <si>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</si>
  <si>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</si>
  <si>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</si>
  <si>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</si>
  <si>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</si>
  <si>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</si>
  <si>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</si>
  <si>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</si>
  <si>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</si>
  <si>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</si>
  <si>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</si>
  <si>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</si>
  <si>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</si>
  <si>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</si>
  <si>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</si>
  <si>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</si>
  <si>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</si>
  <si>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</si>
  <si>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</si>
  <si>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</si>
  <si>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</si>
  <si>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</si>
  <si>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</si>
  <si>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</si>
  <si>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</si>
  <si>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</si>
  <si>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</si>
  <si>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</si>
  <si>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</si>
  <si>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</si>
  <si>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</si>
  <si>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</si>
  <si>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</si>
  <si>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</si>
  <si>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</si>
  <si>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</si>
  <si>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</si>
  <si>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</si>
  <si>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</si>
  <si>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</si>
  <si>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</si>
  <si>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</si>
  <si>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</si>
  <si>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</si>
  <si>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</si>
  <si>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</si>
  <si>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</si>
  <si>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</si>
  <si>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</si>
  <si>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</si>
  <si>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</si>
  <si>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</si>
  <si>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</si>
  <si>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</si>
  <si>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</si>
  <si>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</si>
  <si>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</si>
  <si>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</si>
  <si>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</si>
  <si>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</si>
  <si>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</si>
  <si>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</si>
  <si>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</si>
  <si>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</si>
  <si>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</si>
  <si>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</si>
  <si>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</si>
  <si>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</si>
  <si>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</si>
  <si>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</si>
  <si>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</si>
  <si>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</si>
  <si>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</si>
  <si>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</si>
  <si>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</si>
  <si>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</si>
  <si>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</si>
  <si>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</si>
  <si>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</si>
  <si>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</si>
  <si>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</si>
  <si>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</si>
  <si>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</si>
  <si>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</si>
  <si>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</si>
  <si>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</si>
  <si>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</si>
  <si>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</si>
  <si>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</si>
  <si>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</si>
  <si>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</si>
  <si>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</si>
  <si>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</si>
  <si>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</si>
  <si>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</si>
  <si>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</si>
  <si>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</si>
  <si>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</si>
  <si>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</si>
  <si>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</si>
  <si>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</si>
  <si>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</si>
  <si>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</si>
  <si>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</si>
  <si>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</si>
  <si>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</si>
  <si>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</si>
  <si>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</si>
  <si>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</si>
  <si>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</si>
  <si>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</si>
  <si>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</si>
  <si>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</si>
  <si>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</si>
  <si>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</si>
  <si>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</si>
  <si>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</si>
  <si>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</si>
  <si>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</si>
  <si>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</si>
  <si>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</si>
  <si>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</si>
  <si>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</si>
  <si>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</si>
  <si>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</si>
  <si>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</si>
  <si>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</si>
  <si>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</si>
  <si>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</si>
  <si>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</si>
  <si>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</si>
  <si>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</si>
  <si>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</si>
  <si>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</si>
  <si>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</si>
  <si>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</si>
  <si>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</si>
  <si>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</si>
  <si>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</si>
  <si>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</si>
  <si>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</si>
  <si>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</si>
  <si>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</si>
  <si>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</si>
  <si>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</si>
  <si>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</si>
  <si>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</si>
  <si>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</si>
  <si>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</si>
  <si>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</si>
  <si>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</si>
  <si>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</si>
  <si>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</si>
  <si>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</si>
  <si>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</si>
  <si>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</si>
  <si>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</si>
  <si>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</si>
  <si>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</si>
  <si>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</si>
  <si>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</si>
  <si>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</si>
  <si>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</si>
  <si>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</si>
  <si>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</si>
  <si>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</si>
  <si>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</si>
  <si>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</si>
  <si>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</si>
  <si>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</si>
  <si>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</si>
  <si>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</si>
  <si>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</si>
  <si>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</si>
  <si>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</si>
  <si>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</si>
  <si>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</si>
  <si>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</si>
  <si>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</si>
  <si>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</si>
  <si>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</si>
  <si>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</si>
  <si>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</si>
  <si>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</si>
  <si>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</si>
  <si>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</si>
  <si>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</si>
  <si>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</si>
  <si>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</si>
  <si>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</si>
  <si>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</si>
  <si>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</si>
  <si>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</si>
  <si>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</si>
  <si>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</si>
  <si>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</si>
  <si>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</si>
  <si>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</si>
  <si>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</si>
  <si>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</si>
  <si>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</si>
  <si>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</si>
  <si>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</si>
  <si>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</si>
  <si>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</si>
  <si>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</si>
  <si>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</si>
  <si>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</si>
  <si>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</si>
  <si>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</si>
  <si>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</si>
  <si>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</si>
  <si>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</si>
  <si>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</si>
  <si>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</si>
  <si>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</si>
  <si>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</si>
  <si>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</si>
  <si>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</si>
  <si>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</si>
  <si>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</si>
  <si>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</si>
  <si>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</si>
  <si>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</si>
  <si>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</si>
  <si>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</si>
  <si>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</si>
  <si>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</si>
  <si>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</si>
  <si>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</si>
  <si>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</si>
  <si>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</si>
  <si>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</si>
  <si>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</si>
  <si>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</si>
  <si>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</si>
  <si>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</si>
  <si>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</si>
  <si>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</si>
  <si>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</si>
  <si>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</si>
  <si>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</si>
  <si>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</si>
  <si>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</si>
  <si>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</si>
  <si>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</si>
  <si>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</si>
  <si>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</si>
  <si>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</si>
  <si>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</si>
  <si>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</si>
  <si>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</si>
  <si>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</si>
  <si>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</si>
  <si>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</si>
  <si>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</si>
  <si>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</si>
  <si>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</si>
  <si>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</si>
  <si>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</si>
  <si>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</si>
  <si>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</si>
  <si>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</si>
  <si>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</si>
  <si>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</si>
  <si>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</si>
  <si>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</si>
  <si>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</si>
  <si>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</si>
  <si>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</si>
  <si>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</si>
  <si>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</si>
  <si>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</si>
  <si>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</si>
  <si>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</si>
  <si>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</si>
  <si>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</si>
  <si>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</si>
  <si>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</si>
  <si>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</si>
  <si>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</si>
  <si>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</si>
  <si>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</si>
  <si>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</si>
  <si>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</si>
  <si>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</si>
  <si>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</si>
  <si>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</si>
  <si>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</si>
  <si>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</si>
  <si>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</si>
  <si>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</si>
  <si>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</si>
  <si>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</si>
  <si>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</si>
  <si>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</si>
  <si>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</si>
  <si>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</si>
  <si>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</si>
  <si>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</si>
  <si>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</si>
  <si>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</si>
  <si>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</si>
  <si>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</si>
  <si>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</si>
  <si>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</si>
  <si>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</si>
  <si>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</si>
  <si>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</si>
  <si>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</si>
  <si>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</si>
  <si>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</si>
  <si>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</si>
  <si>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</si>
  <si>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</si>
  <si>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</si>
  <si>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</si>
  <si>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</si>
  <si>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</si>
  <si>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</si>
  <si>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</si>
  <si>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</si>
  <si>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</si>
  <si>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</si>
  <si>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</si>
  <si>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</si>
  <si>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</si>
  <si>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</si>
  <si>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</si>
  <si>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</si>
  <si>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</si>
  <si>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</si>
  <si>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</si>
  <si>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</si>
  <si>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</si>
  <si>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</si>
  <si>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</si>
  <si>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</si>
  <si>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</si>
  <si>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</si>
  <si>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</si>
  <si>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</si>
  <si>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</si>
  <si>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</si>
  <si>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</si>
  <si>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</si>
  <si>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</si>
  <si>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</si>
  <si>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</si>
  <si>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</si>
  <si>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</si>
  <si>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</si>
  <si>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</si>
  <si>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</si>
  <si>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</si>
  <si>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</si>
  <si>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</si>
  <si>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</si>
  <si>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</si>
  <si>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</si>
  <si>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</si>
  <si>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</si>
  <si>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</si>
  <si>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</si>
  <si>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</si>
  <si>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</si>
  <si>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</si>
  <si>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</si>
  <si>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</si>
  <si>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</si>
  <si>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</si>
  <si>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</si>
  <si>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</si>
  <si>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</si>
  <si>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</si>
  <si>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</si>
  <si>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</si>
  <si>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</si>
  <si>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</si>
  <si>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</si>
  <si>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</si>
  <si>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</si>
  <si>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</si>
  <si>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</si>
  <si>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</si>
  <si>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</si>
  <si>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</si>
  <si>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</si>
  <si>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</si>
  <si>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</si>
  <si>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</si>
  <si>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</si>
  <si>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</si>
  <si>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</si>
  <si>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</si>
  <si>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</si>
  <si>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</si>
  <si>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</si>
  <si>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</si>
  <si>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</si>
  <si>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</si>
  <si>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</si>
  <si>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</si>
  <si>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</si>
  <si>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</si>
  <si>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</si>
  <si>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</si>
  <si>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</si>
  <si>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</si>
  <si>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</si>
  <si>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</si>
  <si>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</si>
  <si>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</si>
  <si>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</si>
  <si>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</si>
  <si>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</si>
  <si>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</si>
  <si>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</si>
  <si>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</si>
  <si>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</si>
  <si>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</si>
  <si>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</si>
  <si>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</si>
  <si>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</si>
  <si>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</si>
  <si>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</si>
  <si>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</si>
  <si>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</si>
  <si>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</si>
  <si>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</si>
  <si>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</si>
  <si>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</si>
  <si>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</si>
  <si>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</si>
  <si>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</si>
  <si>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</si>
  <si>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</si>
  <si>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</si>
  <si>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</si>
  <si>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</si>
  <si>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</si>
  <si>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</si>
  <si>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</si>
  <si>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</si>
  <si>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</si>
  <si>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</si>
  <si>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</si>
  <si>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</si>
  <si>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</si>
  <si>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</si>
  <si>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</si>
  <si>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</si>
  <si>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</si>
  <si>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</si>
  <si>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</si>
  <si>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</si>
  <si>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</si>
  <si>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</si>
  <si>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</si>
  <si>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</si>
  <si>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</si>
  <si>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</si>
  <si>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</si>
  <si>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</si>
  <si>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</si>
  <si>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</si>
  <si>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</si>
  <si>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</si>
  <si>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</si>
  <si>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</si>
  <si>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</si>
  <si>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</si>
  <si>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</si>
  <si>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</si>
  <si>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</si>
  <si>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</si>
  <si>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</si>
  <si>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</si>
  <si>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</si>
  <si>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</si>
  <si>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</si>
  <si>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</si>
  <si>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</si>
  <si>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</si>
  <si>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</si>
  <si>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</si>
  <si>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</si>
  <si>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</si>
  <si>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</si>
  <si>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</si>
  <si>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</si>
  <si>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</si>
  <si>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</si>
  <si>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</si>
  <si>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</si>
  <si>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</si>
  <si>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</si>
  <si>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</si>
  <si>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</si>
  <si>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</si>
  <si>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</si>
  <si>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</si>
  <si>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</si>
  <si>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</si>
  <si>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</si>
  <si>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</si>
  <si>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</si>
  <si>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</si>
  <si>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</si>
  <si>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</si>
  <si>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</si>
  <si>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</si>
  <si>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</si>
  <si>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</si>
  <si>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</si>
  <si>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</si>
  <si>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</si>
  <si>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</si>
  <si>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</si>
  <si>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</si>
  <si>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</si>
  <si>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</si>
  <si>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</si>
  <si>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</si>
  <si>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</si>
  <si>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</si>
  <si>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</si>
  <si>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</si>
  <si>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</si>
  <si>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</si>
  <si>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</si>
  <si>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</si>
  <si>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</si>
  <si>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</si>
  <si>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</si>
  <si>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</si>
  <si>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</si>
  <si>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</si>
  <si>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</si>
  <si>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</si>
  <si>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</si>
  <si>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</si>
  <si>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</si>
  <si>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</si>
  <si>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</si>
  <si>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</si>
  <si>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</si>
  <si>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</si>
  <si>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</si>
  <si>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</si>
  <si>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</si>
  <si>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</si>
  <si>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</si>
  <si>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</si>
  <si>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</si>
  <si>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</si>
  <si>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</si>
  <si>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</si>
  <si>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</si>
  <si>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</si>
  <si>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</si>
  <si>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</si>
  <si>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</si>
  <si>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</si>
  <si>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</si>
  <si>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</si>
  <si>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</si>
  <si>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</si>
  <si>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</si>
  <si>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</si>
  <si>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</si>
  <si>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</si>
  <si>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</si>
  <si>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</si>
  <si>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</si>
  <si>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</si>
  <si>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</si>
  <si>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</si>
  <si>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</si>
  <si>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</si>
  <si>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</si>
  <si>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</si>
  <si>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</si>
  <si>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</si>
  <si>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</si>
  <si>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</si>
  <si>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</si>
  <si>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</si>
  <si>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</si>
  <si>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</si>
  <si>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</si>
  <si>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</si>
  <si>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</si>
  <si>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</si>
  <si>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</si>
  <si>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</si>
  <si>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</si>
  <si>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</si>
  <si>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</si>
  <si>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</si>
  <si>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</si>
  <si>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</si>
  <si>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</si>
  <si>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</si>
  <si>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</si>
  <si>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</si>
  <si>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</si>
  <si>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</si>
  <si>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</si>
  <si>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</si>
  <si>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</si>
  <si>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</si>
  <si>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</si>
  <si>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</si>
  <si>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</si>
  <si>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</si>
  <si>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</si>
  <si>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</si>
  <si>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</si>
  <si>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</si>
  <si>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</si>
  <si>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</si>
  <si>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</si>
  <si>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</si>
  <si>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</si>
  <si>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</si>
  <si>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</si>
  <si>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</si>
  <si>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</si>
  <si>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</si>
  <si>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</si>
  <si>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</si>
  <si>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</si>
  <si>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</si>
  <si>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</si>
  <si>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</si>
  <si>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</si>
  <si>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</si>
  <si>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</si>
  <si>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</si>
  <si>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</si>
  <si>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</si>
  <si>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</si>
  <si>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</si>
  <si>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</si>
  <si>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</si>
  <si>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</si>
  <si>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</si>
  <si>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</si>
  <si>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</si>
  <si>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</si>
  <si>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</si>
  <si>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</si>
  <si>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</si>
  <si>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</si>
  <si>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</si>
  <si>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</si>
  <si>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</si>
  <si>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</si>
  <si>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</si>
  <si>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</si>
  <si>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</si>
  <si>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</si>
  <si>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</si>
  <si>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</si>
  <si>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</si>
  <si>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</si>
  <si>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</si>
  <si>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</si>
  <si>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</si>
  <si>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</si>
  <si>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</si>
  <si>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</si>
  <si>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</si>
  <si>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</si>
  <si>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</si>
  <si>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</si>
  <si>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</si>
  <si>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</si>
  <si>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</si>
  <si>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</si>
  <si>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</si>
  <si>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</si>
  <si>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</si>
  <si>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</si>
  <si>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</si>
  <si>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</si>
  <si>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</si>
  <si>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</si>
  <si>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</si>
  <si>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</si>
  <si>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</si>
  <si>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</si>
  <si>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</si>
  <si>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</si>
  <si>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</si>
  <si>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</si>
  <si>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</si>
  <si>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</si>
  <si>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</si>
  <si>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</si>
  <si>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</si>
  <si>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</si>
  <si>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</si>
  <si>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</si>
  <si>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</si>
  <si>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</si>
  <si>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</si>
  <si>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</si>
  <si>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</si>
  <si>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</si>
  <si>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</si>
  <si>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</si>
  <si>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</si>
  <si>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</si>
  <si>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</si>
  <si>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</si>
  <si>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</si>
  <si>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</si>
  <si>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</si>
  <si>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</si>
  <si>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</si>
  <si>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</si>
  <si>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</si>
  <si>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</si>
  <si>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</si>
  <si>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</si>
  <si>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</si>
  <si>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</si>
  <si>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</si>
  <si>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</si>
  <si>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</si>
  <si>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</si>
  <si>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</si>
  <si>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</si>
  <si>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</si>
  <si>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</si>
  <si>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</si>
  <si>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</si>
  <si>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</si>
  <si>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</si>
  <si>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</si>
  <si>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</si>
  <si>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</si>
  <si>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</si>
  <si>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</si>
  <si>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</si>
  <si>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</si>
  <si>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</si>
  <si>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</si>
  <si>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</si>
  <si>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</si>
  <si>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</si>
  <si>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</si>
  <si>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</si>
  <si>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</si>
  <si>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</si>
  <si>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</si>
  <si>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</si>
  <si>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</si>
  <si>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</si>
  <si>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</si>
  <si>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</si>
  <si>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</si>
  <si>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</si>
  <si>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</si>
  <si>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</si>
  <si>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</si>
  <si>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</si>
  <si>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</si>
  <si>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</si>
  <si>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</si>
  <si>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</si>
  <si>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</si>
  <si>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</si>
  <si>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</si>
  <si>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</si>
  <si>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</si>
  <si>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</si>
  <si>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</si>
  <si>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</si>
  <si>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</si>
  <si>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</si>
  <si>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</si>
  <si>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</si>
  <si>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</si>
  <si>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</si>
  <si>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</si>
  <si>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</si>
  <si>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</si>
  <si>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</si>
  <si>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</si>
  <si>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</si>
  <si>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</si>
  <si>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</si>
  <si>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</si>
  <si>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</si>
  <si>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</si>
  <si>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</si>
  <si>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</si>
  <si>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</si>
  <si>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</si>
  <si>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</si>
  <si>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</si>
  <si>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</si>
  <si>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</si>
  <si>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刘梅</t>
  </si>
  <si>
    <t>宁波银亿新城置业有限公司</t>
    <phoneticPr fontId="6" type="noConversion"/>
  </si>
  <si>
    <t>华澳国际信托有限公司</t>
    <phoneticPr fontId="6" type="noConversion"/>
  </si>
  <si>
    <t>抵押</t>
  </si>
  <si>
    <t>房地产抵押价值</t>
  </si>
  <si>
    <t>其他：</t>
  </si>
  <si>
    <t>企业</t>
  </si>
  <si>
    <t>出让</t>
  </si>
  <si>
    <t>商业</t>
    <phoneticPr fontId="6" type="noConversion"/>
  </si>
  <si>
    <t>是</t>
  </si>
  <si>
    <t>《不动产权证书》</t>
  </si>
  <si>
    <t>《抵押合同》</t>
    <phoneticPr fontId="6" type="noConversion"/>
  </si>
  <si>
    <t>商业项目</t>
  </si>
  <si>
    <t>无</t>
  </si>
  <si>
    <t>否</t>
  </si>
  <si>
    <t>现房</t>
  </si>
  <si>
    <t>正常</t>
  </si>
  <si>
    <t>正常</t>
    <phoneticPr fontId="6" type="noConversion"/>
  </si>
  <si>
    <t>通路</t>
  </si>
  <si>
    <t>通电</t>
  </si>
  <si>
    <t>通讯</t>
  </si>
  <si>
    <t>通上水</t>
  </si>
  <si>
    <t>通下水</t>
  </si>
  <si>
    <r>
      <rPr>
        <sz val="12"/>
        <color theme="9" tint="-0.249977111117893"/>
        <rFont val="宋体"/>
        <family val="3"/>
        <charset val="134"/>
      </rPr>
      <t>商业</t>
    </r>
    <r>
      <rPr>
        <sz val="12"/>
        <color theme="9" tint="-0.249977111117893"/>
        <rFont val="Arial"/>
        <family val="2"/>
      </rPr>
      <t>35.18</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</si>
  <si>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phoneticPr fontId="6" type="noConversion"/>
  </si>
  <si>
    <t>1-2</t>
  </si>
  <si>
    <t>1-3</t>
  </si>
  <si>
    <t>1-4</t>
  </si>
  <si>
    <t>1-5</t>
  </si>
  <si>
    <t>1-6</t>
  </si>
  <si>
    <t>1-7</t>
  </si>
  <si>
    <t>1-8</t>
  </si>
  <si>
    <t>1-10</t>
  </si>
  <si>
    <t>1-12</t>
  </si>
  <si>
    <t>1-13</t>
  </si>
  <si>
    <t>1-14</t>
  </si>
  <si>
    <t>1-15</t>
  </si>
  <si>
    <t>1-16</t>
  </si>
  <si>
    <t>1-17</t>
  </si>
  <si>
    <t>1-19</t>
  </si>
  <si>
    <t>1-20</t>
  </si>
  <si>
    <t>1-21</t>
  </si>
  <si>
    <t>1-22</t>
  </si>
  <si>
    <t>1-23</t>
  </si>
  <si>
    <t>1-24</t>
  </si>
  <si>
    <t>1-25</t>
  </si>
  <si>
    <t>1-26</t>
  </si>
  <si>
    <t>1-27</t>
  </si>
  <si>
    <t>1-28</t>
  </si>
  <si>
    <t>1-29</t>
  </si>
  <si>
    <t>1-30</t>
  </si>
  <si>
    <t>1-33</t>
  </si>
  <si>
    <t>1-34</t>
  </si>
  <si>
    <t>1-35</t>
  </si>
  <si>
    <t>1-36</t>
  </si>
  <si>
    <t>1-37</t>
  </si>
  <si>
    <t>1-38</t>
  </si>
  <si>
    <t>1-39</t>
  </si>
  <si>
    <t>1-40</t>
  </si>
  <si>
    <t>1-41</t>
  </si>
  <si>
    <t>1-43</t>
  </si>
  <si>
    <t>1-44</t>
  </si>
  <si>
    <t>1-45</t>
  </si>
  <si>
    <t>1-46</t>
  </si>
  <si>
    <t>1-47</t>
  </si>
  <si>
    <t>1-48</t>
  </si>
  <si>
    <t>1-49</t>
  </si>
  <si>
    <t>1-51</t>
  </si>
  <si>
    <t>1-52</t>
  </si>
  <si>
    <t>1-54</t>
  </si>
  <si>
    <t>1-55</t>
  </si>
  <si>
    <t>1-56</t>
  </si>
  <si>
    <t>1-57</t>
  </si>
  <si>
    <t>1-58</t>
  </si>
  <si>
    <t>1-59</t>
  </si>
  <si>
    <t>1-60</t>
  </si>
  <si>
    <t>1-61</t>
  </si>
  <si>
    <t>1-63</t>
  </si>
  <si>
    <t>1-64</t>
  </si>
  <si>
    <t>1-65</t>
  </si>
  <si>
    <t>1-66</t>
  </si>
  <si>
    <t>1-67</t>
  </si>
  <si>
    <t>1-68</t>
  </si>
  <si>
    <t>1-69</t>
  </si>
  <si>
    <t>1-70</t>
  </si>
  <si>
    <t>1-71</t>
  </si>
  <si>
    <t>1-72</t>
  </si>
  <si>
    <t>1-73</t>
  </si>
  <si>
    <t>1-75</t>
  </si>
  <si>
    <t>1-76</t>
  </si>
  <si>
    <t>1-77</t>
  </si>
  <si>
    <t>1-78</t>
  </si>
  <si>
    <t>1-79</t>
  </si>
  <si>
    <t>1-80</t>
  </si>
  <si>
    <t>1-81</t>
  </si>
  <si>
    <t>1-82</t>
  </si>
  <si>
    <t>1-83</t>
  </si>
  <si>
    <t>1-84</t>
  </si>
  <si>
    <t>1-85</t>
  </si>
  <si>
    <t>1-86</t>
  </si>
  <si>
    <t>1-87</t>
  </si>
  <si>
    <t>1-89</t>
  </si>
  <si>
    <t>1-90</t>
  </si>
  <si>
    <t>1-91</t>
  </si>
  <si>
    <t>1-92</t>
  </si>
  <si>
    <t>1-94</t>
  </si>
  <si>
    <t>1-95</t>
  </si>
  <si>
    <t>1-96</t>
  </si>
  <si>
    <t>2-1</t>
  </si>
  <si>
    <t>2-2</t>
  </si>
  <si>
    <t>2-3</t>
  </si>
  <si>
    <t>2-4</t>
  </si>
  <si>
    <t>2-5</t>
  </si>
  <si>
    <t>2-6</t>
  </si>
  <si>
    <t>2-7</t>
  </si>
  <si>
    <t>2-8</t>
  </si>
  <si>
    <t>2-9</t>
  </si>
  <si>
    <t>2-10</t>
  </si>
  <si>
    <t>2-11</t>
  </si>
  <si>
    <t>2-12</t>
  </si>
  <si>
    <t>2-13</t>
  </si>
  <si>
    <t>2-14</t>
  </si>
  <si>
    <t>2-15</t>
  </si>
  <si>
    <t>2-16</t>
  </si>
  <si>
    <t>2-17</t>
  </si>
  <si>
    <t>2-19</t>
  </si>
  <si>
    <t>2-20</t>
  </si>
  <si>
    <t>2-21</t>
  </si>
  <si>
    <t>2-22</t>
  </si>
  <si>
    <t>2-23</t>
  </si>
  <si>
    <t>2-24</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</si>
  <si>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</si>
  <si>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</si>
  <si>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</si>
  <si>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</si>
  <si>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</si>
  <si>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</si>
  <si>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</si>
  <si>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</si>
  <si>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</si>
  <si>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</si>
  <si>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</si>
  <si>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</si>
  <si>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</si>
  <si>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</si>
  <si>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</si>
  <si>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</si>
  <si>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</si>
  <si>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</si>
  <si>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</si>
  <si>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</si>
  <si>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</si>
  <si>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</si>
  <si>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</si>
  <si>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</si>
  <si>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</si>
  <si>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2-55</t>
  </si>
  <si>
    <t>2-57</t>
  </si>
  <si>
    <t>2-58</t>
  </si>
  <si>
    <t>2-59</t>
  </si>
  <si>
    <t>2-60</t>
  </si>
  <si>
    <t>2-62</t>
  </si>
  <si>
    <t>2-63</t>
  </si>
  <si>
    <t>2-64</t>
  </si>
  <si>
    <t>2-65</t>
  </si>
  <si>
    <t>2-66</t>
  </si>
  <si>
    <t>2-67</t>
  </si>
  <si>
    <t>2-68</t>
  </si>
  <si>
    <t>2-72</t>
  </si>
  <si>
    <t>2-73</t>
  </si>
  <si>
    <t>2-75</t>
  </si>
  <si>
    <t>2-76</t>
  </si>
  <si>
    <t>2-77</t>
  </si>
  <si>
    <t>2-79</t>
  </si>
  <si>
    <t>2-80</t>
  </si>
  <si>
    <t>2-81</t>
  </si>
  <si>
    <t>2-82</t>
  </si>
  <si>
    <t>2-83</t>
  </si>
  <si>
    <t>2-88</t>
  </si>
  <si>
    <t>2-91</t>
  </si>
  <si>
    <t>2-92</t>
  </si>
  <si>
    <t>2-93</t>
  </si>
  <si>
    <t>2-94</t>
  </si>
  <si>
    <t>2-95</t>
  </si>
  <si>
    <t>2-96</t>
  </si>
  <si>
    <t>2-97</t>
  </si>
  <si>
    <t>2-98</t>
  </si>
  <si>
    <t>2-99</t>
  </si>
  <si>
    <t>2-100</t>
  </si>
  <si>
    <t>2-102</t>
  </si>
  <si>
    <t>2-104</t>
  </si>
  <si>
    <t>2-105</t>
  </si>
  <si>
    <t>2-106</t>
  </si>
  <si>
    <t>2-107</t>
  </si>
  <si>
    <t>3-1</t>
  </si>
  <si>
    <t>3-2</t>
  </si>
  <si>
    <t>3-3</t>
  </si>
  <si>
    <t>3-4</t>
  </si>
  <si>
    <t>3-5</t>
  </si>
  <si>
    <t>3-6</t>
  </si>
  <si>
    <t>3-7</t>
  </si>
  <si>
    <t>3-8</t>
  </si>
  <si>
    <t>3-9</t>
  </si>
  <si>
    <t>3-10</t>
  </si>
  <si>
    <t>3-11</t>
  </si>
  <si>
    <t>3-12</t>
  </si>
  <si>
    <t>3-13</t>
  </si>
  <si>
    <t>3-14</t>
  </si>
  <si>
    <t>3-15</t>
  </si>
  <si>
    <t>3-16</t>
  </si>
  <si>
    <t>3-17</t>
  </si>
  <si>
    <t>3-18</t>
  </si>
  <si>
    <t>3-19</t>
  </si>
  <si>
    <t>3-20</t>
  </si>
  <si>
    <t>3-21</t>
  </si>
  <si>
    <t>3-22</t>
  </si>
  <si>
    <t>3-23</t>
  </si>
  <si>
    <t>3-25</t>
  </si>
  <si>
    <t>3-26</t>
  </si>
  <si>
    <t>3-27</t>
  </si>
  <si>
    <t>3-28</t>
  </si>
  <si>
    <t>3-29</t>
  </si>
  <si>
    <t>3-30</t>
  </si>
  <si>
    <t>3-31</t>
  </si>
  <si>
    <t>3-32</t>
  </si>
  <si>
    <t>3-33</t>
  </si>
  <si>
    <t>3-34</t>
  </si>
  <si>
    <t>3-36</t>
  </si>
  <si>
    <t>3-37</t>
  </si>
  <si>
    <t>3-38</t>
  </si>
  <si>
    <t>3-39</t>
  </si>
  <si>
    <t>3-40</t>
  </si>
  <si>
    <t>3-41</t>
  </si>
  <si>
    <t>3-42</t>
  </si>
  <si>
    <t>3-44</t>
  </si>
  <si>
    <t>3-45</t>
  </si>
  <si>
    <t>3-46</t>
  </si>
  <si>
    <t>3-47</t>
  </si>
  <si>
    <t>3-48</t>
  </si>
  <si>
    <t>3-49</t>
  </si>
  <si>
    <t>3-51</t>
  </si>
  <si>
    <t>3-52</t>
  </si>
  <si>
    <t>3-60</t>
  </si>
  <si>
    <t>3-61</t>
  </si>
  <si>
    <t>3-62</t>
  </si>
  <si>
    <t>3-64</t>
  </si>
  <si>
    <t>3-65</t>
  </si>
  <si>
    <t>3-69</t>
  </si>
  <si>
    <t>3-70</t>
  </si>
  <si>
    <t>3-71</t>
  </si>
  <si>
    <t>3-72</t>
  </si>
  <si>
    <t>3-77</t>
  </si>
  <si>
    <t>3-78</t>
  </si>
  <si>
    <t>3-79</t>
  </si>
  <si>
    <t>3-86</t>
  </si>
  <si>
    <t>3-92</t>
  </si>
  <si>
    <t>3-94</t>
  </si>
  <si>
    <t>3-95</t>
  </si>
  <si>
    <t>3-96</t>
  </si>
  <si>
    <t>3-97</t>
  </si>
  <si>
    <t>3-101</t>
  </si>
  <si>
    <t>3-102</t>
  </si>
  <si>
    <t>3-105</t>
  </si>
  <si>
    <t>4-2</t>
  </si>
  <si>
    <t>4-3</t>
  </si>
  <si>
    <t>4-4</t>
  </si>
  <si>
    <t>4-5</t>
  </si>
  <si>
    <t>4-10</t>
  </si>
  <si>
    <t>4-13</t>
  </si>
  <si>
    <t>4-16</t>
  </si>
  <si>
    <t>4-17</t>
  </si>
  <si>
    <t>4-18</t>
  </si>
  <si>
    <t>4-19</t>
  </si>
  <si>
    <t>4-20</t>
  </si>
  <si>
    <t>《不动产权证书》</t>
    <phoneticPr fontId="3" type="noConversion"/>
  </si>
  <si>
    <t>地上</t>
  </si>
  <si>
    <t>商业街</t>
  </si>
  <si>
    <t>序号</t>
  </si>
  <si>
    <t>业态</t>
  </si>
  <si>
    <t>幢号</t>
  </si>
  <si>
    <t>房号</t>
  </si>
  <si>
    <t>门牌号</t>
  </si>
  <si>
    <t>证号</t>
  </si>
  <si>
    <t>浙2017宁波市鄞州不动产权第0087350号</t>
  </si>
  <si>
    <t>浙2017宁波市鄞州不动产权第0087304号</t>
  </si>
  <si>
    <t>浙2017宁波市鄞州不动产权第0087064号</t>
  </si>
  <si>
    <t>浙2017宁波市鄞州不动产权第0087136号</t>
  </si>
  <si>
    <t>浙2017宁波市鄞州不动产权第0087309号</t>
  </si>
  <si>
    <t>浙2017宁波市鄞州不动产权第0087230号</t>
  </si>
  <si>
    <t>浙2017宁波市鄞州不动产权第0087303号</t>
  </si>
  <si>
    <t>浙2017宁波市鄞州不动产权第0087033号</t>
  </si>
  <si>
    <t>浙2017宁波市鄞州不动产权第0087266号</t>
  </si>
  <si>
    <t>浙2017宁波市鄞州不动产权第0087034号</t>
  </si>
  <si>
    <t>浙2017宁波市鄞州不动产权第0087179号</t>
  </si>
  <si>
    <t>浙2017宁波市鄞州不动产权第0087224号</t>
  </si>
  <si>
    <t>浙2017宁波市鄞州不动产权第0087349号</t>
  </si>
  <si>
    <t>浙2017宁波市鄞州不动产权第0087180号</t>
  </si>
  <si>
    <t>浙2017宁波市鄞州不动产权第0087131号</t>
  </si>
  <si>
    <t>浙2017宁波市鄞州不动产权第0087061号</t>
  </si>
  <si>
    <t>浙2017宁波市鄞州不动产权第0087062号</t>
  </si>
  <si>
    <t>浙2017宁波市鄞州不动产权第0087035号</t>
  </si>
  <si>
    <t>浙2017宁波市鄞州不动产权第0087351号</t>
  </si>
  <si>
    <t>浙2017宁波市鄞州不动产权第0087352号</t>
  </si>
  <si>
    <t>浙2017宁波市鄞州不动产权第0087181号</t>
  </si>
  <si>
    <t>浙2017宁波市鄞州不动产权第0087353号</t>
  </si>
  <si>
    <t>浙2017宁波市鄞州不动产权第0087063号</t>
  </si>
  <si>
    <t>浙2017宁波市鄞州不动产权第0087132号</t>
  </si>
  <si>
    <t>浙2017宁波市鄞州不动产权第0087182号</t>
  </si>
  <si>
    <t>浙2017宁波市鄞州不动产权第0087305号</t>
  </si>
  <si>
    <t>浙2017宁波市鄞州不动产权第0087270号</t>
  </si>
  <si>
    <t>浙2017宁波市鄞州不动产权第0087306号</t>
  </si>
  <si>
    <t>浙2017宁波市鄞州不动产权第0087307号</t>
  </si>
  <si>
    <t>浙2017宁波市鄞州不动产权第0087271号</t>
  </si>
  <si>
    <t>浙2017宁波市鄞州不动产权第0087272号</t>
  </si>
  <si>
    <t>浙2017宁波市鄞州不动产权第0087354号</t>
  </si>
  <si>
    <t>浙2017宁波市鄞州不动产权第0087225号</t>
  </si>
  <si>
    <t>浙2017宁波市鄞州不动产权第0087065号</t>
  </si>
  <si>
    <t>浙2017宁波市鄞州不动产权第0087355号</t>
  </si>
  <si>
    <t>浙2017宁波市鄞州不动产权第0087184号</t>
  </si>
  <si>
    <t>浙2017宁波市鄞州不动产权第0087273号</t>
  </si>
  <si>
    <t>浙2017宁波市鄞州不动产权第0087066号</t>
  </si>
  <si>
    <t>浙2017宁波市鄞州不动产权第0087356号</t>
  </si>
  <si>
    <t>浙2017宁波市鄞州不动产权第0087274号</t>
  </si>
  <si>
    <t>浙2017宁波市鄞州不动产权第0087357号</t>
  </si>
  <si>
    <t>E</t>
  </si>
  <si>
    <t>浙2017宁波市鄞州不动产权第0087133号</t>
  </si>
  <si>
    <t>浙2017宁波市鄞州不动产权第0087226号</t>
  </si>
  <si>
    <t>浙2017宁波市鄞州不动产权第0087186号</t>
  </si>
  <si>
    <t>浙2017宁波市鄞州不动产权第0087275号</t>
  </si>
  <si>
    <t>浙2017宁波市鄞州不动产权第0087227号</t>
  </si>
  <si>
    <t>浙2017宁波市鄞州不动产权第0087276号</t>
  </si>
  <si>
    <t>浙2017宁波市鄞州不动产权第0087135号</t>
  </si>
  <si>
    <t>浙2017宁波市鄞州不动产权第0087228号</t>
  </si>
  <si>
    <t>浙2017宁波市鄞州不动产权第0087187号</t>
  </si>
  <si>
    <t>浙2017宁波市鄞州不动产权第0087308号</t>
  </si>
  <si>
    <t>浙2017宁波市鄞州不动产权第0087069号</t>
  </si>
  <si>
    <t>浙2017宁波市鄞州不动产权第0087137号</t>
  </si>
  <si>
    <t>浙2017宁波市鄞州不动产权第0087138号</t>
  </si>
  <si>
    <t>浙2017宁波市鄞州不动产权第0087188号</t>
  </si>
  <si>
    <t>浙2017宁波市鄞州不动产权第0087070号</t>
  </si>
  <si>
    <t>浙2017宁波市鄞州不动产权第0087229号</t>
  </si>
  <si>
    <t>浙2017宁波市鄞州不动产权第0087189号</t>
  </si>
  <si>
    <t>浙2017宁波市鄞州不动产权第0087277号</t>
  </si>
  <si>
    <t>浙2017宁波市鄞州不动产权第0087037号</t>
  </si>
  <si>
    <t>浙2017宁波市鄞州不动产权第0087139号</t>
  </si>
  <si>
    <t>浙2017宁波市鄞州不动产权第0087038号</t>
  </si>
  <si>
    <t>浙2017宁波市鄞州不动产权第0087310号</t>
  </si>
  <si>
    <t>浙2017宁波市鄞州不动产权第0087311号</t>
  </si>
  <si>
    <t>浙2017宁波市鄞州不动产权第0087312号</t>
  </si>
  <si>
    <t>浙2017宁波市鄞州不动产权第0087140号</t>
  </si>
  <si>
    <t>浙2017宁波市鄞州不动产权第0087071号</t>
  </si>
  <si>
    <t>浙2017宁波市鄞州不动产权第0087235号</t>
  </si>
  <si>
    <t>浙2017宁波市鄞州不动产权第0087236号</t>
  </si>
  <si>
    <t>浙2017宁波市鄞州不动产权第0087143号</t>
  </si>
  <si>
    <t>浙2017宁波市鄞州不动产权第0087237号</t>
  </si>
  <si>
    <t>浙2017宁波市鄞州不动产权第0087144号</t>
  </si>
  <si>
    <t>浙2017宁波市鄞州不动产权第0087074号</t>
  </si>
  <si>
    <t>浙2017宁波市鄞州不动产权第0087075号</t>
  </si>
  <si>
    <t>浙2017宁波市鄞州不动产权第0087280号</t>
  </si>
  <si>
    <t>浙2017宁波市鄞州不动产权第0087076号</t>
  </si>
  <si>
    <t>浙2017宁波市鄞州不动产权第0087281号</t>
  </si>
  <si>
    <t>浙2017宁波市鄞州不动产权第0087282号</t>
  </si>
  <si>
    <t>浙2017宁波市鄞州不动产权第0087362号</t>
  </si>
  <si>
    <t>浙2017宁波市鄞州不动产权第0087193号</t>
  </si>
  <si>
    <t>浙2017宁波市鄞州不动产权第0087283号</t>
  </si>
  <si>
    <t>浙2017宁波市鄞州不动产权第0087317号</t>
  </si>
  <si>
    <r>
      <t>东都汇中心</t>
    </r>
    <r>
      <rPr>
        <sz val="12"/>
        <color indexed="8"/>
        <rFont val="微软雅黑"/>
        <family val="2"/>
        <charset val="134"/>
      </rPr>
      <t>7、30、57号2-1</t>
    </r>
  </si>
  <si>
    <t>浙2017宁波市鄞州不动产权第0087238号</t>
  </si>
  <si>
    <r>
      <t>东都汇中心</t>
    </r>
    <r>
      <rPr>
        <sz val="12"/>
        <color indexed="8"/>
        <rFont val="微软雅黑"/>
        <family val="2"/>
        <charset val="134"/>
      </rPr>
      <t>7、30、57号2-2</t>
    </r>
  </si>
  <si>
    <t>浙2017宁波市鄞州不动产权第0087321号</t>
  </si>
  <si>
    <r>
      <t>东都汇中心</t>
    </r>
    <r>
      <rPr>
        <sz val="12"/>
        <color indexed="8"/>
        <rFont val="微软雅黑"/>
        <family val="2"/>
        <charset val="134"/>
      </rPr>
      <t>7、30、57号2-3</t>
    </r>
  </si>
  <si>
    <t>浙2017宁波市鄞州不动产权第0087231号</t>
  </si>
  <si>
    <r>
      <t>东都汇中心</t>
    </r>
    <r>
      <rPr>
        <sz val="12"/>
        <color indexed="8"/>
        <rFont val="微软雅黑"/>
        <family val="2"/>
        <charset val="134"/>
      </rPr>
      <t>7、30、57号2-4</t>
    </r>
  </si>
  <si>
    <t>浙2017宁波市鄞州不动产权第0087234号</t>
  </si>
  <si>
    <r>
      <t>东都汇中心</t>
    </r>
    <r>
      <rPr>
        <sz val="12"/>
        <color indexed="8"/>
        <rFont val="微软雅黑"/>
        <family val="2"/>
        <charset val="134"/>
      </rPr>
      <t>7、30、57号2-5</t>
    </r>
  </si>
  <si>
    <t>浙2017宁波市鄞州不动产权第0087288号</t>
  </si>
  <si>
    <r>
      <t>东都汇中心</t>
    </r>
    <r>
      <rPr>
        <sz val="12"/>
        <color indexed="8"/>
        <rFont val="微软雅黑"/>
        <family val="2"/>
        <charset val="134"/>
      </rPr>
      <t>7、30、57号2-6</t>
    </r>
  </si>
  <si>
    <t>浙2017宁波市鄞州不动产权第0087195号</t>
  </si>
  <si>
    <r>
      <t>东都汇中心</t>
    </r>
    <r>
      <rPr>
        <sz val="12"/>
        <color indexed="8"/>
        <rFont val="微软雅黑"/>
        <family val="2"/>
        <charset val="134"/>
      </rPr>
      <t>7、30、57号2-7</t>
    </r>
  </si>
  <si>
    <t>浙2017宁波市鄞州不动产权第0087325号</t>
  </si>
  <si>
    <r>
      <t>东都汇中心</t>
    </r>
    <r>
      <rPr>
        <sz val="12"/>
        <color indexed="8"/>
        <rFont val="微软雅黑"/>
        <family val="2"/>
        <charset val="134"/>
      </rPr>
      <t>7、30、57号2-8</t>
    </r>
  </si>
  <si>
    <t>浙2017宁波市鄞州不动产权第0087152号</t>
  </si>
  <si>
    <r>
      <t>东都汇中心</t>
    </r>
    <r>
      <rPr>
        <sz val="12"/>
        <color indexed="8"/>
        <rFont val="微软雅黑"/>
        <family val="2"/>
        <charset val="134"/>
      </rPr>
      <t>7、30、57号2-9</t>
    </r>
  </si>
  <si>
    <t>浙2017宁波市鄞州不动产权第0087086号</t>
  </si>
  <si>
    <r>
      <t>东都汇中心</t>
    </r>
    <r>
      <rPr>
        <sz val="12"/>
        <color indexed="8"/>
        <rFont val="微软雅黑"/>
        <family val="2"/>
        <charset val="134"/>
      </rPr>
      <t>7、30、57号2-10</t>
    </r>
  </si>
  <si>
    <t>浙2017宁波市鄞州不动产权第0087077号</t>
  </si>
  <si>
    <r>
      <t>东都汇中心</t>
    </r>
    <r>
      <rPr>
        <sz val="12"/>
        <color indexed="8"/>
        <rFont val="微软雅黑"/>
        <family val="2"/>
        <charset val="134"/>
      </rPr>
      <t>7、30、57号2-11</t>
    </r>
  </si>
  <si>
    <t>浙2017宁波市鄞州不动产权第0087240号</t>
  </si>
  <si>
    <r>
      <t>东都汇中心</t>
    </r>
    <r>
      <rPr>
        <sz val="12"/>
        <color indexed="8"/>
        <rFont val="微软雅黑"/>
        <family val="2"/>
        <charset val="134"/>
      </rPr>
      <t>7、30、57号2-12</t>
    </r>
  </si>
  <si>
    <t>浙2017宁波市鄞州不动产权第0087364号</t>
  </si>
  <si>
    <r>
      <t>东都汇中心</t>
    </r>
    <r>
      <rPr>
        <sz val="12"/>
        <color indexed="8"/>
        <rFont val="微软雅黑"/>
        <family val="2"/>
        <charset val="134"/>
      </rPr>
      <t>7、30、57号2-13</t>
    </r>
  </si>
  <si>
    <t>浙2017宁波市鄞州不动产权第0087319号</t>
  </si>
  <si>
    <r>
      <t>东都汇中心</t>
    </r>
    <r>
      <rPr>
        <sz val="12"/>
        <color indexed="8"/>
        <rFont val="微软雅黑"/>
        <family val="2"/>
        <charset val="134"/>
      </rPr>
      <t>7、30、57号2-14</t>
    </r>
  </si>
  <si>
    <t>浙2017宁波市鄞州不动产权第0087043号</t>
  </si>
  <si>
    <r>
      <t>东都汇中心</t>
    </r>
    <r>
      <rPr>
        <sz val="12"/>
        <color indexed="8"/>
        <rFont val="微软雅黑"/>
        <family val="2"/>
        <charset val="134"/>
      </rPr>
      <t>7、30、57号2-15</t>
    </r>
  </si>
  <si>
    <t>浙2017宁波市鄞州不动产权第0087320号</t>
  </si>
  <si>
    <r>
      <t>东都汇中心</t>
    </r>
    <r>
      <rPr>
        <sz val="12"/>
        <color indexed="8"/>
        <rFont val="微软雅黑"/>
        <family val="2"/>
        <charset val="134"/>
      </rPr>
      <t>7、30、57号2-16</t>
    </r>
  </si>
  <si>
    <t>浙2017宁波市鄞州不动产权第0087365号</t>
  </si>
  <si>
    <r>
      <t>东都汇中心</t>
    </r>
    <r>
      <rPr>
        <sz val="12"/>
        <color indexed="8"/>
        <rFont val="微软雅黑"/>
        <family val="2"/>
        <charset val="134"/>
      </rPr>
      <t>7、30、57号2-17</t>
    </r>
  </si>
  <si>
    <t>浙2017宁波市鄞州不动产权第0087147号</t>
  </si>
  <si>
    <r>
      <t>东都汇中心</t>
    </r>
    <r>
      <rPr>
        <sz val="12"/>
        <color indexed="8"/>
        <rFont val="微软雅黑"/>
        <family val="2"/>
        <charset val="134"/>
      </rPr>
      <t>7、30、57号2-19</t>
    </r>
  </si>
  <si>
    <t>浙2017宁波市鄞州不动产权第0087241号</t>
  </si>
  <si>
    <r>
      <t>东都汇中心</t>
    </r>
    <r>
      <rPr>
        <sz val="12"/>
        <color indexed="8"/>
        <rFont val="微软雅黑"/>
        <family val="2"/>
        <charset val="134"/>
      </rPr>
      <t>7、30、57号2-20</t>
    </r>
  </si>
  <si>
    <t>浙2017宁波市鄞州不动产权第0087287号</t>
  </si>
  <si>
    <r>
      <t>东都汇中心</t>
    </r>
    <r>
      <rPr>
        <sz val="12"/>
        <color indexed="8"/>
        <rFont val="微软雅黑"/>
        <family val="2"/>
        <charset val="134"/>
      </rPr>
      <t>7、30、57号2-21</t>
    </r>
  </si>
  <si>
    <t>浙2017宁波市鄞州不动产权第0087367号</t>
  </si>
  <si>
    <r>
      <t>东都汇中心</t>
    </r>
    <r>
      <rPr>
        <sz val="12"/>
        <color indexed="8"/>
        <rFont val="微软雅黑"/>
        <family val="2"/>
        <charset val="134"/>
      </rPr>
      <t>7、30、57号2-22</t>
    </r>
  </si>
  <si>
    <t>浙2017宁波市鄞州不动产权第0087368号</t>
  </si>
  <si>
    <r>
      <t>东都汇中心</t>
    </r>
    <r>
      <rPr>
        <sz val="12"/>
        <color indexed="8"/>
        <rFont val="微软雅黑"/>
        <family val="2"/>
        <charset val="134"/>
      </rPr>
      <t>7、30、57号2-23</t>
    </r>
  </si>
  <si>
    <t>浙2017宁波市鄞州不动产权第0087078号</t>
  </si>
  <si>
    <r>
      <t>东都汇中心</t>
    </r>
    <r>
      <rPr>
        <sz val="12"/>
        <color indexed="8"/>
        <rFont val="微软雅黑"/>
        <family val="2"/>
        <charset val="134"/>
      </rPr>
      <t>7、30、57号2-24</t>
    </r>
  </si>
  <si>
    <t>浙2017宁波市鄞州不动产权第0087079号</t>
  </si>
  <si>
    <r>
      <t>东都汇中心</t>
    </r>
    <r>
      <rPr>
        <sz val="12"/>
        <color indexed="8"/>
        <rFont val="微软雅黑"/>
        <family val="2"/>
        <charset val="134"/>
      </rPr>
      <t>7、30、57号2-28</t>
    </r>
  </si>
  <si>
    <t>浙2017宁波市鄞州不动产权第0087278号</t>
  </si>
  <si>
    <r>
      <t>东都汇中心</t>
    </r>
    <r>
      <rPr>
        <sz val="12"/>
        <color indexed="8"/>
        <rFont val="微软雅黑"/>
        <family val="2"/>
        <charset val="134"/>
      </rPr>
      <t>7、30、57号2-29</t>
    </r>
  </si>
  <si>
    <t>浙2017宁波市鄞州不动产权第0087039号</t>
  </si>
  <si>
    <r>
      <t>东都汇中心</t>
    </r>
    <r>
      <rPr>
        <sz val="12"/>
        <color indexed="8"/>
        <rFont val="微软雅黑"/>
        <family val="2"/>
        <charset val="134"/>
      </rPr>
      <t>7、30、57号2-30</t>
    </r>
  </si>
  <si>
    <t>浙2017宁波市鄞州不动产权第0087358号</t>
  </si>
  <si>
    <r>
      <t>东都汇中心</t>
    </r>
    <r>
      <rPr>
        <sz val="12"/>
        <color indexed="8"/>
        <rFont val="微软雅黑"/>
        <family val="2"/>
        <charset val="134"/>
      </rPr>
      <t>7、30、57号2-31</t>
    </r>
  </si>
  <si>
    <t>浙2017宁波市鄞州不动产权第0087072号</t>
  </si>
  <si>
    <r>
      <t>东都汇中心</t>
    </r>
    <r>
      <rPr>
        <sz val="12"/>
        <color indexed="8"/>
        <rFont val="微软雅黑"/>
        <family val="2"/>
        <charset val="134"/>
      </rPr>
      <t>7、30、57号2-32</t>
    </r>
  </si>
  <si>
    <t>浙2017宁波市鄞州不动产权第0087141号</t>
  </si>
  <si>
    <r>
      <t>东都汇中心</t>
    </r>
    <r>
      <rPr>
        <sz val="12"/>
        <color indexed="8"/>
        <rFont val="微软雅黑"/>
        <family val="2"/>
        <charset val="134"/>
      </rPr>
      <t>7、30、57号2-33</t>
    </r>
  </si>
  <si>
    <t>浙2017宁波市鄞州不动产权第0087359号</t>
  </si>
  <si>
    <r>
      <t>东都汇中心</t>
    </r>
    <r>
      <rPr>
        <sz val="12"/>
        <color indexed="8"/>
        <rFont val="微软雅黑"/>
        <family val="2"/>
        <charset val="134"/>
      </rPr>
      <t>7、30、57号2-34</t>
    </r>
  </si>
  <si>
    <t>浙2017宁波市鄞州不动产权第0087040号</t>
  </si>
  <si>
    <r>
      <t>东都汇中心</t>
    </r>
    <r>
      <rPr>
        <sz val="12"/>
        <color indexed="8"/>
        <rFont val="微软雅黑"/>
        <family val="2"/>
        <charset val="134"/>
      </rPr>
      <t>7、30、57号2-35</t>
    </r>
  </si>
  <si>
    <t>浙2017宁波市鄞州不动产权第0087142号</t>
  </si>
  <si>
    <r>
      <t>东都汇中心</t>
    </r>
    <r>
      <rPr>
        <sz val="12"/>
        <color indexed="8"/>
        <rFont val="微软雅黑"/>
        <family val="2"/>
        <charset val="134"/>
      </rPr>
      <t>7、30、57号2-36</t>
    </r>
  </si>
  <si>
    <t>浙2017宁波市鄞州不动产权第0087313号</t>
  </si>
  <si>
    <r>
      <t>东都汇中心</t>
    </r>
    <r>
      <rPr>
        <sz val="12"/>
        <color indexed="8"/>
        <rFont val="微软雅黑"/>
        <family val="2"/>
        <charset val="134"/>
      </rPr>
      <t>7、30、57号2-37</t>
    </r>
  </si>
  <si>
    <t>浙2017宁波市鄞州不动产权第0087232号</t>
  </si>
  <si>
    <r>
      <t>东都汇中心</t>
    </r>
    <r>
      <rPr>
        <sz val="12"/>
        <color indexed="8"/>
        <rFont val="微软雅黑"/>
        <family val="2"/>
        <charset val="134"/>
      </rPr>
      <t>7、30、57号2-38</t>
    </r>
  </si>
  <si>
    <t>浙2017宁波市鄞州不动产权第0087360号</t>
  </si>
  <si>
    <r>
      <t>东都汇中心</t>
    </r>
    <r>
      <rPr>
        <sz val="12"/>
        <color indexed="8"/>
        <rFont val="微软雅黑"/>
        <family val="2"/>
        <charset val="134"/>
      </rPr>
      <t>7、30、57号2-39</t>
    </r>
  </si>
  <si>
    <t>浙2017宁波市鄞州不动产权第0087233号</t>
  </si>
  <si>
    <r>
      <t>东都汇中心</t>
    </r>
    <r>
      <rPr>
        <sz val="12"/>
        <color indexed="8"/>
        <rFont val="微软雅黑"/>
        <family val="2"/>
        <charset val="134"/>
      </rPr>
      <t>7、30、57号2-40</t>
    </r>
  </si>
  <si>
    <t>浙2017宁波市鄞州不动产权第0087041号</t>
  </si>
  <si>
    <r>
      <t>东都汇中心</t>
    </r>
    <r>
      <rPr>
        <sz val="12"/>
        <color indexed="8"/>
        <rFont val="微软雅黑"/>
        <family val="2"/>
        <charset val="134"/>
      </rPr>
      <t>7、30、57号2-41</t>
    </r>
  </si>
  <si>
    <t>浙2017宁波市鄞州不动产权第0087314号</t>
  </si>
  <si>
    <r>
      <t>东都汇中心</t>
    </r>
    <r>
      <rPr>
        <sz val="12"/>
        <color indexed="8"/>
        <rFont val="微软雅黑"/>
        <family val="2"/>
        <charset val="134"/>
      </rPr>
      <t>7、30、57号2-42</t>
    </r>
  </si>
  <si>
    <t>浙2017宁波市鄞州不动产权第0087279号</t>
  </si>
  <si>
    <r>
      <t>东都汇中心</t>
    </r>
    <r>
      <rPr>
        <sz val="12"/>
        <color indexed="8"/>
        <rFont val="微软雅黑"/>
        <family val="2"/>
        <charset val="134"/>
      </rPr>
      <t>7、30、57号2-43</t>
    </r>
  </si>
  <si>
    <t>浙2017宁波市鄞州不动产权第0087042号</t>
  </si>
  <si>
    <r>
      <t>东都汇中心</t>
    </r>
    <r>
      <rPr>
        <sz val="12"/>
        <color indexed="8"/>
        <rFont val="微软雅黑"/>
        <family val="2"/>
        <charset val="134"/>
      </rPr>
      <t>7、30、57号2-44</t>
    </r>
  </si>
  <si>
    <t>浙2017宁波市鄞州不动产权第0087361号</t>
  </si>
  <si>
    <r>
      <t>东都汇中心</t>
    </r>
    <r>
      <rPr>
        <sz val="12"/>
        <color indexed="8"/>
        <rFont val="微软雅黑"/>
        <family val="2"/>
        <charset val="134"/>
      </rPr>
      <t>7、30、57号2-45</t>
    </r>
  </si>
  <si>
    <t>浙2017宁波市鄞州不动产权第0087315号</t>
  </si>
  <si>
    <r>
      <t>东都汇中心</t>
    </r>
    <r>
      <rPr>
        <sz val="12"/>
        <color indexed="8"/>
        <rFont val="微软雅黑"/>
        <family val="2"/>
        <charset val="134"/>
      </rPr>
      <t>7、30、57号2-46</t>
    </r>
  </si>
  <si>
    <t>浙2017宁波市鄞州不动产权第0087316号</t>
  </si>
  <si>
    <r>
      <t>东都汇中心</t>
    </r>
    <r>
      <rPr>
        <sz val="12"/>
        <color indexed="8"/>
        <rFont val="微软雅黑"/>
        <family val="2"/>
        <charset val="134"/>
      </rPr>
      <t>7、30、57号2-47</t>
    </r>
  </si>
  <si>
    <t>浙2017宁波市鄞州不动产权第0087073号</t>
  </si>
  <si>
    <r>
      <t>东都汇中心</t>
    </r>
    <r>
      <rPr>
        <sz val="12"/>
        <color indexed="8"/>
        <rFont val="微软雅黑"/>
        <family val="2"/>
        <charset val="134"/>
      </rPr>
      <t>7、30、57号2-48</t>
    </r>
  </si>
  <si>
    <t>浙2017宁波市鄞州不动产权第0087191号</t>
  </si>
  <si>
    <r>
      <t>东都汇中心</t>
    </r>
    <r>
      <rPr>
        <sz val="12"/>
        <color indexed="8"/>
        <rFont val="微软雅黑"/>
        <family val="2"/>
        <charset val="134"/>
      </rPr>
      <t>7、30、57号2-49</t>
    </r>
  </si>
  <si>
    <t>浙2017宁波市鄞州不动产权第0087323号</t>
  </si>
  <si>
    <r>
      <t>东都汇中心</t>
    </r>
    <r>
      <rPr>
        <sz val="12"/>
        <color indexed="8"/>
        <rFont val="微软雅黑"/>
        <family val="2"/>
        <charset val="134"/>
      </rPr>
      <t>7、30、57号2-50</t>
    </r>
  </si>
  <si>
    <t>浙2017宁波市鄞州不动产权第0087242号</t>
  </si>
  <si>
    <r>
      <t>东都汇中心</t>
    </r>
    <r>
      <rPr>
        <sz val="12"/>
        <color indexed="8"/>
        <rFont val="微软雅黑"/>
        <family val="2"/>
        <charset val="134"/>
      </rPr>
      <t>7、30、57号2-51</t>
    </r>
  </si>
  <si>
    <t>浙2017宁波市鄞州不动产权第0087149号</t>
  </si>
  <si>
    <r>
      <t>东都汇中心</t>
    </r>
    <r>
      <rPr>
        <sz val="12"/>
        <color indexed="8"/>
        <rFont val="微软雅黑"/>
        <family val="2"/>
        <charset val="134"/>
      </rPr>
      <t>7、30、57号2-52</t>
    </r>
  </si>
  <si>
    <t>浙2017宁波市鄞州不动产权第0087044号</t>
  </si>
  <si>
    <r>
      <t>东都汇中心</t>
    </r>
    <r>
      <rPr>
        <sz val="12"/>
        <color indexed="8"/>
        <rFont val="微软雅黑"/>
        <family val="2"/>
        <charset val="134"/>
      </rPr>
      <t>7、30、57号2-55</t>
    </r>
  </si>
  <si>
    <t>浙2017宁波市鄞州不动产权第0087150号</t>
  </si>
  <si>
    <r>
      <t>东都汇中心</t>
    </r>
    <r>
      <rPr>
        <sz val="12"/>
        <color indexed="8"/>
        <rFont val="微软雅黑"/>
        <family val="2"/>
        <charset val="134"/>
      </rPr>
      <t>7、30、57号2-57</t>
    </r>
  </si>
  <si>
    <t>浙2017宁波市鄞州不动产权第0087348号</t>
  </si>
  <si>
    <r>
      <t>东都汇中心</t>
    </r>
    <r>
      <rPr>
        <sz val="12"/>
        <color indexed="8"/>
        <rFont val="微软雅黑"/>
        <family val="2"/>
        <charset val="134"/>
      </rPr>
      <t>7、30、57号2-58</t>
    </r>
  </si>
  <si>
    <t>浙2017宁波市鄞州不动产权第0087082号</t>
  </si>
  <si>
    <r>
      <t>东都汇中心</t>
    </r>
    <r>
      <rPr>
        <sz val="12"/>
        <color indexed="8"/>
        <rFont val="微软雅黑"/>
        <family val="2"/>
        <charset val="134"/>
      </rPr>
      <t>7、30、57号2-59</t>
    </r>
  </si>
  <si>
    <t>浙2017宁波市鄞州不动产权第0087083号</t>
  </si>
  <si>
    <r>
      <t>东都汇中心</t>
    </r>
    <r>
      <rPr>
        <sz val="12"/>
        <color indexed="8"/>
        <rFont val="微软雅黑"/>
        <family val="2"/>
        <charset val="134"/>
      </rPr>
      <t>7、30、57号2-60</t>
    </r>
  </si>
  <si>
    <t>浙2017宁波市鄞州不动产权第0087123号</t>
  </si>
  <si>
    <r>
      <t>东都汇中心</t>
    </r>
    <r>
      <rPr>
        <sz val="12"/>
        <color indexed="8"/>
        <rFont val="微软雅黑"/>
        <family val="2"/>
        <charset val="134"/>
      </rPr>
      <t>7、30、57号2-62</t>
    </r>
  </si>
  <si>
    <t>浙2017宁波市鄞州不动产权第0087151号</t>
  </si>
  <si>
    <r>
      <t>东都汇中心</t>
    </r>
    <r>
      <rPr>
        <sz val="12"/>
        <color indexed="8"/>
        <rFont val="微软雅黑"/>
        <family val="2"/>
        <charset val="134"/>
      </rPr>
      <t>7、30、57号2-63</t>
    </r>
  </si>
  <si>
    <t>浙2017宁波市鄞州不动产权第0087289号</t>
  </si>
  <si>
    <r>
      <t>东都汇中心</t>
    </r>
    <r>
      <rPr>
        <sz val="12"/>
        <color indexed="8"/>
        <rFont val="微软雅黑"/>
        <family val="2"/>
        <charset val="134"/>
      </rPr>
      <t>7、30、57号2-64</t>
    </r>
  </si>
  <si>
    <t>浙2017宁波市鄞州不动产权第0087084号</t>
  </si>
  <si>
    <r>
      <t>东都汇中心</t>
    </r>
    <r>
      <rPr>
        <sz val="12"/>
        <color indexed="8"/>
        <rFont val="微软雅黑"/>
        <family val="2"/>
        <charset val="134"/>
      </rPr>
      <t>7、30、57号2-65</t>
    </r>
  </si>
  <si>
    <t>浙2017宁波市鄞州不动产权第0087124号</t>
  </si>
  <si>
    <r>
      <t>东都汇中心</t>
    </r>
    <r>
      <rPr>
        <sz val="12"/>
        <color indexed="8"/>
        <rFont val="微软雅黑"/>
        <family val="2"/>
        <charset val="134"/>
      </rPr>
      <t>7、30、57号2-66</t>
    </r>
  </si>
  <si>
    <t>浙2017宁波市鄞州不动产权第0087047号</t>
  </si>
  <si>
    <r>
      <t>东都汇中心</t>
    </r>
    <r>
      <rPr>
        <sz val="12"/>
        <color indexed="8"/>
        <rFont val="微软雅黑"/>
        <family val="2"/>
        <charset val="134"/>
      </rPr>
      <t>7、30、57号2-67</t>
    </r>
  </si>
  <si>
    <t>浙2017宁波市鄞州不动产权第0087267号</t>
  </si>
  <si>
    <r>
      <t>东都汇中心</t>
    </r>
    <r>
      <rPr>
        <sz val="12"/>
        <color indexed="8"/>
        <rFont val="微软雅黑"/>
        <family val="2"/>
        <charset val="134"/>
      </rPr>
      <t>7、30、57号2-68</t>
    </r>
  </si>
  <si>
    <t>浙2017宁波市鄞州不动产权第0087268号</t>
  </si>
  <si>
    <r>
      <t>东都汇中心</t>
    </r>
    <r>
      <rPr>
        <sz val="12"/>
        <color indexed="8"/>
        <rFont val="微软雅黑"/>
        <family val="2"/>
        <charset val="134"/>
      </rPr>
      <t>7、30、57号2-72</t>
    </r>
  </si>
  <si>
    <t>浙2017宁波市鄞州不动产权第0087244号</t>
  </si>
  <si>
    <r>
      <t>东都汇中心</t>
    </r>
    <r>
      <rPr>
        <sz val="12"/>
        <color indexed="8"/>
        <rFont val="微软雅黑"/>
        <family val="2"/>
        <charset val="134"/>
      </rPr>
      <t>7、30、57号2-73</t>
    </r>
  </si>
  <si>
    <t>浙2017宁波市鄞州不动产权第0087048号</t>
  </si>
  <si>
    <r>
      <t>东都汇中心</t>
    </r>
    <r>
      <rPr>
        <sz val="12"/>
        <color indexed="8"/>
        <rFont val="微软雅黑"/>
        <family val="2"/>
        <charset val="134"/>
      </rPr>
      <t>7、30、57号2-75</t>
    </r>
  </si>
  <si>
    <t>浙2017宁波市鄞州不动产权第0087049号</t>
  </si>
  <si>
    <r>
      <t>东都汇中心</t>
    </r>
    <r>
      <rPr>
        <sz val="12"/>
        <color indexed="8"/>
        <rFont val="微软雅黑"/>
        <family val="2"/>
        <charset val="134"/>
      </rPr>
      <t>7、30、57号2-76</t>
    </r>
  </si>
  <si>
    <t>浙2017宁波市鄞州不动产权第0087245号</t>
  </si>
  <si>
    <r>
      <t>东都汇中心</t>
    </r>
    <r>
      <rPr>
        <sz val="12"/>
        <color indexed="8"/>
        <rFont val="微软雅黑"/>
        <family val="2"/>
        <charset val="134"/>
      </rPr>
      <t>7、30、57号2-77</t>
    </r>
  </si>
  <si>
    <t>浙2017宁波市鄞州不动产权第0087050号</t>
  </si>
  <si>
    <r>
      <t>东都汇中心</t>
    </r>
    <r>
      <rPr>
        <sz val="12"/>
        <color indexed="8"/>
        <rFont val="微软雅黑"/>
        <family val="2"/>
        <charset val="134"/>
      </rPr>
      <t>7、30、57号2-79</t>
    </r>
  </si>
  <si>
    <t>浙2017宁波市鄞州不动产权第0087198号</t>
  </si>
  <si>
    <r>
      <t>东都汇中心</t>
    </r>
    <r>
      <rPr>
        <sz val="12"/>
        <color indexed="8"/>
        <rFont val="微软雅黑"/>
        <family val="2"/>
        <charset val="134"/>
      </rPr>
      <t>7、30、57号2-80</t>
    </r>
  </si>
  <si>
    <t>浙2017宁波市鄞州不动产权第0087326号</t>
  </si>
  <si>
    <r>
      <t>东都汇中心</t>
    </r>
    <r>
      <rPr>
        <sz val="12"/>
        <color indexed="8"/>
        <rFont val="微软雅黑"/>
        <family val="2"/>
        <charset val="134"/>
      </rPr>
      <t>7、30、57号2-81</t>
    </r>
  </si>
  <si>
    <t>浙2017宁波市鄞州不动产权第0087199号</t>
  </si>
  <si>
    <r>
      <t>东都汇中心</t>
    </r>
    <r>
      <rPr>
        <sz val="12"/>
        <color indexed="8"/>
        <rFont val="微软雅黑"/>
        <family val="2"/>
        <charset val="134"/>
      </rPr>
      <t>7、30、57号2-82</t>
    </r>
  </si>
  <si>
    <t>浙2017宁波市鄞州不动产权第0087327号</t>
  </si>
  <si>
    <r>
      <t>东都汇中心</t>
    </r>
    <r>
      <rPr>
        <sz val="12"/>
        <color indexed="8"/>
        <rFont val="微软雅黑"/>
        <family val="2"/>
        <charset val="134"/>
      </rPr>
      <t>7、30、57号2-83</t>
    </r>
  </si>
  <si>
    <t>浙2017宁波市鄞州不动产权第0087153号</t>
  </si>
  <si>
    <r>
      <t>东都汇中心</t>
    </r>
    <r>
      <rPr>
        <sz val="12"/>
        <color indexed="8"/>
        <rFont val="微软雅黑"/>
        <family val="2"/>
        <charset val="134"/>
      </rPr>
      <t>7、30、57号2-88</t>
    </r>
  </si>
  <si>
    <t>浙2017宁波市鄞州不动产权第0087329号</t>
  </si>
  <si>
    <r>
      <t>东都汇中心</t>
    </r>
    <r>
      <rPr>
        <sz val="12"/>
        <color indexed="8"/>
        <rFont val="微软雅黑"/>
        <family val="2"/>
        <charset val="134"/>
      </rPr>
      <t>7、30、57号2-91</t>
    </r>
  </si>
  <si>
    <t>浙2017宁波市鄞州不动产权第0087154号</t>
  </si>
  <si>
    <r>
      <t>东都汇中心</t>
    </r>
    <r>
      <rPr>
        <sz val="12"/>
        <color indexed="8"/>
        <rFont val="微软雅黑"/>
        <family val="2"/>
        <charset val="134"/>
      </rPr>
      <t>7、30、57号2-92</t>
    </r>
  </si>
  <si>
    <t>浙2017宁波市鄞州不动产权第0087290号</t>
  </si>
  <si>
    <r>
      <t>东都汇中心</t>
    </r>
    <r>
      <rPr>
        <sz val="12"/>
        <color indexed="8"/>
        <rFont val="微软雅黑"/>
        <family val="2"/>
        <charset val="134"/>
      </rPr>
      <t>7、30、57号2-93</t>
    </r>
  </si>
  <si>
    <t>浙2017宁波市鄞州不动产权第0087291号</t>
  </si>
  <si>
    <r>
      <t>东都汇中心</t>
    </r>
    <r>
      <rPr>
        <sz val="12"/>
        <color indexed="8"/>
        <rFont val="微软雅黑"/>
        <family val="2"/>
        <charset val="134"/>
      </rPr>
      <t>7、30、57号2-94</t>
    </r>
  </si>
  <si>
    <t>浙2017宁波市鄞州不动产权第0087052号</t>
  </si>
  <si>
    <r>
      <t>东都汇中心</t>
    </r>
    <r>
      <rPr>
        <sz val="12"/>
        <color indexed="8"/>
        <rFont val="微软雅黑"/>
        <family val="2"/>
        <charset val="134"/>
      </rPr>
      <t>7、30、57号2-95</t>
    </r>
  </si>
  <si>
    <t>浙2017宁波市鄞州不动产权第0087053号</t>
  </si>
  <si>
    <r>
      <t>东都汇中心</t>
    </r>
    <r>
      <rPr>
        <sz val="12"/>
        <color indexed="8"/>
        <rFont val="微软雅黑"/>
        <family val="2"/>
        <charset val="134"/>
      </rPr>
      <t>7、30、57号2-96</t>
    </r>
  </si>
  <si>
    <t>浙2017宁波市鄞州不动产权第0087155号</t>
  </si>
  <si>
    <r>
      <t>东都汇中心</t>
    </r>
    <r>
      <rPr>
        <sz val="12"/>
        <color indexed="8"/>
        <rFont val="微软雅黑"/>
        <family val="2"/>
        <charset val="134"/>
      </rPr>
      <t>7、30、57号2-97</t>
    </r>
  </si>
  <si>
    <t>浙2017宁波市鄞州不动产权第0087292号</t>
  </si>
  <si>
    <r>
      <t>东都汇中心</t>
    </r>
    <r>
      <rPr>
        <sz val="12"/>
        <color indexed="8"/>
        <rFont val="微软雅黑"/>
        <family val="2"/>
        <charset val="134"/>
      </rPr>
      <t>7、30、57号2-98</t>
    </r>
  </si>
  <si>
    <t>浙2017宁波市鄞州不动产权第0087156号</t>
  </si>
  <si>
    <r>
      <t>东都汇中心</t>
    </r>
    <r>
      <rPr>
        <sz val="12"/>
        <color indexed="8"/>
        <rFont val="微软雅黑"/>
        <family val="2"/>
        <charset val="134"/>
      </rPr>
      <t>7、30、57号2-99</t>
    </r>
  </si>
  <si>
    <t>浙2017宁波市鄞州不动产权第0087054号</t>
  </si>
  <si>
    <t>浙2017宁波市鄞州不动产权第0087194号</t>
  </si>
  <si>
    <t>浙2017宁波市鄞州不动产权第0087285号</t>
  </si>
  <si>
    <r>
      <t>东都汇中心</t>
    </r>
    <r>
      <rPr>
        <sz val="12"/>
        <color indexed="8"/>
        <rFont val="微软雅黑"/>
        <family val="2"/>
        <charset val="134"/>
      </rPr>
      <t>7、30、57号2-104</t>
    </r>
  </si>
  <si>
    <t>浙2017宁波市鄞州不动产权第0087145号</t>
  </si>
  <si>
    <r>
      <t>东都汇中心</t>
    </r>
    <r>
      <rPr>
        <sz val="12"/>
        <color indexed="8"/>
        <rFont val="微软雅黑"/>
        <family val="2"/>
        <charset val="134"/>
      </rPr>
      <t>7、30、57号2-105</t>
    </r>
  </si>
  <si>
    <t>浙2017宁波市鄞州不动产权第0087318号</t>
  </si>
  <si>
    <r>
      <t>东都汇中心</t>
    </r>
    <r>
      <rPr>
        <sz val="12"/>
        <color indexed="8"/>
        <rFont val="微软雅黑"/>
        <family val="2"/>
        <charset val="134"/>
      </rPr>
      <t>7、30、57号2-106</t>
    </r>
  </si>
  <si>
    <t>浙2017宁波市鄞州不动产权第0087363号</t>
  </si>
  <si>
    <r>
      <t>东都汇中心</t>
    </r>
    <r>
      <rPr>
        <sz val="12"/>
        <color indexed="8"/>
        <rFont val="微软雅黑"/>
        <family val="2"/>
        <charset val="134"/>
      </rPr>
      <t>7、30、57号2-107</t>
    </r>
  </si>
  <si>
    <t>浙2017宁波市鄞州不动产权第0087286号</t>
  </si>
  <si>
    <r>
      <t>东都汇中心</t>
    </r>
    <r>
      <rPr>
        <sz val="12"/>
        <color indexed="8"/>
        <rFont val="微软雅黑"/>
        <family val="2"/>
        <charset val="134"/>
      </rPr>
      <t>7、30、57号3-1</t>
    </r>
  </si>
  <si>
    <t>浙2017宁波市鄞州不动产权第0087055号</t>
  </si>
  <si>
    <r>
      <t>东都汇中心</t>
    </r>
    <r>
      <rPr>
        <sz val="12"/>
        <color indexed="8"/>
        <rFont val="微软雅黑"/>
        <family val="2"/>
        <charset val="134"/>
      </rPr>
      <t>7、30、57号3-2</t>
    </r>
  </si>
  <si>
    <t>浙2017宁波市鄞州不动产权第0087160号</t>
  </si>
  <si>
    <r>
      <t>东都汇中心</t>
    </r>
    <r>
      <rPr>
        <sz val="12"/>
        <color indexed="8"/>
        <rFont val="微软雅黑"/>
        <family val="2"/>
        <charset val="134"/>
      </rPr>
      <t>7、30、57号3-3</t>
    </r>
  </si>
  <si>
    <t>浙2017宁波市鄞州不动产权第0087104号</t>
  </si>
  <si>
    <r>
      <t>东都汇中心</t>
    </r>
    <r>
      <rPr>
        <sz val="12"/>
        <color indexed="8"/>
        <rFont val="微软雅黑"/>
        <family val="2"/>
        <charset val="134"/>
      </rPr>
      <t>7、30、57号3-4</t>
    </r>
  </si>
  <si>
    <t>浙2017宁波市鄞州不动产权第0087091号</t>
  </si>
  <si>
    <r>
      <t>东都汇中心</t>
    </r>
    <r>
      <rPr>
        <sz val="12"/>
        <color indexed="8"/>
        <rFont val="微软雅黑"/>
        <family val="2"/>
        <charset val="134"/>
      </rPr>
      <t>7、30、57号3-5</t>
    </r>
  </si>
  <si>
    <t>浙2017宁波市鄞州不动产权第0087027号</t>
  </si>
  <si>
    <r>
      <t>东都汇中心</t>
    </r>
    <r>
      <rPr>
        <sz val="12"/>
        <color indexed="8"/>
        <rFont val="微软雅黑"/>
        <family val="2"/>
        <charset val="134"/>
      </rPr>
      <t>7、30、57号3-6</t>
    </r>
  </si>
  <si>
    <t>浙2017宁波市鄞州不动产权第0087207号</t>
  </si>
  <si>
    <r>
      <t>东都汇中心</t>
    </r>
    <r>
      <rPr>
        <sz val="12"/>
        <color indexed="8"/>
        <rFont val="微软雅黑"/>
        <family val="2"/>
        <charset val="134"/>
      </rPr>
      <t>7、30、57号3-7</t>
    </r>
  </si>
  <si>
    <t>浙2017宁波市鄞州不动产权第0087296号</t>
  </si>
  <si>
    <r>
      <t>东都汇中心</t>
    </r>
    <r>
      <rPr>
        <sz val="12"/>
        <color indexed="8"/>
        <rFont val="微软雅黑"/>
        <family val="2"/>
        <charset val="134"/>
      </rPr>
      <t>7、30、57号3-8</t>
    </r>
  </si>
  <si>
    <t>浙2017宁波市鄞州不动产权第0087167号</t>
  </si>
  <si>
    <r>
      <t>东都汇中心</t>
    </r>
    <r>
      <rPr>
        <sz val="12"/>
        <color indexed="8"/>
        <rFont val="微软雅黑"/>
        <family val="2"/>
        <charset val="134"/>
      </rPr>
      <t>7、30、57号3-9</t>
    </r>
  </si>
  <si>
    <t>浙2017宁波市鄞州不动产权第0087120号</t>
  </si>
  <si>
    <r>
      <t>东都汇中心</t>
    </r>
    <r>
      <rPr>
        <sz val="12"/>
        <color indexed="8"/>
        <rFont val="微软雅黑"/>
        <family val="2"/>
        <charset val="134"/>
      </rPr>
      <t>7、30、57号3-10</t>
    </r>
  </si>
  <si>
    <t>浙2017宁波市鄞州不动产权第0087125号</t>
  </si>
  <si>
    <r>
      <t>东都汇中心</t>
    </r>
    <r>
      <rPr>
        <sz val="12"/>
        <color indexed="8"/>
        <rFont val="微软雅黑"/>
        <family val="2"/>
        <charset val="134"/>
      </rPr>
      <t>7、30、57号3-11</t>
    </r>
  </si>
  <si>
    <t>浙2017宁波市鄞州不动产权第0087126号</t>
  </si>
  <si>
    <r>
      <t>东都汇中心</t>
    </r>
    <r>
      <rPr>
        <sz val="12"/>
        <color indexed="8"/>
        <rFont val="微软雅黑"/>
        <family val="2"/>
        <charset val="134"/>
      </rPr>
      <t>7、30、57号3-12</t>
    </r>
  </si>
  <si>
    <t>浙2017宁波市鄞州不动产权第0087202号</t>
  </si>
  <si>
    <r>
      <t>东都汇中心</t>
    </r>
    <r>
      <rPr>
        <sz val="12"/>
        <color indexed="8"/>
        <rFont val="微软雅黑"/>
        <family val="2"/>
        <charset val="134"/>
      </rPr>
      <t>7、30、57号3-13</t>
    </r>
  </si>
  <si>
    <t>浙2017宁波市鄞州不动产权第0087127号</t>
  </si>
  <si>
    <r>
      <t>东都汇中心</t>
    </r>
    <r>
      <rPr>
        <sz val="12"/>
        <color indexed="8"/>
        <rFont val="微软雅黑"/>
        <family val="2"/>
        <charset val="134"/>
      </rPr>
      <t>7、30、57号3-14</t>
    </r>
  </si>
  <si>
    <t>浙2017宁波市鄞州不动产权第0087333号</t>
  </si>
  <si>
    <r>
      <t>东都汇中心</t>
    </r>
    <r>
      <rPr>
        <sz val="12"/>
        <color indexed="8"/>
        <rFont val="微软雅黑"/>
        <family val="2"/>
        <charset val="134"/>
      </rPr>
      <t>7、30、57号3-15</t>
    </r>
  </si>
  <si>
    <t>浙2017宁波市鄞州不动产权第0087159号</t>
  </si>
  <si>
    <r>
      <t>东都汇中心</t>
    </r>
    <r>
      <rPr>
        <sz val="12"/>
        <color indexed="8"/>
        <rFont val="微软雅黑"/>
        <family val="2"/>
        <charset val="134"/>
      </rPr>
      <t>7、30、57号3-16</t>
    </r>
  </si>
  <si>
    <t>浙2017宁波市鄞州不动产权第0087089号</t>
  </si>
  <si>
    <r>
      <t>东都汇中心</t>
    </r>
    <r>
      <rPr>
        <sz val="12"/>
        <color indexed="8"/>
        <rFont val="微软雅黑"/>
        <family val="2"/>
        <charset val="134"/>
      </rPr>
      <t>7、30、57号3-17</t>
    </r>
  </si>
  <si>
    <t>浙2017宁波市鄞州不动产权第0087099号</t>
  </si>
  <si>
    <r>
      <t>东都汇中心</t>
    </r>
    <r>
      <rPr>
        <sz val="12"/>
        <color indexed="8"/>
        <rFont val="微软雅黑"/>
        <family val="2"/>
        <charset val="134"/>
      </rPr>
      <t>7、30、57号3-18</t>
    </r>
  </si>
  <si>
    <t>浙2017宁波市鄞州不动产权第0087090号</t>
  </si>
  <si>
    <r>
      <t>东都汇中心</t>
    </r>
    <r>
      <rPr>
        <sz val="12"/>
        <color indexed="8"/>
        <rFont val="微软雅黑"/>
        <family val="2"/>
        <charset val="134"/>
      </rPr>
      <t>7、30、57号3-19</t>
    </r>
  </si>
  <si>
    <t>浙2017宁波市鄞州不动产权第0087100号</t>
  </si>
  <si>
    <r>
      <t>东都汇中心</t>
    </r>
    <r>
      <rPr>
        <sz val="12"/>
        <color indexed="8"/>
        <rFont val="微软雅黑"/>
        <family val="2"/>
        <charset val="134"/>
      </rPr>
      <t>7、30、57号3-20</t>
    </r>
  </si>
  <si>
    <t>浙2017宁波市鄞州不动产权第0087293号</t>
  </si>
  <si>
    <r>
      <t>东都汇中心</t>
    </r>
    <r>
      <rPr>
        <sz val="12"/>
        <color indexed="8"/>
        <rFont val="微软雅黑"/>
        <family val="2"/>
        <charset val="134"/>
      </rPr>
      <t>7、30、57号3-21</t>
    </r>
  </si>
  <si>
    <t>浙2017宁波市鄞州不动产权第0087203号</t>
  </si>
  <si>
    <r>
      <t>东都汇中心</t>
    </r>
    <r>
      <rPr>
        <sz val="12"/>
        <color indexed="8"/>
        <rFont val="微软雅黑"/>
        <family val="2"/>
        <charset val="134"/>
      </rPr>
      <t>7、30、57号3-22</t>
    </r>
  </si>
  <si>
    <t>浙2017宁波市鄞州不动产权第0087101号</t>
  </si>
  <si>
    <r>
      <t>东都汇中心</t>
    </r>
    <r>
      <rPr>
        <sz val="12"/>
        <color indexed="8"/>
        <rFont val="微软雅黑"/>
        <family val="2"/>
        <charset val="134"/>
      </rPr>
      <t>7、30、57号3-23</t>
    </r>
  </si>
  <si>
    <t>浙2017宁波市鄞州不动产权第0087022号</t>
  </si>
  <si>
    <r>
      <t>东都汇中心</t>
    </r>
    <r>
      <rPr>
        <sz val="12"/>
        <color indexed="8"/>
        <rFont val="微软雅黑"/>
        <family val="2"/>
        <charset val="134"/>
      </rPr>
      <t>7、30、57号3-25</t>
    </r>
  </si>
  <si>
    <t>浙2017宁波市鄞州不动产权第0087103号</t>
  </si>
  <si>
    <r>
      <t>东都汇中心</t>
    </r>
    <r>
      <rPr>
        <sz val="12"/>
        <color indexed="8"/>
        <rFont val="微软雅黑"/>
        <family val="2"/>
        <charset val="134"/>
      </rPr>
      <t>7、30、57号3-26</t>
    </r>
  </si>
  <si>
    <t>浙2017宁波市鄞州不动产权第0087092号</t>
  </si>
  <si>
    <r>
      <t>东都汇中心</t>
    </r>
    <r>
      <rPr>
        <sz val="12"/>
        <color indexed="8"/>
        <rFont val="微软雅黑"/>
        <family val="2"/>
        <charset val="134"/>
      </rPr>
      <t>7、30、57号3-27</t>
    </r>
  </si>
  <si>
    <t>浙2017宁波市鄞州不动产权第0087023号</t>
  </si>
  <si>
    <r>
      <t>东都汇中心</t>
    </r>
    <r>
      <rPr>
        <sz val="12"/>
        <color indexed="8"/>
        <rFont val="微软雅黑"/>
        <family val="2"/>
        <charset val="134"/>
      </rPr>
      <t>7、30、57号3-28</t>
    </r>
  </si>
  <si>
    <t>浙2017宁波市鄞州不动产权第0087248号</t>
  </si>
  <si>
    <r>
      <t>东都汇中心</t>
    </r>
    <r>
      <rPr>
        <sz val="12"/>
        <color indexed="8"/>
        <rFont val="微软雅黑"/>
        <family val="2"/>
        <charset val="134"/>
      </rPr>
      <t>7、30、57号3-29</t>
    </r>
  </si>
  <si>
    <t>浙2017宁波市鄞州不动产权第0087024号</t>
  </si>
  <si>
    <r>
      <t>东都汇中心</t>
    </r>
    <r>
      <rPr>
        <sz val="12"/>
        <color indexed="8"/>
        <rFont val="微软雅黑"/>
        <family val="2"/>
        <charset val="134"/>
      </rPr>
      <t>7、30、57号3-30</t>
    </r>
  </si>
  <si>
    <t>浙2017宁波市鄞州不动产权第0087105号</t>
  </si>
  <si>
    <r>
      <t>东都汇中心</t>
    </r>
    <r>
      <rPr>
        <sz val="12"/>
        <color indexed="8"/>
        <rFont val="微软雅黑"/>
        <family val="2"/>
        <charset val="134"/>
      </rPr>
      <t>7、30、57号3-31</t>
    </r>
  </si>
  <si>
    <t>浙2017宁波市鄞州不动产权第0087025号</t>
  </si>
  <si>
    <r>
      <t>东都汇中心</t>
    </r>
    <r>
      <rPr>
        <sz val="12"/>
        <color indexed="8"/>
        <rFont val="微软雅黑"/>
        <family val="2"/>
        <charset val="134"/>
      </rPr>
      <t>7、30、57号3-32</t>
    </r>
  </si>
  <si>
    <t>浙2017宁波市鄞州不动产权第0087334号</t>
  </si>
  <si>
    <r>
      <t>东都汇中心</t>
    </r>
    <r>
      <rPr>
        <sz val="12"/>
        <color indexed="8"/>
        <rFont val="微软雅黑"/>
        <family val="2"/>
        <charset val="134"/>
      </rPr>
      <t>7、30、57号3-33</t>
    </r>
  </si>
  <si>
    <t>浙2017宁波市鄞州不动产权第0087106号</t>
  </si>
  <si>
    <r>
      <t>东都汇中心</t>
    </r>
    <r>
      <rPr>
        <sz val="12"/>
        <color indexed="8"/>
        <rFont val="微软雅黑"/>
        <family val="2"/>
        <charset val="134"/>
      </rPr>
      <t>7、30、57号3-34</t>
    </r>
  </si>
  <si>
    <t>浙2017宁波市鄞州不动产权第0087107号</t>
  </si>
  <si>
    <r>
      <t>东都汇中心</t>
    </r>
    <r>
      <rPr>
        <sz val="12"/>
        <color indexed="8"/>
        <rFont val="微软雅黑"/>
        <family val="2"/>
        <charset val="134"/>
      </rPr>
      <t>7、30、57号3-36</t>
    </r>
  </si>
  <si>
    <t>浙2017宁波市鄞州不动产权第0087335号</t>
  </si>
  <si>
    <r>
      <t>东都汇中心</t>
    </r>
    <r>
      <rPr>
        <sz val="12"/>
        <color indexed="8"/>
        <rFont val="微软雅黑"/>
        <family val="2"/>
        <charset val="134"/>
      </rPr>
      <t>7、30、57号3-37</t>
    </r>
  </si>
  <si>
    <t>浙2017宁波市鄞州不动产权第0087161号</t>
  </si>
  <si>
    <r>
      <t>东都汇中心</t>
    </r>
    <r>
      <rPr>
        <sz val="12"/>
        <color indexed="8"/>
        <rFont val="微软雅黑"/>
        <family val="2"/>
        <charset val="134"/>
      </rPr>
      <t>7、30、57号3-38</t>
    </r>
  </si>
  <si>
    <t>浙2017宁波市鄞州不动产权第0087109号</t>
  </si>
  <si>
    <r>
      <t>东都汇中心</t>
    </r>
    <r>
      <rPr>
        <sz val="12"/>
        <color indexed="8"/>
        <rFont val="微软雅黑"/>
        <family val="2"/>
        <charset val="134"/>
      </rPr>
      <t>7、30、57号3-39</t>
    </r>
  </si>
  <si>
    <t>浙2017宁波市鄞州不动产权第0087204号</t>
  </si>
  <si>
    <r>
      <t>东都汇中心</t>
    </r>
    <r>
      <rPr>
        <sz val="12"/>
        <color indexed="8"/>
        <rFont val="微软雅黑"/>
        <family val="2"/>
        <charset val="134"/>
      </rPr>
      <t>7、30、57号3-40</t>
    </r>
  </si>
  <si>
    <t>浙2017宁波市鄞州不动产权第0087026号</t>
  </si>
  <si>
    <r>
      <t>东都汇中心</t>
    </r>
    <r>
      <rPr>
        <sz val="12"/>
        <color indexed="8"/>
        <rFont val="微软雅黑"/>
        <family val="2"/>
        <charset val="134"/>
      </rPr>
      <t>7、30、57号3-41</t>
    </r>
  </si>
  <si>
    <t>浙2017宁波市鄞州不动产权第0087162号</t>
  </si>
  <si>
    <r>
      <t>东都汇中心</t>
    </r>
    <r>
      <rPr>
        <sz val="12"/>
        <color indexed="8"/>
        <rFont val="微软雅黑"/>
        <family val="2"/>
        <charset val="134"/>
      </rPr>
      <t>7、30、57号3-42</t>
    </r>
  </si>
  <si>
    <t>浙2017宁波市鄞州不动产权第0087249号</t>
  </si>
  <si>
    <r>
      <t>东都汇中心</t>
    </r>
    <r>
      <rPr>
        <sz val="12"/>
        <color indexed="8"/>
        <rFont val="微软雅黑"/>
        <family val="2"/>
        <charset val="134"/>
      </rPr>
      <t>7、30、57号3-44</t>
    </r>
  </si>
  <si>
    <t>浙2017宁波市鄞州不动产权第0087110号</t>
  </si>
  <si>
    <r>
      <t>东都汇中心</t>
    </r>
    <r>
      <rPr>
        <sz val="12"/>
        <color indexed="8"/>
        <rFont val="微软雅黑"/>
        <family val="2"/>
        <charset val="134"/>
      </rPr>
      <t>7、30、57号3-45</t>
    </r>
  </si>
  <si>
    <t>浙2017宁波市鄞州不动产权第0087205号</t>
  </si>
  <si>
    <r>
      <t>东都汇中心</t>
    </r>
    <r>
      <rPr>
        <sz val="12"/>
        <color indexed="8"/>
        <rFont val="微软雅黑"/>
        <family val="2"/>
        <charset val="134"/>
      </rPr>
      <t>7、30、57号3-46</t>
    </r>
  </si>
  <si>
    <t>浙2017宁波市鄞州不动产权第0087294号</t>
  </si>
  <si>
    <r>
      <t>东都汇中心</t>
    </r>
    <r>
      <rPr>
        <sz val="12"/>
        <color indexed="8"/>
        <rFont val="微软雅黑"/>
        <family val="2"/>
        <charset val="134"/>
      </rPr>
      <t>7、30、57号3-47</t>
    </r>
  </si>
  <si>
    <t>浙2017宁波市鄞州不动产权第0087111号</t>
  </si>
  <si>
    <r>
      <t>东都汇中心</t>
    </r>
    <r>
      <rPr>
        <sz val="12"/>
        <color indexed="8"/>
        <rFont val="微软雅黑"/>
        <family val="2"/>
        <charset val="134"/>
      </rPr>
      <t>7、30、57号3-48</t>
    </r>
  </si>
  <si>
    <t>浙2017宁波市鄞州不动产权第0087337号</t>
  </si>
  <si>
    <r>
      <t>东都汇中心</t>
    </r>
    <r>
      <rPr>
        <sz val="12"/>
        <color indexed="8"/>
        <rFont val="微软雅黑"/>
        <family val="2"/>
        <charset val="134"/>
      </rPr>
      <t>7、30、57号3-49</t>
    </r>
  </si>
  <si>
    <t>浙2017宁波市鄞州不动产权第0087250号</t>
  </si>
  <si>
    <r>
      <t>东都汇中心</t>
    </r>
    <r>
      <rPr>
        <sz val="12"/>
        <color indexed="8"/>
        <rFont val="微软雅黑"/>
        <family val="2"/>
        <charset val="134"/>
      </rPr>
      <t>7、30、57号3-51</t>
    </r>
  </si>
  <si>
    <t>浙2017宁波市鄞州不动产权第0087251号</t>
  </si>
  <si>
    <r>
      <t>东都汇中心</t>
    </r>
    <r>
      <rPr>
        <sz val="12"/>
        <color indexed="8"/>
        <rFont val="微软雅黑"/>
        <family val="2"/>
        <charset val="134"/>
      </rPr>
      <t>7、30、57号3-52</t>
    </r>
  </si>
  <si>
    <t>浙2017宁波市鄞州不动产权第0087206号</t>
  </si>
  <si>
    <r>
      <t>东都汇中心</t>
    </r>
    <r>
      <rPr>
        <sz val="12"/>
        <color indexed="8"/>
        <rFont val="微软雅黑"/>
        <family val="2"/>
        <charset val="134"/>
      </rPr>
      <t>7、30、57号3-60</t>
    </r>
  </si>
  <si>
    <t>浙2017宁波市鄞州不动产权第0087166号</t>
  </si>
  <si>
    <r>
      <t>东都汇中心</t>
    </r>
    <r>
      <rPr>
        <sz val="12"/>
        <color indexed="8"/>
        <rFont val="微软雅黑"/>
        <family val="2"/>
        <charset val="134"/>
      </rPr>
      <t>7、30、57号3-61</t>
    </r>
  </si>
  <si>
    <t>浙2017宁波市鄞州不动产权第0087113号</t>
  </si>
  <si>
    <r>
      <t>东都汇中心</t>
    </r>
    <r>
      <rPr>
        <sz val="12"/>
        <color indexed="8"/>
        <rFont val="微软雅黑"/>
        <family val="2"/>
        <charset val="134"/>
      </rPr>
      <t>7、30、57号3-62</t>
    </r>
  </si>
  <si>
    <t>浙2017宁波市鄞州不动产权第0087114号</t>
  </si>
  <si>
    <r>
      <t>东都汇中心</t>
    </r>
    <r>
      <rPr>
        <sz val="12"/>
        <color indexed="8"/>
        <rFont val="微软雅黑"/>
        <family val="2"/>
        <charset val="134"/>
      </rPr>
      <t>7、30、57号3-64</t>
    </r>
  </si>
  <si>
    <t>浙2017宁波市鄞州不动产权第0087115号</t>
  </si>
  <si>
    <r>
      <t>东都汇中心</t>
    </r>
    <r>
      <rPr>
        <sz val="12"/>
        <color indexed="8"/>
        <rFont val="微软雅黑"/>
        <family val="2"/>
        <charset val="134"/>
      </rPr>
      <t>7、30、57号3-65</t>
    </r>
  </si>
  <si>
    <t>浙2017宁波市鄞州不动产权第0087253号</t>
  </si>
  <si>
    <r>
      <t>东都汇中心</t>
    </r>
    <r>
      <rPr>
        <sz val="12"/>
        <color indexed="8"/>
        <rFont val="微软雅黑"/>
        <family val="2"/>
        <charset val="134"/>
      </rPr>
      <t>7、30、57号3-69</t>
    </r>
  </si>
  <si>
    <t>浙2017宁波市鄞州不动产权第0087295号</t>
  </si>
  <si>
    <r>
      <t>东都汇中心</t>
    </r>
    <r>
      <rPr>
        <sz val="12"/>
        <color indexed="8"/>
        <rFont val="微软雅黑"/>
        <family val="2"/>
        <charset val="134"/>
      </rPr>
      <t>7、30、57号3-70</t>
    </r>
  </si>
  <si>
    <t>浙2017宁波市鄞州不动产权第0087254号</t>
  </si>
  <si>
    <r>
      <t>东都汇中心</t>
    </r>
    <r>
      <rPr>
        <sz val="12"/>
        <color indexed="8"/>
        <rFont val="微软雅黑"/>
        <family val="2"/>
        <charset val="134"/>
      </rPr>
      <t>7、30、57号3-71</t>
    </r>
  </si>
  <si>
    <t>浙2017宁波市鄞州不动产权第0087340号</t>
  </si>
  <si>
    <r>
      <t>东都汇中心</t>
    </r>
    <r>
      <rPr>
        <sz val="12"/>
        <color indexed="8"/>
        <rFont val="微软雅黑"/>
        <family val="2"/>
        <charset val="134"/>
      </rPr>
      <t>7、30、57号3-72</t>
    </r>
  </si>
  <si>
    <t>浙2017宁波市鄞州不动产权第0087209号</t>
  </si>
  <si>
    <r>
      <t>东都汇中心</t>
    </r>
    <r>
      <rPr>
        <sz val="12"/>
        <color indexed="8"/>
        <rFont val="微软雅黑"/>
        <family val="2"/>
        <charset val="134"/>
      </rPr>
      <t>7、30、57号3-77</t>
    </r>
  </si>
  <si>
    <t>浙2017宁波市鄞州不动产权第0087095号</t>
  </si>
  <si>
    <r>
      <t>东都汇中心</t>
    </r>
    <r>
      <rPr>
        <sz val="12"/>
        <color indexed="8"/>
        <rFont val="微软雅黑"/>
        <family val="2"/>
        <charset val="134"/>
      </rPr>
      <t>7、30、57号3-78</t>
    </r>
  </si>
  <si>
    <t>浙2017宁波市鄞州不动产权第0087118号</t>
  </si>
  <si>
    <r>
      <t>东都汇中心</t>
    </r>
    <r>
      <rPr>
        <sz val="12"/>
        <color indexed="8"/>
        <rFont val="微软雅黑"/>
        <family val="2"/>
        <charset val="134"/>
      </rPr>
      <t>7、30、57号3-79</t>
    </r>
  </si>
  <si>
    <t>浙2017宁波市鄞州不动产权第0087256号</t>
  </si>
  <si>
    <r>
      <t>东都汇中心</t>
    </r>
    <r>
      <rPr>
        <sz val="12"/>
        <color indexed="8"/>
        <rFont val="微软雅黑"/>
        <family val="2"/>
        <charset val="134"/>
      </rPr>
      <t>7、30、57号3-86</t>
    </r>
  </si>
  <si>
    <t>浙2017宁波市鄞州不动产权第0087342号</t>
  </si>
  <si>
    <r>
      <t>东都汇中心</t>
    </r>
    <r>
      <rPr>
        <sz val="12"/>
        <color indexed="8"/>
        <rFont val="微软雅黑"/>
        <family val="2"/>
        <charset val="134"/>
      </rPr>
      <t>7、30、57号3-92</t>
    </r>
  </si>
  <si>
    <t>浙2017宁波市鄞州不动产权第0087172号</t>
  </si>
  <si>
    <r>
      <t>东都汇中心</t>
    </r>
    <r>
      <rPr>
        <sz val="12"/>
        <color indexed="8"/>
        <rFont val="微软雅黑"/>
        <family val="2"/>
        <charset val="134"/>
      </rPr>
      <t>7、30、57号3-94</t>
    </r>
  </si>
  <si>
    <t>浙2017宁波市鄞州不动产权第0087121号</t>
  </si>
  <si>
    <r>
      <t>东都汇中心</t>
    </r>
    <r>
      <rPr>
        <sz val="12"/>
        <color indexed="8"/>
        <rFont val="微软雅黑"/>
        <family val="2"/>
        <charset val="134"/>
      </rPr>
      <t>7、30、57号3-95</t>
    </r>
  </si>
  <si>
    <t>浙2017宁波市鄞州不动产权第0087057号</t>
  </si>
  <si>
    <r>
      <t>东都汇中心</t>
    </r>
    <r>
      <rPr>
        <sz val="12"/>
        <color indexed="8"/>
        <rFont val="微软雅黑"/>
        <family val="2"/>
        <charset val="134"/>
      </rPr>
      <t>7、30、57号3-96</t>
    </r>
  </si>
  <si>
    <t>浙2017宁波市鄞州不动产权第0087258号</t>
  </si>
  <si>
    <r>
      <t>东都汇中心</t>
    </r>
    <r>
      <rPr>
        <sz val="12"/>
        <color indexed="8"/>
        <rFont val="微软雅黑"/>
        <family val="2"/>
        <charset val="134"/>
      </rPr>
      <t>7、30、57号3-97</t>
    </r>
  </si>
  <si>
    <t>浙2017宁波市鄞州不动产权第0087173号</t>
  </si>
  <si>
    <t>浙2017宁波市鄞州不动产权第0087331号</t>
  </si>
  <si>
    <t>浙2017宁波市鄞州不动产权第0087087号</t>
  </si>
  <si>
    <t>浙2017宁波市鄞州不动产权第0087088号</t>
  </si>
  <si>
    <t>浙2017宁波市鄞州不动产权第0087302号</t>
  </si>
  <si>
    <r>
      <t>东都汇中心</t>
    </r>
    <r>
      <rPr>
        <sz val="12"/>
        <color indexed="8"/>
        <rFont val="微软雅黑"/>
        <family val="2"/>
        <charset val="134"/>
      </rPr>
      <t>7、30、57号4-3</t>
    </r>
  </si>
  <si>
    <t>浙2017宁波市鄞州不动产权第0087217号</t>
  </si>
  <si>
    <r>
      <t>东都汇中心</t>
    </r>
    <r>
      <rPr>
        <sz val="12"/>
        <color indexed="8"/>
        <rFont val="微软雅黑"/>
        <family val="2"/>
        <charset val="134"/>
      </rPr>
      <t>7、30、57号4-4</t>
    </r>
  </si>
  <si>
    <t>浙2017宁波市鄞州不动产权第0087177号</t>
  </si>
  <si>
    <r>
      <t>东都汇中心</t>
    </r>
    <r>
      <rPr>
        <sz val="12"/>
        <color indexed="8"/>
        <rFont val="微软雅黑"/>
        <family val="2"/>
        <charset val="134"/>
      </rPr>
      <t>7、30、57号4-5</t>
    </r>
  </si>
  <si>
    <t>浙2017宁波市鄞州不动产权第0087029号</t>
  </si>
  <si>
    <r>
      <t>东都汇中心</t>
    </r>
    <r>
      <rPr>
        <sz val="12"/>
        <color indexed="8"/>
        <rFont val="微软雅黑"/>
        <family val="2"/>
        <charset val="134"/>
      </rPr>
      <t>7、30、57号4-10</t>
    </r>
  </si>
  <si>
    <t>浙2017宁波市鄞州不动产权第0087213号</t>
  </si>
  <si>
    <r>
      <t>东都汇中心</t>
    </r>
    <r>
      <rPr>
        <sz val="12"/>
        <color indexed="8"/>
        <rFont val="微软雅黑"/>
        <family val="2"/>
        <charset val="134"/>
      </rPr>
      <t>7、30、57号4-13</t>
    </r>
  </si>
  <si>
    <t>浙2017宁波市鄞州不动产权第0087261号</t>
  </si>
  <si>
    <r>
      <t>东都汇中心</t>
    </r>
    <r>
      <rPr>
        <sz val="12"/>
        <color indexed="8"/>
        <rFont val="微软雅黑"/>
        <family val="2"/>
        <charset val="134"/>
      </rPr>
      <t>7、30、57号4-16</t>
    </r>
  </si>
  <si>
    <t>浙2017宁波市鄞州不动产权第0087175号</t>
  </si>
  <si>
    <r>
      <t>东都汇中心</t>
    </r>
    <r>
      <rPr>
        <sz val="12"/>
        <color indexed="8"/>
        <rFont val="微软雅黑"/>
        <family val="2"/>
        <charset val="134"/>
      </rPr>
      <t>7、30、57号4-17</t>
    </r>
  </si>
  <si>
    <t>浙2017宁波市鄞州不动产权第0087214号</t>
  </si>
  <si>
    <r>
      <t>东都汇中心</t>
    </r>
    <r>
      <rPr>
        <sz val="12"/>
        <color indexed="8"/>
        <rFont val="微软雅黑"/>
        <family val="2"/>
        <charset val="134"/>
      </rPr>
      <t>7、30、57号4-18</t>
    </r>
  </si>
  <si>
    <t>浙2017宁波市鄞州不动产权第0087215号</t>
  </si>
  <si>
    <r>
      <t>东都汇中心</t>
    </r>
    <r>
      <rPr>
        <sz val="12"/>
        <color indexed="8"/>
        <rFont val="微软雅黑"/>
        <family val="2"/>
        <charset val="134"/>
      </rPr>
      <t>7、30、57号4-19</t>
    </r>
  </si>
  <si>
    <t>浙2017宁波市鄞州不动产权第0087122号</t>
  </si>
  <si>
    <r>
      <t>东都汇中心</t>
    </r>
    <r>
      <rPr>
        <sz val="12"/>
        <color indexed="8"/>
        <rFont val="微软雅黑"/>
        <family val="2"/>
        <charset val="134"/>
      </rPr>
      <t>7、30、57号4-20</t>
    </r>
  </si>
  <si>
    <t>浙2017宁波市鄞州不动产权第0087299号</t>
  </si>
  <si>
    <t>1层1-2号</t>
  </si>
  <si>
    <t>1层1-2号</t>
    <phoneticPr fontId="7" type="noConversion"/>
  </si>
  <si>
    <t>东都国际未售房源不动产证移交清单</t>
    <phoneticPr fontId="3" type="noConversion"/>
  </si>
  <si>
    <t>房产面积</t>
    <phoneticPr fontId="3" type="noConversion"/>
  </si>
  <si>
    <t>土地面积</t>
    <phoneticPr fontId="3" type="noConversion"/>
  </si>
  <si>
    <r>
      <t>宁穿路</t>
    </r>
    <r>
      <rPr>
        <sz val="12"/>
        <color indexed="8"/>
        <rFont val="微软雅黑"/>
        <family val="2"/>
        <charset val="134"/>
      </rPr>
      <t>960号1-2</t>
    </r>
    <phoneticPr fontId="3" type="noConversion"/>
  </si>
  <si>
    <r>
      <t>宁穿路</t>
    </r>
    <r>
      <rPr>
        <sz val="12"/>
        <color indexed="8"/>
        <rFont val="微软雅黑"/>
        <family val="2"/>
        <charset val="134"/>
      </rPr>
      <t>964号1-3</t>
    </r>
    <phoneticPr fontId="3" type="noConversion"/>
  </si>
  <si>
    <r>
      <t>宁穿路</t>
    </r>
    <r>
      <rPr>
        <sz val="12"/>
        <color indexed="8"/>
        <rFont val="微软雅黑"/>
        <family val="2"/>
        <charset val="134"/>
      </rPr>
      <t>968号1-4</t>
    </r>
    <phoneticPr fontId="3" type="noConversion"/>
  </si>
  <si>
    <r>
      <t>宁穿路</t>
    </r>
    <r>
      <rPr>
        <sz val="12"/>
        <color indexed="8"/>
        <rFont val="微软雅黑"/>
        <family val="2"/>
        <charset val="134"/>
      </rPr>
      <t>972号1-5</t>
    </r>
    <phoneticPr fontId="3" type="noConversion"/>
  </si>
  <si>
    <t>浙2017宁波市鄞州不动产权第0087185号</t>
    <phoneticPr fontId="3" type="noConversion"/>
  </si>
  <si>
    <r>
      <t>宁穿路</t>
    </r>
    <r>
      <rPr>
        <sz val="12"/>
        <color indexed="8"/>
        <rFont val="微软雅黑"/>
        <family val="2"/>
        <charset val="134"/>
      </rPr>
      <t>976号1-6</t>
    </r>
    <phoneticPr fontId="3" type="noConversion"/>
  </si>
  <si>
    <r>
      <t>宁穿路</t>
    </r>
    <r>
      <rPr>
        <sz val="12"/>
        <color indexed="8"/>
        <rFont val="微软雅黑"/>
        <family val="2"/>
        <charset val="134"/>
      </rPr>
      <t>980号1-7</t>
    </r>
    <phoneticPr fontId="3" type="noConversion"/>
  </si>
  <si>
    <r>
      <t>宁穿路</t>
    </r>
    <r>
      <rPr>
        <sz val="12"/>
        <color indexed="8"/>
        <rFont val="微软雅黑"/>
        <family val="2"/>
        <charset val="134"/>
      </rPr>
      <t>984号1-8</t>
    </r>
    <phoneticPr fontId="3" type="noConversion"/>
  </si>
  <si>
    <r>
      <t>宁穿路</t>
    </r>
    <r>
      <rPr>
        <sz val="12"/>
        <color indexed="8"/>
        <rFont val="微软雅黑"/>
        <family val="2"/>
        <charset val="134"/>
      </rPr>
      <t>992号1-10</t>
    </r>
    <phoneticPr fontId="3" type="noConversion"/>
  </si>
  <si>
    <r>
      <t>东都汇中心</t>
    </r>
    <r>
      <rPr>
        <sz val="12"/>
        <color indexed="8"/>
        <rFont val="微软雅黑"/>
        <family val="2"/>
        <charset val="134"/>
      </rPr>
      <t>23号1-12</t>
    </r>
    <phoneticPr fontId="3" type="noConversion"/>
  </si>
  <si>
    <r>
      <t>东都汇中心</t>
    </r>
    <r>
      <rPr>
        <sz val="12"/>
        <color indexed="8"/>
        <rFont val="微软雅黑"/>
        <family val="2"/>
        <charset val="134"/>
      </rPr>
      <t>1号1-13</t>
    </r>
    <phoneticPr fontId="3" type="noConversion"/>
  </si>
  <si>
    <t xml:space="preserve">    </t>
    <phoneticPr fontId="3" type="noConversion"/>
  </si>
  <si>
    <r>
      <t>东都汇中心</t>
    </r>
    <r>
      <rPr>
        <sz val="12"/>
        <color indexed="8"/>
        <rFont val="微软雅黑"/>
        <family val="2"/>
        <charset val="134"/>
      </rPr>
      <t>2号1-14</t>
    </r>
    <phoneticPr fontId="3" type="noConversion"/>
  </si>
  <si>
    <r>
      <t>东都汇中心</t>
    </r>
    <r>
      <rPr>
        <sz val="12"/>
        <color indexed="8"/>
        <rFont val="微软雅黑"/>
        <family val="2"/>
        <charset val="134"/>
      </rPr>
      <t>3号1-15</t>
    </r>
    <phoneticPr fontId="3" type="noConversion"/>
  </si>
  <si>
    <r>
      <t>东都汇中心</t>
    </r>
    <r>
      <rPr>
        <sz val="12"/>
        <color indexed="8"/>
        <rFont val="微软雅黑"/>
        <family val="2"/>
        <charset val="134"/>
      </rPr>
      <t>4号1-16</t>
    </r>
    <phoneticPr fontId="3" type="noConversion"/>
  </si>
  <si>
    <r>
      <t>东都汇中心</t>
    </r>
    <r>
      <rPr>
        <sz val="12"/>
        <color indexed="8"/>
        <rFont val="微软雅黑"/>
        <family val="2"/>
        <charset val="134"/>
      </rPr>
      <t>5号1-17</t>
    </r>
    <phoneticPr fontId="3" type="noConversion"/>
  </si>
  <si>
    <r>
      <t>东都汇中心</t>
    </r>
    <r>
      <rPr>
        <sz val="12"/>
        <color indexed="8"/>
        <rFont val="微软雅黑"/>
        <family val="2"/>
        <charset val="134"/>
      </rPr>
      <t>8号1-19</t>
    </r>
    <phoneticPr fontId="3" type="noConversion"/>
  </si>
  <si>
    <r>
      <t>东都汇中心</t>
    </r>
    <r>
      <rPr>
        <sz val="12"/>
        <color indexed="8"/>
        <rFont val="微软雅黑"/>
        <family val="2"/>
        <charset val="134"/>
      </rPr>
      <t>9号1-20</t>
    </r>
    <phoneticPr fontId="3" type="noConversion"/>
  </si>
  <si>
    <r>
      <t>东都汇中心</t>
    </r>
    <r>
      <rPr>
        <sz val="12"/>
        <color indexed="8"/>
        <rFont val="微软雅黑"/>
        <family val="2"/>
        <charset val="134"/>
      </rPr>
      <t>10号1-21</t>
    </r>
    <phoneticPr fontId="3" type="noConversion"/>
  </si>
  <si>
    <r>
      <t>东都汇中心</t>
    </r>
    <r>
      <rPr>
        <sz val="12"/>
        <color indexed="8"/>
        <rFont val="微软雅黑"/>
        <family val="2"/>
        <charset val="134"/>
      </rPr>
      <t>11号1-22</t>
    </r>
    <phoneticPr fontId="3" type="noConversion"/>
  </si>
  <si>
    <r>
      <t>东都汇中心</t>
    </r>
    <r>
      <rPr>
        <sz val="12"/>
        <color indexed="8"/>
        <rFont val="微软雅黑"/>
        <family val="2"/>
        <charset val="134"/>
      </rPr>
      <t>12号1-23</t>
    </r>
    <phoneticPr fontId="3" type="noConversion"/>
  </si>
  <si>
    <r>
      <t>东都汇中心</t>
    </r>
    <r>
      <rPr>
        <sz val="12"/>
        <color indexed="8"/>
        <rFont val="微软雅黑"/>
        <family val="2"/>
        <charset val="134"/>
      </rPr>
      <t>13号1-24</t>
    </r>
    <phoneticPr fontId="3" type="noConversion"/>
  </si>
  <si>
    <r>
      <t>东都汇中心</t>
    </r>
    <r>
      <rPr>
        <sz val="12"/>
        <color indexed="8"/>
        <rFont val="微软雅黑"/>
        <family val="2"/>
        <charset val="134"/>
      </rPr>
      <t>14号1-25</t>
    </r>
    <phoneticPr fontId="3" type="noConversion"/>
  </si>
  <si>
    <r>
      <t>东都汇中心</t>
    </r>
    <r>
      <rPr>
        <sz val="12"/>
        <color indexed="8"/>
        <rFont val="微软雅黑"/>
        <family val="2"/>
        <charset val="134"/>
      </rPr>
      <t>15号1-26</t>
    </r>
    <phoneticPr fontId="3" type="noConversion"/>
  </si>
  <si>
    <r>
      <t>东都汇中心</t>
    </r>
    <r>
      <rPr>
        <sz val="12"/>
        <color indexed="8"/>
        <rFont val="微软雅黑"/>
        <family val="2"/>
        <charset val="134"/>
      </rPr>
      <t>16号1-27</t>
    </r>
    <phoneticPr fontId="3" type="noConversion"/>
  </si>
  <si>
    <r>
      <t>东都汇中心</t>
    </r>
    <r>
      <rPr>
        <sz val="12"/>
        <color indexed="8"/>
        <rFont val="微软雅黑"/>
        <family val="2"/>
        <charset val="134"/>
      </rPr>
      <t>22号1-28</t>
    </r>
    <phoneticPr fontId="3" type="noConversion"/>
  </si>
  <si>
    <r>
      <t>东都汇中心</t>
    </r>
    <r>
      <rPr>
        <sz val="12"/>
        <color indexed="8"/>
        <rFont val="微软雅黑"/>
        <family val="2"/>
        <charset val="134"/>
      </rPr>
      <t>18号1-29</t>
    </r>
    <phoneticPr fontId="3" type="noConversion"/>
  </si>
  <si>
    <r>
      <t>东都汇中心</t>
    </r>
    <r>
      <rPr>
        <sz val="12"/>
        <color indexed="8"/>
        <rFont val="微软雅黑"/>
        <family val="2"/>
        <charset val="134"/>
      </rPr>
      <t>21号1-30</t>
    </r>
    <phoneticPr fontId="3" type="noConversion"/>
  </si>
  <si>
    <r>
      <t>东都汇中心</t>
    </r>
    <r>
      <rPr>
        <sz val="12"/>
        <color indexed="8"/>
        <rFont val="微软雅黑"/>
        <family val="2"/>
        <charset val="134"/>
      </rPr>
      <t>24号，宁穿路950弄11号1-33</t>
    </r>
    <phoneticPr fontId="3" type="noConversion"/>
  </si>
  <si>
    <r>
      <t>宁穿路</t>
    </r>
    <r>
      <rPr>
        <sz val="12"/>
        <color indexed="8"/>
        <rFont val="微软雅黑"/>
        <family val="2"/>
        <charset val="134"/>
      </rPr>
      <t>950弄15号1-34</t>
    </r>
    <phoneticPr fontId="3" type="noConversion"/>
  </si>
  <si>
    <r>
      <t>东都汇中心</t>
    </r>
    <r>
      <rPr>
        <sz val="12"/>
        <color indexed="8"/>
        <rFont val="微软雅黑"/>
        <family val="2"/>
        <charset val="134"/>
      </rPr>
      <t>25号1-35</t>
    </r>
    <phoneticPr fontId="3" type="noConversion"/>
  </si>
  <si>
    <r>
      <t>宁穿路</t>
    </r>
    <r>
      <rPr>
        <sz val="12"/>
        <color indexed="8"/>
        <rFont val="微软雅黑"/>
        <family val="2"/>
        <charset val="134"/>
      </rPr>
      <t>950弄17号1-36</t>
    </r>
    <phoneticPr fontId="3" type="noConversion"/>
  </si>
  <si>
    <r>
      <t>东都汇中心</t>
    </r>
    <r>
      <rPr>
        <sz val="12"/>
        <color indexed="8"/>
        <rFont val="微软雅黑"/>
        <family val="2"/>
        <charset val="134"/>
      </rPr>
      <t>26号1-37</t>
    </r>
    <phoneticPr fontId="3" type="noConversion"/>
  </si>
  <si>
    <r>
      <t>东都汇中心</t>
    </r>
    <r>
      <rPr>
        <sz val="12"/>
        <color indexed="8"/>
        <rFont val="微软雅黑"/>
        <family val="2"/>
        <charset val="134"/>
      </rPr>
      <t>27号1-38</t>
    </r>
    <phoneticPr fontId="3" type="noConversion"/>
  </si>
  <si>
    <r>
      <t>宁穿路</t>
    </r>
    <r>
      <rPr>
        <sz val="12"/>
        <color indexed="8"/>
        <rFont val="微软雅黑"/>
        <family val="2"/>
        <charset val="134"/>
      </rPr>
      <t>950弄19号1-39</t>
    </r>
    <phoneticPr fontId="3" type="noConversion"/>
  </si>
  <si>
    <r>
      <t>东都汇中心</t>
    </r>
    <r>
      <rPr>
        <sz val="12"/>
        <color indexed="8"/>
        <rFont val="微软雅黑"/>
        <family val="2"/>
        <charset val="134"/>
      </rPr>
      <t>28号1-40</t>
    </r>
    <phoneticPr fontId="3" type="noConversion"/>
  </si>
  <si>
    <r>
      <t>宁穿路</t>
    </r>
    <r>
      <rPr>
        <sz val="12"/>
        <color indexed="8"/>
        <rFont val="微软雅黑"/>
        <family val="2"/>
        <charset val="134"/>
      </rPr>
      <t>950弄21号1-41</t>
    </r>
    <phoneticPr fontId="3" type="noConversion"/>
  </si>
  <si>
    <r>
      <t>宁穿路</t>
    </r>
    <r>
      <rPr>
        <sz val="12"/>
        <color indexed="8"/>
        <rFont val="微软雅黑"/>
        <family val="2"/>
        <charset val="134"/>
      </rPr>
      <t>950弄25号1-43</t>
    </r>
    <phoneticPr fontId="3" type="noConversion"/>
  </si>
  <si>
    <r>
      <t>宁穿路</t>
    </r>
    <r>
      <rPr>
        <sz val="12"/>
        <color indexed="8"/>
        <rFont val="微软雅黑"/>
        <family val="2"/>
        <charset val="134"/>
      </rPr>
      <t>950弄27号1-44</t>
    </r>
    <phoneticPr fontId="3" type="noConversion"/>
  </si>
  <si>
    <r>
      <t>东都汇中心</t>
    </r>
    <r>
      <rPr>
        <sz val="12"/>
        <color indexed="8"/>
        <rFont val="微软雅黑"/>
        <family val="2"/>
        <charset val="134"/>
      </rPr>
      <t>35号1-45</t>
    </r>
    <phoneticPr fontId="3" type="noConversion"/>
  </si>
  <si>
    <r>
      <t>东都汇中心</t>
    </r>
    <r>
      <rPr>
        <sz val="12"/>
        <color indexed="8"/>
        <rFont val="微软雅黑"/>
        <family val="2"/>
        <charset val="134"/>
      </rPr>
      <t>34号1-46</t>
    </r>
    <phoneticPr fontId="3" type="noConversion"/>
  </si>
  <si>
    <r>
      <t>东都汇中心</t>
    </r>
    <r>
      <rPr>
        <sz val="12"/>
        <color indexed="8"/>
        <rFont val="微软雅黑"/>
        <family val="2"/>
        <charset val="134"/>
      </rPr>
      <t>31号1-47</t>
    </r>
    <phoneticPr fontId="3" type="noConversion"/>
  </si>
  <si>
    <r>
      <t>东都汇中心</t>
    </r>
    <r>
      <rPr>
        <sz val="12"/>
        <color indexed="8"/>
        <rFont val="微软雅黑"/>
        <family val="2"/>
        <charset val="134"/>
      </rPr>
      <t>33号1-48</t>
    </r>
    <phoneticPr fontId="3" type="noConversion"/>
  </si>
  <si>
    <r>
      <t>东都汇中心</t>
    </r>
    <r>
      <rPr>
        <sz val="12"/>
        <color indexed="8"/>
        <rFont val="微软雅黑"/>
        <family val="2"/>
        <charset val="134"/>
      </rPr>
      <t>32号1-49</t>
    </r>
    <phoneticPr fontId="3" type="noConversion"/>
  </si>
  <si>
    <r>
      <t>东都汇中心</t>
    </r>
    <r>
      <rPr>
        <sz val="12"/>
        <color indexed="8"/>
        <rFont val="微软雅黑"/>
        <family val="2"/>
        <charset val="134"/>
      </rPr>
      <t>37号1-51</t>
    </r>
    <phoneticPr fontId="3" type="noConversion"/>
  </si>
  <si>
    <r>
      <t>东都汇中心</t>
    </r>
    <r>
      <rPr>
        <sz val="12"/>
        <color indexed="8"/>
        <rFont val="微软雅黑"/>
        <family val="2"/>
        <charset val="134"/>
      </rPr>
      <t>38号1-52</t>
    </r>
    <phoneticPr fontId="3" type="noConversion"/>
  </si>
  <si>
    <r>
      <t>东都汇中心</t>
    </r>
    <r>
      <rPr>
        <sz val="12"/>
        <color indexed="8"/>
        <rFont val="微软雅黑"/>
        <family val="2"/>
        <charset val="134"/>
      </rPr>
      <t>40号1-54</t>
    </r>
    <phoneticPr fontId="3" type="noConversion"/>
  </si>
  <si>
    <r>
      <t>东都汇中心</t>
    </r>
    <r>
      <rPr>
        <sz val="12"/>
        <color indexed="8"/>
        <rFont val="微软雅黑"/>
        <family val="2"/>
        <charset val="134"/>
      </rPr>
      <t>41号1-55</t>
    </r>
    <phoneticPr fontId="3" type="noConversion"/>
  </si>
  <si>
    <r>
      <t>东都汇中心</t>
    </r>
    <r>
      <rPr>
        <sz val="12"/>
        <color indexed="8"/>
        <rFont val="微软雅黑"/>
        <family val="2"/>
        <charset val="134"/>
      </rPr>
      <t>42号1-56</t>
    </r>
    <phoneticPr fontId="3" type="noConversion"/>
  </si>
  <si>
    <r>
      <t>东都汇中心</t>
    </r>
    <r>
      <rPr>
        <sz val="12"/>
        <color indexed="8"/>
        <rFont val="微软雅黑"/>
        <family val="2"/>
        <charset val="134"/>
      </rPr>
      <t>43号1-57</t>
    </r>
    <phoneticPr fontId="3" type="noConversion"/>
  </si>
  <si>
    <r>
      <t>东都汇中心</t>
    </r>
    <r>
      <rPr>
        <sz val="12"/>
        <color indexed="8"/>
        <rFont val="微软雅黑"/>
        <family val="2"/>
        <charset val="134"/>
      </rPr>
      <t>44号1-58</t>
    </r>
    <phoneticPr fontId="3" type="noConversion"/>
  </si>
  <si>
    <r>
      <t>东都汇中心</t>
    </r>
    <r>
      <rPr>
        <sz val="12"/>
        <color indexed="8"/>
        <rFont val="微软雅黑"/>
        <family val="2"/>
        <charset val="134"/>
      </rPr>
      <t>45号1-59</t>
    </r>
    <phoneticPr fontId="3" type="noConversion"/>
  </si>
  <si>
    <r>
      <t>东都汇中心</t>
    </r>
    <r>
      <rPr>
        <sz val="12"/>
        <color indexed="8"/>
        <rFont val="微软雅黑"/>
        <family val="2"/>
        <charset val="134"/>
      </rPr>
      <t>46号1-60</t>
    </r>
    <phoneticPr fontId="3" type="noConversion"/>
  </si>
  <si>
    <r>
      <t>东都汇中心</t>
    </r>
    <r>
      <rPr>
        <sz val="12"/>
        <color indexed="8"/>
        <rFont val="微软雅黑"/>
        <family val="2"/>
        <charset val="134"/>
      </rPr>
      <t>47号1-61</t>
    </r>
    <phoneticPr fontId="3" type="noConversion"/>
  </si>
  <si>
    <r>
      <t>东都汇中心</t>
    </r>
    <r>
      <rPr>
        <sz val="12"/>
        <color indexed="8"/>
        <rFont val="微软雅黑"/>
        <family val="2"/>
        <charset val="134"/>
      </rPr>
      <t>61号1-63</t>
    </r>
    <phoneticPr fontId="3" type="noConversion"/>
  </si>
  <si>
    <r>
      <t>东都汇中心</t>
    </r>
    <r>
      <rPr>
        <sz val="12"/>
        <color indexed="8"/>
        <rFont val="微软雅黑"/>
        <family val="2"/>
        <charset val="134"/>
      </rPr>
      <t>60号1-64</t>
    </r>
    <phoneticPr fontId="3" type="noConversion"/>
  </si>
  <si>
    <r>
      <t>东都汇中心</t>
    </r>
    <r>
      <rPr>
        <sz val="12"/>
        <color indexed="8"/>
        <rFont val="微软雅黑"/>
        <family val="2"/>
        <charset val="134"/>
      </rPr>
      <t>59号1-65</t>
    </r>
    <phoneticPr fontId="3" type="noConversion"/>
  </si>
  <si>
    <r>
      <t>东都汇中心</t>
    </r>
    <r>
      <rPr>
        <sz val="12"/>
        <color indexed="8"/>
        <rFont val="微软雅黑"/>
        <family val="2"/>
        <charset val="134"/>
      </rPr>
      <t>58号1-66</t>
    </r>
    <phoneticPr fontId="3" type="noConversion"/>
  </si>
  <si>
    <r>
      <t>东都汇中心</t>
    </r>
    <r>
      <rPr>
        <sz val="12"/>
        <color indexed="8"/>
        <rFont val="微软雅黑"/>
        <family val="2"/>
        <charset val="134"/>
      </rPr>
      <t>56号1-67</t>
    </r>
    <phoneticPr fontId="3" type="noConversion"/>
  </si>
  <si>
    <r>
      <t>东都汇中心</t>
    </r>
    <r>
      <rPr>
        <sz val="12"/>
        <color indexed="8"/>
        <rFont val="微软雅黑"/>
        <family val="2"/>
        <charset val="134"/>
      </rPr>
      <t>55号1-68</t>
    </r>
    <phoneticPr fontId="3" type="noConversion"/>
  </si>
  <si>
    <r>
      <t>东都汇中心</t>
    </r>
    <r>
      <rPr>
        <sz val="12"/>
        <color indexed="8"/>
        <rFont val="微软雅黑"/>
        <family val="2"/>
        <charset val="134"/>
      </rPr>
      <t>54号1-69</t>
    </r>
    <phoneticPr fontId="3" type="noConversion"/>
  </si>
  <si>
    <r>
      <t>东都汇中心</t>
    </r>
    <r>
      <rPr>
        <sz val="12"/>
        <color indexed="8"/>
        <rFont val="微软雅黑"/>
        <family val="2"/>
        <charset val="134"/>
      </rPr>
      <t>53号1-70</t>
    </r>
    <phoneticPr fontId="3" type="noConversion"/>
  </si>
  <si>
    <r>
      <t>东都汇中心</t>
    </r>
    <r>
      <rPr>
        <sz val="12"/>
        <color indexed="8"/>
        <rFont val="微软雅黑"/>
        <family val="2"/>
        <charset val="134"/>
      </rPr>
      <t>51号1-71</t>
    </r>
    <phoneticPr fontId="3" type="noConversion"/>
  </si>
  <si>
    <r>
      <t>东都汇中心</t>
    </r>
    <r>
      <rPr>
        <sz val="12"/>
        <color indexed="8"/>
        <rFont val="微软雅黑"/>
        <family val="2"/>
        <charset val="134"/>
      </rPr>
      <t>52号1-72</t>
    </r>
    <phoneticPr fontId="3" type="noConversion"/>
  </si>
  <si>
    <r>
      <t>东都汇中心</t>
    </r>
    <r>
      <rPr>
        <sz val="12"/>
        <color indexed="8"/>
        <rFont val="微软雅黑"/>
        <family val="2"/>
        <charset val="134"/>
      </rPr>
      <t>50号1-73</t>
    </r>
    <phoneticPr fontId="3" type="noConversion"/>
  </si>
  <si>
    <r>
      <t>东都汇中心</t>
    </r>
    <r>
      <rPr>
        <sz val="12"/>
        <color indexed="8"/>
        <rFont val="微软雅黑"/>
        <family val="2"/>
        <charset val="134"/>
      </rPr>
      <t>62号1-75</t>
    </r>
    <phoneticPr fontId="3" type="noConversion"/>
  </si>
  <si>
    <r>
      <t>东都汇中心</t>
    </r>
    <r>
      <rPr>
        <sz val="12"/>
        <color indexed="8"/>
        <rFont val="微软雅黑"/>
        <family val="2"/>
        <charset val="134"/>
      </rPr>
      <t>63号1-76</t>
    </r>
    <phoneticPr fontId="3" type="noConversion"/>
  </si>
  <si>
    <r>
      <t>东都汇中心</t>
    </r>
    <r>
      <rPr>
        <sz val="12"/>
        <color indexed="8"/>
        <rFont val="微软雅黑"/>
        <family val="2"/>
        <charset val="134"/>
      </rPr>
      <t>64号1-77</t>
    </r>
    <phoneticPr fontId="3" type="noConversion"/>
  </si>
  <si>
    <r>
      <t>东都汇中心</t>
    </r>
    <r>
      <rPr>
        <sz val="12"/>
        <color indexed="8"/>
        <rFont val="微软雅黑"/>
        <family val="2"/>
        <charset val="134"/>
      </rPr>
      <t>66号1-78</t>
    </r>
    <phoneticPr fontId="3" type="noConversion"/>
  </si>
  <si>
    <r>
      <t>东都汇中心</t>
    </r>
    <r>
      <rPr>
        <sz val="12"/>
        <color indexed="8"/>
        <rFont val="微软雅黑"/>
        <family val="2"/>
        <charset val="134"/>
      </rPr>
      <t>67号1-79</t>
    </r>
    <phoneticPr fontId="3" type="noConversion"/>
  </si>
  <si>
    <r>
      <t>东都汇中心</t>
    </r>
    <r>
      <rPr>
        <sz val="12"/>
        <color indexed="8"/>
        <rFont val="微软雅黑"/>
        <family val="2"/>
        <charset val="134"/>
      </rPr>
      <t>68号1-80</t>
    </r>
    <phoneticPr fontId="3" type="noConversion"/>
  </si>
  <si>
    <r>
      <t>东都汇中心</t>
    </r>
    <r>
      <rPr>
        <sz val="12"/>
        <color indexed="8"/>
        <rFont val="微软雅黑"/>
        <family val="2"/>
        <charset val="134"/>
      </rPr>
      <t>69号1-81</t>
    </r>
    <phoneticPr fontId="3" type="noConversion"/>
  </si>
  <si>
    <r>
      <t>东都汇中心</t>
    </r>
    <r>
      <rPr>
        <sz val="12"/>
        <color indexed="8"/>
        <rFont val="微软雅黑"/>
        <family val="2"/>
        <charset val="134"/>
      </rPr>
      <t>71号1-82</t>
    </r>
    <phoneticPr fontId="3" type="noConversion"/>
  </si>
  <si>
    <r>
      <t>东都汇中心</t>
    </r>
    <r>
      <rPr>
        <sz val="12"/>
        <color indexed="8"/>
        <rFont val="微软雅黑"/>
        <family val="2"/>
        <charset val="134"/>
      </rPr>
      <t>72号1-83</t>
    </r>
    <phoneticPr fontId="3" type="noConversion"/>
  </si>
  <si>
    <r>
      <t>东都汇中心</t>
    </r>
    <r>
      <rPr>
        <sz val="12"/>
        <color indexed="8"/>
        <rFont val="微软雅黑"/>
        <family val="2"/>
        <charset val="134"/>
      </rPr>
      <t>73号1-84</t>
    </r>
    <phoneticPr fontId="3" type="noConversion"/>
  </si>
  <si>
    <r>
      <t>东都汇中心</t>
    </r>
    <r>
      <rPr>
        <sz val="12"/>
        <color indexed="8"/>
        <rFont val="微软雅黑"/>
        <family val="2"/>
        <charset val="134"/>
      </rPr>
      <t>74号1-85</t>
    </r>
    <phoneticPr fontId="3" type="noConversion"/>
  </si>
  <si>
    <r>
      <t>东都汇中心</t>
    </r>
    <r>
      <rPr>
        <sz val="12"/>
        <color indexed="8"/>
        <rFont val="微软雅黑"/>
        <family val="2"/>
        <charset val="134"/>
      </rPr>
      <t>75号1-86</t>
    </r>
    <phoneticPr fontId="3" type="noConversion"/>
  </si>
  <si>
    <r>
      <t>东都汇中心</t>
    </r>
    <r>
      <rPr>
        <sz val="12"/>
        <color indexed="8"/>
        <rFont val="微软雅黑"/>
        <family val="2"/>
        <charset val="134"/>
      </rPr>
      <t>76、77号1-87</t>
    </r>
    <phoneticPr fontId="3" type="noConversion"/>
  </si>
  <si>
    <r>
      <t>月明路</t>
    </r>
    <r>
      <rPr>
        <sz val="12"/>
        <color indexed="8"/>
        <rFont val="微软雅黑"/>
        <family val="2"/>
        <charset val="134"/>
      </rPr>
      <t>68号1-89</t>
    </r>
    <phoneticPr fontId="3" type="noConversion"/>
  </si>
  <si>
    <r>
      <t>月明路</t>
    </r>
    <r>
      <rPr>
        <sz val="12"/>
        <color indexed="8"/>
        <rFont val="微软雅黑"/>
        <family val="2"/>
        <charset val="134"/>
      </rPr>
      <t>66号1-90</t>
    </r>
    <phoneticPr fontId="3" type="noConversion"/>
  </si>
  <si>
    <r>
      <t>月明路</t>
    </r>
    <r>
      <rPr>
        <sz val="12"/>
        <color indexed="8"/>
        <rFont val="微软雅黑"/>
        <family val="2"/>
        <charset val="134"/>
      </rPr>
      <t>64号1-91</t>
    </r>
    <phoneticPr fontId="3" type="noConversion"/>
  </si>
  <si>
    <r>
      <t>月明路</t>
    </r>
    <r>
      <rPr>
        <sz val="12"/>
        <color indexed="8"/>
        <rFont val="微软雅黑"/>
        <family val="2"/>
        <charset val="134"/>
      </rPr>
      <t>62号1-92</t>
    </r>
    <phoneticPr fontId="3" type="noConversion"/>
  </si>
  <si>
    <r>
      <t>月明路</t>
    </r>
    <r>
      <rPr>
        <sz val="12"/>
        <color indexed="8"/>
        <rFont val="微软雅黑"/>
        <family val="2"/>
        <charset val="134"/>
      </rPr>
      <t>54号1-94</t>
    </r>
    <phoneticPr fontId="3" type="noConversion"/>
  </si>
  <si>
    <r>
      <t>月明路</t>
    </r>
    <r>
      <rPr>
        <sz val="12"/>
        <color indexed="8"/>
        <rFont val="微软雅黑"/>
        <family val="2"/>
        <charset val="134"/>
      </rPr>
      <t>50号1-95</t>
    </r>
    <phoneticPr fontId="3" type="noConversion"/>
  </si>
  <si>
    <r>
      <t>月明路</t>
    </r>
    <r>
      <rPr>
        <sz val="12"/>
        <color indexed="8"/>
        <rFont val="微软雅黑"/>
        <family val="2"/>
        <charset val="134"/>
      </rPr>
      <t>42、46号1-96</t>
    </r>
    <phoneticPr fontId="3" type="noConversion"/>
  </si>
  <si>
    <r>
      <t>东都汇中心</t>
    </r>
    <r>
      <rPr>
        <sz val="12"/>
        <color indexed="8"/>
        <rFont val="微软雅黑"/>
        <family val="2"/>
        <charset val="134"/>
      </rPr>
      <t>7、30、57号2-100</t>
    </r>
    <phoneticPr fontId="3" type="noConversion"/>
  </si>
  <si>
    <r>
      <t>东都汇中心</t>
    </r>
    <r>
      <rPr>
        <sz val="12"/>
        <color indexed="8"/>
        <rFont val="微软雅黑"/>
        <family val="2"/>
        <charset val="134"/>
      </rPr>
      <t>7、30、57号2-102</t>
    </r>
    <phoneticPr fontId="3" type="noConversion"/>
  </si>
  <si>
    <r>
      <t>东都汇中心</t>
    </r>
    <r>
      <rPr>
        <sz val="12"/>
        <color indexed="8"/>
        <rFont val="微软雅黑"/>
        <family val="2"/>
        <charset val="134"/>
      </rPr>
      <t>7、30、57号3-101</t>
    </r>
    <phoneticPr fontId="3" type="noConversion"/>
  </si>
  <si>
    <r>
      <t>东都汇中心</t>
    </r>
    <r>
      <rPr>
        <sz val="12"/>
        <color indexed="8"/>
        <rFont val="微软雅黑"/>
        <family val="2"/>
        <charset val="134"/>
      </rPr>
      <t>7、30、57号3-102</t>
    </r>
    <phoneticPr fontId="3" type="noConversion"/>
  </si>
  <si>
    <r>
      <t>东都汇中心</t>
    </r>
    <r>
      <rPr>
        <sz val="12"/>
        <color indexed="8"/>
        <rFont val="微软雅黑"/>
        <family val="2"/>
        <charset val="134"/>
      </rPr>
      <t>7、30、57号3-105</t>
    </r>
    <phoneticPr fontId="3" type="noConversion"/>
  </si>
  <si>
    <r>
      <t>东都汇中心</t>
    </r>
    <r>
      <rPr>
        <sz val="12"/>
        <color indexed="8"/>
        <rFont val="微软雅黑"/>
        <family val="2"/>
        <charset val="134"/>
      </rPr>
      <t>7、30、57号4-2</t>
    </r>
    <phoneticPr fontId="3" type="noConversion"/>
  </si>
  <si>
    <t>其余商业用房</t>
    <phoneticPr fontId="7" type="noConversion"/>
  </si>
  <si>
    <t>成新度</t>
  </si>
  <si>
    <t>收益法 (元)</t>
  </si>
  <si>
    <t>估价对象位于江东新城，周边商业氛围一般，人流量一般，商业繁华度一般</t>
    <phoneticPr fontId="25" type="noConversion"/>
  </si>
  <si>
    <t>估价对象周边道路状况较好、公共交通通达情况较好、停车便捷程度较好，综合评价交通便捷度较好</t>
    <phoneticPr fontId="41" type="noConversion"/>
  </si>
  <si>
    <t>估价对象所在区域公共配套设施齐备情况较好</t>
    <phoneticPr fontId="41" type="noConversion"/>
  </si>
  <si>
    <t>估价对象所在区域基础设施水平为六通</t>
    <phoneticPr fontId="25" type="noConversion"/>
  </si>
  <si>
    <t>区域：江东公园，自然环境一般：；人文环境一般；综合评价环境状况一般</t>
    <phoneticPr fontId="41" type="noConversion"/>
  </si>
  <si>
    <t>城市主干道—世纪大道</t>
    <phoneticPr fontId="25" type="noConversion"/>
  </si>
  <si>
    <t>比较法-商业</t>
  </si>
  <si>
    <t>售价</t>
  </si>
  <si>
    <t>银亿东都国际</t>
    <phoneticPr fontId="3" type="noConversion"/>
  </si>
  <si>
    <t>宁穿路960号1-2号</t>
    <phoneticPr fontId="3" type="noConversion"/>
  </si>
  <si>
    <t>商业</t>
    <phoneticPr fontId="31" type="noConversion"/>
  </si>
  <si>
    <t>30-40（含）</t>
  </si>
  <si>
    <t>一般</t>
  </si>
  <si>
    <t>较好</t>
  </si>
  <si>
    <t>六通</t>
  </si>
  <si>
    <t>城市快速路</t>
    <phoneticPr fontId="31" type="noConversion"/>
  </si>
  <si>
    <t>城市主干道</t>
  </si>
  <si>
    <t>城市主干道</t>
    <phoneticPr fontId="31" type="noConversion"/>
  </si>
  <si>
    <t>城市次干道</t>
  </si>
  <si>
    <t>城市次干道</t>
    <phoneticPr fontId="31" type="noConversion"/>
  </si>
  <si>
    <t>城市支路</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</si>
  <si>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</si>
  <si>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</si>
  <si>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</si>
  <si>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</si>
  <si>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</si>
  <si>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</si>
  <si>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</si>
  <si>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</si>
  <si>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</si>
  <si>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</si>
  <si>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1层</t>
  </si>
  <si>
    <t>商业综合体</t>
    <phoneticPr fontId="3" type="noConversion"/>
  </si>
  <si>
    <t>商业街</t>
    <phoneticPr fontId="3" type="noConversion"/>
  </si>
  <si>
    <t>单体商业楼</t>
    <phoneticPr fontId="3" type="noConversion"/>
  </si>
  <si>
    <t>写字楼底商</t>
    <phoneticPr fontId="3" type="noConversion"/>
  </si>
  <si>
    <t>住宅底商</t>
    <phoneticPr fontId="3" type="noConversion"/>
  </si>
  <si>
    <t>钢混</t>
    <phoneticPr fontId="3" type="noConversion"/>
  </si>
  <si>
    <t>混合</t>
    <phoneticPr fontId="3" type="noConversion"/>
  </si>
  <si>
    <t>精装</t>
  </si>
  <si>
    <t>精装</t>
    <phoneticPr fontId="31" type="noConversion"/>
  </si>
  <si>
    <t>普装</t>
  </si>
  <si>
    <t>普装</t>
    <phoneticPr fontId="31" type="noConversion"/>
  </si>
  <si>
    <t>简装</t>
    <phoneticPr fontId="31" type="noConversion"/>
  </si>
  <si>
    <t>毛坯</t>
  </si>
  <si>
    <t>毛坯</t>
    <phoneticPr fontId="31" type="noConversion"/>
  </si>
  <si>
    <t>七通</t>
    <phoneticPr fontId="31" type="noConversion"/>
  </si>
  <si>
    <t>六通</t>
    <phoneticPr fontId="31" type="noConversion"/>
  </si>
  <si>
    <t>五通</t>
  </si>
  <si>
    <t>五通</t>
    <phoneticPr fontId="31" type="noConversion"/>
  </si>
  <si>
    <t>可做餐饮</t>
    <phoneticPr fontId="3" type="noConversion"/>
  </si>
  <si>
    <t>不可做餐饮</t>
    <phoneticPr fontId="3" type="noConversion"/>
  </si>
  <si>
    <t>标准层高</t>
  </si>
  <si>
    <t>标准层高</t>
    <phoneticPr fontId="31" type="noConversion"/>
  </si>
  <si>
    <t>钢混</t>
  </si>
  <si>
    <t>可做餐饮</t>
  </si>
  <si>
    <t>不可做餐饮</t>
  </si>
  <si>
    <t>柒里新都</t>
    <phoneticPr fontId="3" type="noConversion"/>
  </si>
  <si>
    <t>滨江商业广场一期</t>
    <phoneticPr fontId="3" type="noConversion"/>
  </si>
  <si>
    <t>宁穿路与沧海路交叉口</t>
    <phoneticPr fontId="3" type="noConversion"/>
  </si>
  <si>
    <t>商业综合体</t>
  </si>
  <si>
    <t>乐汇IN（滨江商业广场二期）</t>
    <phoneticPr fontId="3" type="noConversion"/>
  </si>
  <si>
    <t>押一</t>
  </si>
  <si>
    <t>30-60</t>
    <phoneticPr fontId="31" type="noConversion"/>
  </si>
  <si>
    <t>60-90</t>
    <phoneticPr fontId="31" type="noConversion"/>
  </si>
  <si>
    <t>90-120</t>
    <phoneticPr fontId="31" type="noConversion"/>
  </si>
  <si>
    <t>120-150</t>
    <phoneticPr fontId="31" type="noConversion"/>
  </si>
  <si>
    <t>150-200</t>
    <phoneticPr fontId="31" type="noConversion"/>
  </si>
  <si>
    <t>200-300</t>
    <phoneticPr fontId="31" type="noConversion"/>
  </si>
  <si>
    <t>300-500</t>
    <phoneticPr fontId="31" type="noConversion"/>
  </si>
  <si>
    <t>500-1000</t>
    <phoneticPr fontId="31" type="noConversion"/>
  </si>
  <si>
    <t>租金</t>
  </si>
  <si>
    <t>恒大城市之光</t>
    <phoneticPr fontId="3" type="noConversion"/>
  </si>
  <si>
    <t>中山东路以南、百丈路以北</t>
    <phoneticPr fontId="3" type="noConversion"/>
  </si>
  <si>
    <t>住宅底商</t>
  </si>
  <si>
    <t>宁波世贸中心大厦</t>
    <phoneticPr fontId="3" type="noConversion"/>
  </si>
  <si>
    <t>东渡路29号</t>
    <phoneticPr fontId="3" type="noConversion"/>
  </si>
  <si>
    <t>好</t>
  </si>
  <si>
    <t>城市支路</t>
  </si>
  <si>
    <t>较大</t>
  </si>
  <si>
    <t>写字楼底商</t>
  </si>
  <si>
    <t>简装</t>
  </si>
  <si>
    <t>宁波财富中心</t>
    <phoneticPr fontId="3" type="noConversion"/>
  </si>
  <si>
    <t>20-30（含）</t>
  </si>
  <si>
    <t>驾桥的北侧、滨江大道的东侧</t>
    <phoneticPr fontId="3" type="noConversion"/>
  </si>
  <si>
    <t>按租金收入计税</t>
  </si>
  <si>
    <t>非生产用房</t>
  </si>
  <si>
    <t>建筑面积</t>
  </si>
  <si>
    <t>分摊土地面积</t>
  </si>
  <si>
    <t>建筑物价值</t>
  </si>
  <si>
    <t>收益比率</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</si>
  <si>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</si>
  <si>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</si>
  <si>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</si>
  <si>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</si>
  <si>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t>2层</t>
  </si>
  <si>
    <t>3层</t>
  </si>
  <si>
    <t>4层</t>
  </si>
  <si>
    <t>平面位置、可视性</t>
    <phoneticPr fontId="3" type="noConversion"/>
  </si>
  <si>
    <t>好</t>
    <phoneticPr fontId="25" type="noConversion"/>
  </si>
  <si>
    <t>较好</t>
    <phoneticPr fontId="25" type="noConversion"/>
  </si>
  <si>
    <t>一般</t>
    <phoneticPr fontId="25" type="noConversion"/>
  </si>
  <si>
    <t>较差</t>
  </si>
  <si>
    <t>较差</t>
    <phoneticPr fontId="25" type="noConversion"/>
  </si>
  <si>
    <t>差</t>
  </si>
  <si>
    <t>差</t>
    <phoneticPr fontId="25" type="noConversion"/>
  </si>
  <si>
    <t>东都国际空余房源表价表</t>
  </si>
  <si>
    <t>区</t>
  </si>
  <si>
    <t>性质</t>
  </si>
  <si>
    <t>楼层</t>
  </si>
  <si>
    <t>表单价</t>
  </si>
  <si>
    <t>表总价</t>
  </si>
  <si>
    <t>A区</t>
  </si>
  <si>
    <t>1F</t>
  </si>
  <si>
    <t>1层</t>
    <phoneticPr fontId="3" type="noConversion"/>
  </si>
  <si>
    <t>2层</t>
    <phoneticPr fontId="3" type="noConversion"/>
  </si>
  <si>
    <t>3层</t>
    <phoneticPr fontId="3" type="noConversion"/>
  </si>
  <si>
    <t>4层</t>
    <phoneticPr fontId="3" type="noConversion"/>
  </si>
  <si>
    <t>总价</t>
    <phoneticPr fontId="3" type="noConversion"/>
  </si>
  <si>
    <t>总面积</t>
    <phoneticPr fontId="3" type="noConversion"/>
  </si>
  <si>
    <t>1-31</t>
  </si>
  <si>
    <t>1-32</t>
  </si>
  <si>
    <t>B区</t>
  </si>
  <si>
    <t>E区</t>
  </si>
  <si>
    <t>C区</t>
  </si>
  <si>
    <t>2F</t>
  </si>
  <si>
    <t>3F</t>
  </si>
  <si>
    <t>4F</t>
  </si>
  <si>
    <t xml:space="preserve"> </t>
  </si>
  <si>
    <t>13-1</t>
  </si>
  <si>
    <t>13-2</t>
  </si>
  <si>
    <t>13-3</t>
  </si>
  <si>
    <t>13-4</t>
  </si>
  <si>
    <t>13-5</t>
  </si>
  <si>
    <t>14-5</t>
  </si>
  <si>
    <t>18-1</t>
  </si>
  <si>
    <t>18-4</t>
  </si>
  <si>
    <t>20-1</t>
  </si>
  <si>
    <t>20-3</t>
  </si>
  <si>
    <t>20-4</t>
  </si>
  <si>
    <t>22-1</t>
  </si>
  <si>
    <t>22-4</t>
  </si>
  <si>
    <t>总计</t>
  </si>
  <si>
    <t>展示效果（面宽、进深比）</t>
    <phoneticPr fontId="3" type="noConversion"/>
  </si>
  <si>
    <t>商业类型</t>
    <phoneticPr fontId="3" type="noConversion"/>
  </si>
  <si>
    <t>较差</t>
    <phoneticPr fontId="25" type="noConversion"/>
  </si>
  <si>
    <t>1层</t>
    <phoneticPr fontId="143" type="noConversion"/>
  </si>
  <si>
    <t>2层</t>
    <phoneticPr fontId="143" type="noConversion"/>
  </si>
  <si>
    <t>3层</t>
    <phoneticPr fontId="143" type="noConversion"/>
  </si>
  <si>
    <t>4层</t>
    <phoneticPr fontId="143" type="noConversion"/>
  </si>
  <si>
    <t>总价</t>
    <phoneticPr fontId="143" type="noConversion"/>
  </si>
  <si>
    <t>总面积</t>
    <phoneticPr fontId="143" type="noConversion"/>
  </si>
  <si>
    <t>套数</t>
    <phoneticPr fontId="143" type="noConversion"/>
  </si>
  <si>
    <t>楼层</t>
    <phoneticPr fontId="143" type="noConversion"/>
  </si>
  <si>
    <t>评估单价</t>
    <phoneticPr fontId="143" type="noConversion"/>
  </si>
  <si>
    <t>房号</t>
    <phoneticPr fontId="143" type="noConversion"/>
  </si>
  <si>
    <t>面积</t>
    <phoneticPr fontId="143" type="noConversion"/>
  </si>
  <si>
    <t>售价</t>
    <phoneticPr fontId="143" type="noConversion"/>
  </si>
  <si>
    <t>销售单价</t>
    <phoneticPr fontId="143" type="noConversion"/>
  </si>
  <si>
    <t>折让后售价</t>
    <phoneticPr fontId="143" type="noConversion"/>
  </si>
  <si>
    <t>桃源街420号</t>
    <phoneticPr fontId="3" type="noConversion"/>
  </si>
  <si>
    <t>一般</t>
    <phoneticPr fontId="31" type="noConversion"/>
  </si>
  <si>
    <t>2018-1-0477-P01DYGJ2</t>
    <phoneticPr fontId="6" type="noConversion"/>
  </si>
  <si>
    <t>浙江省宁波市</t>
    <phoneticPr fontId="6" type="noConversion"/>
  </si>
  <si>
    <r>
      <rPr>
        <sz val="12"/>
        <color theme="9" tint="-0.249977111117893"/>
        <rFont val="宋体"/>
        <family val="3"/>
        <charset val="134"/>
      </rPr>
      <t>宁穿路</t>
    </r>
    <r>
      <rPr>
        <sz val="12"/>
        <color theme="9" tint="-0.249977111117893"/>
        <rFont val="Arial"/>
        <family val="2"/>
      </rPr>
      <t>960</t>
    </r>
    <r>
      <rPr>
        <sz val="12"/>
        <color theme="9" tint="-0.249977111117893"/>
        <rFont val="宋体"/>
        <family val="3"/>
        <charset val="134"/>
      </rPr>
      <t>号</t>
    </r>
    <r>
      <rPr>
        <sz val="12"/>
        <color theme="9" tint="-0.249977111117893"/>
        <rFont val="Arial"/>
        <family val="2"/>
      </rPr>
      <t>1-2</t>
    </r>
    <r>
      <rPr>
        <sz val="12"/>
        <color theme="9" tint="-0.249977111117893"/>
        <rFont val="宋体"/>
        <family val="3"/>
        <charset val="134"/>
      </rPr>
      <t>号等</t>
    </r>
    <r>
      <rPr>
        <sz val="12"/>
        <color theme="9" tint="-0.249977111117893"/>
        <rFont val="Arial"/>
        <family val="2"/>
      </rPr>
      <t>249</t>
    </r>
    <r>
      <rPr>
        <sz val="12"/>
        <color theme="9" tint="-0.249977111117893"/>
        <rFont val="宋体"/>
        <family val="3"/>
        <charset val="134"/>
      </rPr>
      <t>套</t>
    </r>
    <phoneticPr fontId="6" type="noConversion"/>
  </si>
  <si>
    <t>中建投信托有限责任公司</t>
    <phoneticPr fontId="6" type="noConversion"/>
  </si>
  <si>
    <t>——</t>
    <phoneticPr fontId="143" type="noConversion"/>
  </si>
  <si>
    <t>已注销</t>
  </si>
  <si>
    <t>坐落</t>
    <phoneticPr fontId="143" type="noConversion"/>
  </si>
  <si>
    <t>《不动产权证书》证号</t>
    <phoneticPr fontId="143" type="noConversion"/>
  </si>
  <si>
    <t>抵押物清单</t>
    <phoneticPr fontId="3" type="noConversion"/>
  </si>
  <si>
    <t>合计</t>
    <phoneticPr fontId="143" type="noConversion"/>
  </si>
  <si>
    <t>房屋建筑面积</t>
    <phoneticPr fontId="3" type="noConversion"/>
  </si>
  <si>
    <t>分摊土地面积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</si>
</sst>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4"/>
      <color indexed="8"/>
      <name val="微软雅黑"/>
      <family val="2"/>
      <charset val="134"/>
    </font>
    <font>
      <sz val="12"/>
      <color indexed="8"/>
      <name val="微软雅黑"/>
      <family val="2"/>
      <charset val="134"/>
    </font>
    <font>
      <sz val="12"/>
      <color indexed="8"/>
      <name val="宋体"/>
      <family val="3"/>
      <charset val="134"/>
      <scheme val="minor"/>
    </font>
    <font>
      <sz val="12"/>
      <name val="宋体"/>
      <family val="3"/>
      <charset val="134"/>
      <scheme val="minor"/>
    </font>
    <font>
      <sz val="12"/>
      <color theme="1"/>
      <name val="微软雅黑"/>
      <family val="2"/>
      <charset val="134"/>
    </font>
    <font>
      <sz val="11"/>
      <color theme="1"/>
      <name val="宋体"/>
      <family val="3"/>
      <charset val="134"/>
      <scheme val="minor"/>
    </font>
    <font>
      <b/>
      <sz val="14"/>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9" fillId="0" borderId="0" applyFont="0" applyFill="0" applyBorder="0" applyAlignment="0" applyProtection="0">
      <alignment vertical="center"/>
    </xf>
  </cellStyleXfs>
  <cellXfs count="33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80" fillId="0" borderId="86" xfId="0" applyFont="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58" fontId="50" fillId="0" borderId="1"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55" fillId="3" borderId="0" xfId="0" applyFont="1" applyFill="1" applyBorder="1">
      <alignment vertical="center"/>
    </xf>
    <xf numFmtId="0" fontId="219" fillId="3" borderId="13" xfId="0" applyFont="1" applyFill="1" applyBorder="1" applyAlignment="1">
      <alignment horizontal="center" vertical="center"/>
    </xf>
    <xf numFmtId="10" fontId="219" fillId="3" borderId="13" xfId="0" applyNumberFormat="1" applyFont="1" applyFill="1" applyBorder="1" applyAlignment="1">
      <alignment horizontal="center" vertical="center"/>
    </xf>
    <xf numFmtId="10" fontId="219" fillId="3" borderId="1" xfId="0" applyNumberFormat="1" applyFont="1" applyFill="1" applyBorder="1" applyAlignment="1">
      <alignment horizontal="center" vertical="center"/>
    </xf>
    <xf numFmtId="0" fontId="219" fillId="3" borderId="3" xfId="0" applyFont="1" applyFill="1" applyBorder="1" applyAlignment="1">
      <alignment horizontal="center" vertical="center"/>
    </xf>
    <xf numFmtId="0" fontId="219" fillId="3" borderId="0" xfId="0" applyFont="1" applyFill="1" applyBorder="1" applyAlignment="1">
      <alignment horizontal="center" vertical="center"/>
    </xf>
    <xf numFmtId="0" fontId="256" fillId="3" borderId="1" xfId="0" applyFont="1" applyFill="1" applyBorder="1" applyAlignment="1">
      <alignment horizontal="center" vertical="center"/>
    </xf>
    <xf numFmtId="0" fontId="257" fillId="3" borderId="1" xfId="0" applyFont="1" applyFill="1" applyBorder="1" applyAlignment="1">
      <alignment horizontal="center" vertical="center" wrapText="1"/>
    </xf>
    <xf numFmtId="0" fontId="256" fillId="0" borderId="1" xfId="0" applyFont="1" applyBorder="1" applyAlignment="1">
      <alignment horizontal="center" vertical="center"/>
    </xf>
    <xf numFmtId="49" fontId="256" fillId="0" borderId="1" xfId="0" applyNumberFormat="1" applyFont="1" applyBorder="1" applyAlignment="1">
      <alignment horizontal="center" vertical="center"/>
    </xf>
    <xf numFmtId="0" fontId="258" fillId="0" borderId="1" xfId="0" applyFont="1" applyBorder="1" applyAlignment="1">
      <alignment horizontal="center" vertical="center" wrapText="1"/>
    </xf>
    <xf numFmtId="0" fontId="258" fillId="0" borderId="3" xfId="0" applyFont="1" applyBorder="1" applyAlignment="1">
      <alignment horizontal="center" vertical="center" wrapText="1"/>
    </xf>
    <xf numFmtId="0" fontId="255" fillId="3" borderId="1" xfId="0" applyFont="1" applyFill="1" applyBorder="1" applyAlignment="1">
      <alignment horizontal="center" vertical="center"/>
    </xf>
    <xf numFmtId="0" fontId="255" fillId="3" borderId="0" xfId="0" applyFont="1" applyFill="1" applyBorder="1" applyAlignment="1">
      <alignment horizontal="center" vertical="center"/>
    </xf>
    <xf numFmtId="0" fontId="256" fillId="3" borderId="0" xfId="0" applyFont="1" applyFill="1" applyBorder="1" applyAlignment="1">
      <alignment horizontal="center" vertical="center"/>
    </xf>
    <xf numFmtId="0" fontId="256" fillId="3" borderId="0" xfId="0" applyFont="1" applyFill="1" applyBorder="1">
      <alignment vertical="center"/>
    </xf>
    <xf numFmtId="10" fontId="255" fillId="3" borderId="0" xfId="0" applyNumberFormat="1" applyFont="1" applyFill="1" applyBorder="1">
      <alignment vertical="center"/>
    </xf>
    <xf numFmtId="0" fontId="219" fillId="3" borderId="1" xfId="0" applyFont="1" applyFill="1" applyBorder="1" applyAlignment="1">
      <alignment horizontal="center" vertical="center"/>
    </xf>
    <xf numFmtId="0" fontId="255" fillId="3" borderId="1" xfId="0" applyFont="1" applyFill="1" applyBorder="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176" fontId="104" fillId="0" borderId="44" xfId="0" applyNumberFormat="1" applyFont="1" applyFill="1" applyBorder="1" applyAlignment="1" applyProtection="1">
      <alignment horizontal="center" vertical="center" wrapText="1"/>
      <protection locked="0"/>
    </xf>
    <xf numFmtId="49" fontId="192" fillId="0" borderId="1" xfId="0"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19" fillId="0" borderId="0" xfId="0" applyFont="1" applyFill="1" applyAlignment="1">
      <alignment horizontal="center" vertical="center"/>
    </xf>
    <xf numFmtId="0" fontId="84" fillId="6" borderId="1" xfId="0" applyFont="1" applyFill="1" applyBorder="1" applyAlignment="1">
      <alignment horizontal="center" vertical="center"/>
    </xf>
    <xf numFmtId="0" fontId="84" fillId="6" borderId="3" xfId="0" applyFont="1" applyFill="1" applyBorder="1" applyAlignment="1">
      <alignment horizontal="center" vertical="center" wrapText="1"/>
    </xf>
    <xf numFmtId="0" fontId="84" fillId="6" borderId="1" xfId="0" applyFont="1" applyFill="1" applyBorder="1" applyAlignment="1">
      <alignment horizontal="center" vertical="center" wrapText="1"/>
    </xf>
    <xf numFmtId="177" fontId="84" fillId="6" borderId="1" xfId="0" applyNumberFormat="1" applyFont="1" applyFill="1" applyBorder="1" applyAlignment="1">
      <alignment horizontal="center" vertical="center" wrapText="1"/>
    </xf>
    <xf numFmtId="186" fontId="84" fillId="6" borderId="1" xfId="0" applyNumberFormat="1" applyFont="1" applyFill="1" applyBorder="1" applyAlignment="1">
      <alignment horizontal="center" vertical="center" wrapText="1"/>
    </xf>
    <xf numFmtId="0" fontId="19" fillId="0" borderId="5" xfId="0" applyFont="1" applyFill="1" applyBorder="1" applyAlignment="1">
      <alignment horizontal="center" vertical="center"/>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shrinkToFit="1"/>
    </xf>
    <xf numFmtId="179" fontId="19" fillId="0" borderId="1" xfId="0" applyNumberFormat="1" applyFont="1" applyFill="1" applyBorder="1" applyAlignment="1">
      <alignment horizontal="center" vertical="center" wrapText="1" shrinkToFit="1"/>
    </xf>
    <xf numFmtId="179" fontId="113" fillId="0" borderId="1" xfId="0" applyNumberFormat="1" applyFont="1" applyFill="1" applyBorder="1" applyAlignment="1">
      <alignment horizontal="center" vertical="center"/>
    </xf>
    <xf numFmtId="177" fontId="130" fillId="13" borderId="1" xfId="0" applyNumberFormat="1" applyFont="1" applyFill="1" applyBorder="1" applyAlignment="1">
      <alignment horizontal="center" vertical="center" wrapText="1"/>
    </xf>
    <xf numFmtId="49" fontId="19" fillId="0" borderId="0" xfId="0" applyNumberFormat="1" applyFont="1" applyFill="1" applyAlignment="1">
      <alignment horizontal="center" vertical="center"/>
    </xf>
    <xf numFmtId="179" fontId="19" fillId="0" borderId="0" xfId="0" applyNumberFormat="1" applyFont="1" applyFill="1" applyAlignment="1">
      <alignment horizontal="center" vertical="center"/>
    </xf>
    <xf numFmtId="177" fontId="19" fillId="0" borderId="0" xfId="0" applyNumberFormat="1" applyFont="1" applyFill="1" applyAlignment="1">
      <alignment horizontal="center" vertical="center"/>
    </xf>
    <xf numFmtId="0" fontId="0" fillId="0" borderId="0" xfId="0" applyFill="1">
      <alignment vertical="center"/>
    </xf>
    <xf numFmtId="0" fontId="19" fillId="0" borderId="0" xfId="0" applyFont="1" applyFill="1" applyBorder="1" applyAlignment="1">
      <alignment horizontal="center" vertical="center"/>
    </xf>
    <xf numFmtId="179" fontId="19" fillId="0" borderId="1" xfId="0" applyNumberFormat="1" applyFont="1" applyFill="1" applyBorder="1" applyAlignment="1" applyProtection="1">
      <alignment horizontal="center" vertical="center" wrapText="1" shrinkToFit="1"/>
    </xf>
    <xf numFmtId="0" fontId="84" fillId="17" borderId="1" xfId="0" applyFont="1" applyFill="1" applyBorder="1" applyAlignment="1">
      <alignment horizontal="center" vertical="center"/>
    </xf>
    <xf numFmtId="176" fontId="84" fillId="17" borderId="1" xfId="0" applyNumberFormat="1" applyFont="1" applyFill="1" applyBorder="1" applyAlignment="1">
      <alignment horizontal="center" vertical="center"/>
    </xf>
    <xf numFmtId="177" fontId="84" fillId="17" borderId="1" xfId="13" applyNumberFormat="1" applyFont="1" applyFill="1" applyBorder="1" applyAlignment="1">
      <alignment horizontal="center" vertical="center"/>
    </xf>
    <xf numFmtId="186" fontId="84" fillId="17" borderId="1" xfId="0" applyNumberFormat="1" applyFont="1" applyFill="1" applyBorder="1" applyAlignment="1">
      <alignment horizontal="center" vertical="center"/>
    </xf>
    <xf numFmtId="0" fontId="84" fillId="0" borderId="0" xfId="0" applyFont="1" applyFill="1" applyAlignment="1">
      <alignment horizontal="center" vertical="center"/>
    </xf>
    <xf numFmtId="0" fontId="144" fillId="0" borderId="0" xfId="0" applyFont="1">
      <alignment vertical="center"/>
    </xf>
    <xf numFmtId="177" fontId="19" fillId="0" borderId="0" xfId="13" applyNumberFormat="1" applyFont="1" applyFill="1" applyAlignment="1">
      <alignment horizontal="center" vertical="center"/>
    </xf>
    <xf numFmtId="186" fontId="19" fillId="0" borderId="0" xfId="0" applyNumberFormat="1" applyFont="1" applyFill="1" applyAlignment="1">
      <alignment horizontal="center" vertical="center"/>
    </xf>
    <xf numFmtId="0" fontId="192" fillId="2" borderId="1" xfId="0" applyFont="1" applyFill="1" applyBorder="1" applyAlignment="1" applyProtection="1">
      <alignment horizontal="center" vertical="center"/>
      <protection locked="0"/>
    </xf>
    <xf numFmtId="0" fontId="19" fillId="5" borderId="0" xfId="0" applyFont="1" applyFill="1" applyAlignment="1">
      <alignment horizontal="center" vertical="center"/>
    </xf>
    <xf numFmtId="0" fontId="190" fillId="7" borderId="60"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4" fillId="3" borderId="60" xfId="0" applyFont="1" applyFill="1" applyBorder="1" applyAlignment="1">
      <alignment horizontal="center" vertical="center"/>
    </xf>
    <xf numFmtId="0" fontId="260" fillId="0" borderId="60" xfId="0" applyFont="1" applyFill="1" applyBorder="1" applyAlignment="1">
      <alignment horizontal="center" vertical="center"/>
    </xf>
    <xf numFmtId="177" fontId="260" fillId="0" borderId="60" xfId="0" applyNumberFormat="1" applyFont="1" applyFill="1" applyBorder="1" applyAlignment="1">
      <alignment horizontal="center" vertical="center"/>
    </xf>
    <xf numFmtId="0" fontId="260" fillId="0" borderId="0" xfId="0" applyFont="1" applyFill="1" applyBorder="1" applyAlignment="1">
      <alignment horizontal="center" vertical="center"/>
    </xf>
    <xf numFmtId="0" fontId="84" fillId="17" borderId="1" xfId="0" applyFont="1" applyFill="1" applyBorder="1" applyAlignment="1">
      <alignment horizontal="center" vertical="center"/>
    </xf>
    <xf numFmtId="0" fontId="0" fillId="0" borderId="60" xfId="0" applyBorder="1" applyAlignment="1">
      <alignment horizontal="center" vertical="center"/>
    </xf>
    <xf numFmtId="0" fontId="256" fillId="3" borderId="1" xfId="0" applyFont="1" applyFill="1" applyBorder="1" applyAlignment="1">
      <alignment horizontal="center" vertical="center"/>
    </xf>
    <xf numFmtId="0" fontId="0" fillId="0" borderId="1" xfId="0"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0</xdr:row>
      <xdr:rowOff>104776</xdr:rowOff>
    </xdr:from>
    <xdr:to>
      <xdr:col>8</xdr:col>
      <xdr:colOff>0</xdr:colOff>
      <xdr:row>26</xdr:row>
      <xdr:rowOff>48558</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104776"/>
          <a:ext cx="5324475" cy="4401482"/>
        </a:xfrm>
        <a:prstGeom prst="rect">
          <a:avLst/>
        </a:prstGeom>
      </xdr:spPr>
    </xdr:pic>
    <xdr:clientData/>
  </xdr:twoCellAnchor>
  <xdr:twoCellAnchor editAs="oneCell">
    <xdr:from>
      <xdr:col>7</xdr:col>
      <xdr:colOff>628650</xdr:colOff>
      <xdr:row>5</xdr:row>
      <xdr:rowOff>19051</xdr:rowOff>
    </xdr:from>
    <xdr:to>
      <xdr:col>18</xdr:col>
      <xdr:colOff>75246</xdr:colOff>
      <xdr:row>12</xdr:row>
      <xdr:rowOff>74035</xdr:rowOff>
    </xdr:to>
    <xdr:pic>
      <xdr:nvPicPr>
        <xdr:cNvPr id="3" name="图片 2"/>
        <xdr:cNvPicPr>
          <a:picLocks noChangeAspect="1"/>
        </xdr:cNvPicPr>
      </xdr:nvPicPr>
      <xdr:blipFill>
        <a:blip xmlns:r="http://schemas.openxmlformats.org/officeDocument/2006/relationships" r:embed="rId2"/>
        <a:stretch>
          <a:fillRect/>
        </a:stretch>
      </xdr:blipFill>
      <xdr:spPr>
        <a:xfrm>
          <a:off x="5429250" y="876301"/>
          <a:ext cx="6990396" cy="1255134"/>
        </a:xfrm>
        <a:prstGeom prst="rect">
          <a:avLst/>
        </a:prstGeom>
      </xdr:spPr>
    </xdr:pic>
    <xdr:clientData/>
  </xdr:twoCellAnchor>
  <xdr:twoCellAnchor editAs="oneCell">
    <xdr:from>
      <xdr:col>0</xdr:col>
      <xdr:colOff>219075</xdr:colOff>
      <xdr:row>26</xdr:row>
      <xdr:rowOff>38100</xdr:rowOff>
    </xdr:from>
    <xdr:to>
      <xdr:col>9</xdr:col>
      <xdr:colOff>599698</xdr:colOff>
      <xdr:row>58</xdr:row>
      <xdr:rowOff>28575</xdr:rowOff>
    </xdr:to>
    <xdr:pic>
      <xdr:nvPicPr>
        <xdr:cNvPr id="4" name="图片 3"/>
        <xdr:cNvPicPr>
          <a:picLocks noChangeAspect="1"/>
        </xdr:cNvPicPr>
      </xdr:nvPicPr>
      <xdr:blipFill>
        <a:blip xmlns:r="http://schemas.openxmlformats.org/officeDocument/2006/relationships" r:embed="rId3"/>
        <a:stretch>
          <a:fillRect/>
        </a:stretch>
      </xdr:blipFill>
      <xdr:spPr>
        <a:xfrm>
          <a:off x="219075" y="4495800"/>
          <a:ext cx="6552823" cy="5476875"/>
        </a:xfrm>
        <a:prstGeom prst="rect">
          <a:avLst/>
        </a:prstGeom>
      </xdr:spPr>
    </xdr:pic>
    <xdr:clientData/>
  </xdr:twoCellAnchor>
  <xdr:twoCellAnchor editAs="oneCell">
    <xdr:from>
      <xdr:col>10</xdr:col>
      <xdr:colOff>19049</xdr:colOff>
      <xdr:row>26</xdr:row>
      <xdr:rowOff>57150</xdr:rowOff>
    </xdr:from>
    <xdr:to>
      <xdr:col>23</xdr:col>
      <xdr:colOff>408118</xdr:colOff>
      <xdr:row>53</xdr:row>
      <xdr:rowOff>148649</xdr:rowOff>
    </xdr:to>
    <xdr:pic>
      <xdr:nvPicPr>
        <xdr:cNvPr id="5" name="图片 4"/>
        <xdr:cNvPicPr>
          <a:picLocks noChangeAspect="1"/>
        </xdr:cNvPicPr>
      </xdr:nvPicPr>
      <xdr:blipFill>
        <a:blip xmlns:r="http://schemas.openxmlformats.org/officeDocument/2006/relationships" r:embed="rId4"/>
        <a:stretch>
          <a:fillRect/>
        </a:stretch>
      </xdr:blipFill>
      <xdr:spPr>
        <a:xfrm>
          <a:off x="6877049" y="4514850"/>
          <a:ext cx="9304469" cy="4720649"/>
        </a:xfrm>
        <a:prstGeom prst="rect">
          <a:avLst/>
        </a:prstGeom>
      </xdr:spPr>
    </xdr:pic>
    <xdr:clientData/>
  </xdr:twoCellAnchor>
  <xdr:twoCellAnchor editAs="oneCell">
    <xdr:from>
      <xdr:col>0</xdr:col>
      <xdr:colOff>314325</xdr:colOff>
      <xdr:row>58</xdr:row>
      <xdr:rowOff>9525</xdr:rowOff>
    </xdr:from>
    <xdr:to>
      <xdr:col>12</xdr:col>
      <xdr:colOff>609600</xdr:colOff>
      <xdr:row>89</xdr:row>
      <xdr:rowOff>34058</xdr:rowOff>
    </xdr:to>
    <xdr:pic>
      <xdr:nvPicPr>
        <xdr:cNvPr id="6" name="图片 5"/>
        <xdr:cNvPicPr>
          <a:picLocks noChangeAspect="1"/>
        </xdr:cNvPicPr>
      </xdr:nvPicPr>
      <xdr:blipFill>
        <a:blip xmlns:r="http://schemas.openxmlformats.org/officeDocument/2006/relationships" r:embed="rId5"/>
        <a:stretch>
          <a:fillRect/>
        </a:stretch>
      </xdr:blipFill>
      <xdr:spPr>
        <a:xfrm>
          <a:off x="314325" y="9953625"/>
          <a:ext cx="8524875" cy="533948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浙江省宁波市宁穿路960号1-2号等249套房地产抵押价值预评估</v>
      </c>
    </row>
    <row r="3" spans="1:2" s="1593" customFormat="1">
      <c r="A3" s="1591" t="s">
        <v>1221</v>
      </c>
      <c r="B3" s="1592" t="str">
        <f>'预评函-封皮'!B40</f>
        <v>宁波银亿新城置业有限公司</v>
      </c>
    </row>
    <row r="4" spans="1:2" s="1593" customFormat="1">
      <c r="A4" s="1591" t="s">
        <v>1222</v>
      </c>
      <c r="B4" s="1592" t="str">
        <f ca="1">'预评函-封皮'!B46</f>
        <v>吴薇（注册号：1419970001)、刘梅（注册号：1120140022)</v>
      </c>
    </row>
    <row r="5" spans="1:2" s="1587" customFormat="1" ht="15" thickBot="1">
      <c r="A5" s="1594" t="s">
        <v>1223</v>
      </c>
      <c r="B5" s="1595" t="str">
        <f>'预评函-封皮'!B49</f>
        <v>康正预评字2018-1-0477-P01DYGJ2号</v>
      </c>
    </row>
    <row r="6" spans="1:2" s="1590" customFormat="1" ht="15" thickTop="1">
      <c r="A6" s="1588" t="s">
        <v>1224</v>
      </c>
      <c r="B6" s="1589" t="str">
        <f>'预评函-1'!A4</f>
        <v>受贵公司委托，我公司对浙江省宁波市宁穿路960号1-2号等249套房地产抵押价值进行了预评估。</v>
      </c>
    </row>
    <row r="7" spans="1:2" s="1593" customFormat="1">
      <c r="A7" s="1591" t="s">
        <v>1264</v>
      </c>
      <c r="B7" s="1592" t="str">
        <f>'预评函-1'!A7</f>
        <v>估价对象为浙江省宁波市宁穿路960号1-2号等249套房地产，为宁波银亿新城置业有限公司所有。根据《国有土地使用证》[]，估价对象（分摊）出让国有建设用地使用权面积为3270.08平方米，建筑面积为18418.46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浙江省宁波市宁穿路960号1-2号等249套房地产,属宁波银亿新城置业有限公司开发建设的商业项目，该项目尚在开发建设中。根据《国有土地使用证》[]，估价对象（分摊）出让国有建设用地使用权面积为3270.08平方米，规划建筑面积为18418.46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为估价委托人在向华澳国际信托有限公司办理贷款手续过程中，确定房地产抵押贷款额度提供参考依据而评估房地产抵押价值。</v>
      </c>
    </row>
    <row r="12" spans="1:2" s="1593" customFormat="1">
      <c r="A12" s="1591" t="s">
        <v>1226</v>
      </c>
      <c r="B12" s="1592" t="str">
        <f>'预评函-1'!A15</f>
        <v>2018年6月28日（评估专业人员实地查勘之日）</v>
      </c>
    </row>
    <row r="13" spans="1:2" s="1593" customFormat="1">
      <c r="A13" s="1591" t="s">
        <v>1227</v>
      </c>
      <c r="B13" s="1592" t="str">
        <f>'预评函-1'!A18</f>
        <v>本次估价的“房地产价值”是指在正常市场情况下，在价值时点2018年6月28日，估价对象规划用途为商业，土地取得方式为出让，出让国有建设用地使用权剩余土地使用年限为商业35.18年，假定未设立法定优先受偿款下的房地产市场价值。</v>
      </c>
    </row>
    <row r="14" spans="1:2" s="1593" customFormat="1">
      <c r="A14" s="1591" t="s">
        <v>1228</v>
      </c>
      <c r="B14" s="1592" t="str">
        <f>'预评函-1'!A19</f>
        <v>其中，“出让国有建设用地使用权价值”是指估价对象用途为商业，实际开发程度为宗地红线外“五通”（即通路、通电、通讯、通上水、通下水）、红线内场地平整条件下，剩余土地使用年限为商业35.18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1229</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599</v>
      </c>
    </row>
    <row r="21" spans="1:2" s="1593" customFormat="1">
      <c r="A21" s="1591" t="s">
        <v>1235</v>
      </c>
      <c r="B21" s="1592">
        <f ca="1">'预评函-2'!D7</f>
        <v>42515</v>
      </c>
    </row>
    <row r="22" spans="1:2" s="1593" customFormat="1">
      <c r="A22" s="1591" t="s">
        <v>1236</v>
      </c>
      <c r="B22" s="1592" t="str">
        <f ca="1">'预评函-2'!D6</f>
        <v>伍佰玖拾玖万元整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25000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v>
      </c>
    </row>
    <row r="30" spans="1:2" s="1593" customFormat="1">
      <c r="A30" s="1591" t="s">
        <v>1292</v>
      </c>
      <c r="B30" s="1592" t="str">
        <f>'预评函-2'!D13</f>
        <v>——</v>
      </c>
    </row>
    <row r="31" spans="1:2" s="1593" customFormat="1">
      <c r="A31" s="1591" t="s">
        <v>1274</v>
      </c>
      <c r="B31" s="1592" t="e">
        <f>'预评函-2'!D15</f>
        <v>#VALUE!</v>
      </c>
    </row>
    <row r="32" spans="1:2" s="1593" customFormat="1">
      <c r="A32" s="1591" t="s">
        <v>1241</v>
      </c>
      <c r="B32" s="1592" t="e">
        <f>'预评函-2'!D14</f>
        <v>#VALUE!</v>
      </c>
    </row>
    <row r="33" spans="1:2" s="1593" customFormat="1">
      <c r="A33" s="1591" t="s">
        <v>1276</v>
      </c>
      <c r="B33" s="1592" t="str">
        <f>'预评函-2'!B16</f>
        <v>3.抵押担保权已注销时的房地产抵押价值</v>
      </c>
    </row>
    <row r="34" spans="1:2" s="1593" customFormat="1">
      <c r="A34" s="1591" t="s">
        <v>1294</v>
      </c>
      <c r="B34" s="1592">
        <f ca="1">'预评函-2'!D16</f>
        <v>599</v>
      </c>
    </row>
    <row r="35" spans="1:2" s="1593" customFormat="1">
      <c r="A35" s="1591" t="s">
        <v>1275</v>
      </c>
      <c r="B35" s="1592">
        <f ca="1">'预评函-2'!D18</f>
        <v>325</v>
      </c>
    </row>
    <row r="36" spans="1:2" s="1593" customFormat="1">
      <c r="A36" s="1591" t="s">
        <v>1242</v>
      </c>
      <c r="B36" s="1592" t="str">
        <f ca="1">'预评函-2'!D17</f>
        <v>伍佰玖拾玖万元整</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浙江省宁波市宁穿路960号1-2号等249套房地产</v>
      </c>
    </row>
    <row r="42" spans="1:2" s="1593" customFormat="1">
      <c r="A42" s="1591" t="s">
        <v>1288</v>
      </c>
      <c r="B42" s="1592" t="str">
        <f>'预评函-3'!B2</f>
        <v>建筑面积</v>
      </c>
    </row>
    <row r="43" spans="1:2" s="1593" customFormat="1">
      <c r="A43" s="1591" t="s">
        <v>1289</v>
      </c>
      <c r="B43" s="1592">
        <f>'预评函-3'!B4</f>
        <v>18418.460000000006</v>
      </c>
    </row>
    <row r="44" spans="1:2" s="1593" customFormat="1">
      <c r="A44" s="1591" t="s">
        <v>1273</v>
      </c>
      <c r="B44" s="1592" t="str">
        <f>'预评函-3'!C2</f>
        <v>(分摊)土地面积</v>
      </c>
    </row>
    <row r="45" spans="1:2" s="1593" customFormat="1">
      <c r="A45" s="1591" t="s">
        <v>1245</v>
      </c>
      <c r="B45" s="1592">
        <f>'预评函-3'!C4</f>
        <v>3270.08</v>
      </c>
    </row>
    <row r="46" spans="1:2" s="1593" customFormat="1">
      <c r="A46" s="1591" t="s">
        <v>1271</v>
      </c>
      <c r="B46" s="1592" t="str">
        <f>'预评函-3'!D2</f>
        <v>出让国有建设用地使用权价值</v>
      </c>
    </row>
    <row r="47" spans="1:2" s="1593" customFormat="1">
      <c r="A47" s="1591" t="s">
        <v>1246</v>
      </c>
      <c r="B47" s="1592">
        <f ca="1">'预评函-3'!D4</f>
        <v>466</v>
      </c>
    </row>
    <row r="48" spans="1:2" s="1593" customFormat="1">
      <c r="A48" s="1591" t="s">
        <v>1247</v>
      </c>
      <c r="B48" s="1592">
        <f ca="1">'预评函-3'!E4</f>
        <v>33075</v>
      </c>
    </row>
    <row r="49" spans="1:2" s="1593" customFormat="1">
      <c r="A49" s="1591" t="s">
        <v>1248</v>
      </c>
      <c r="B49" s="1592" t="str">
        <f ca="1">'预评函-3'!D5</f>
        <v>肆佰陆拾陆万元整</v>
      </c>
    </row>
    <row r="50" spans="1:2" s="1593" customFormat="1">
      <c r="A50" s="1591" t="s">
        <v>1272</v>
      </c>
      <c r="B50" s="1592" t="str">
        <f>'预评函-3'!F2</f>
        <v>建筑物价值</v>
      </c>
    </row>
    <row r="51" spans="1:2" s="1593" customFormat="1">
      <c r="A51" s="1591" t="s">
        <v>1249</v>
      </c>
      <c r="B51" s="1592">
        <f ca="1">'预评函-3'!F4</f>
        <v>133</v>
      </c>
    </row>
    <row r="52" spans="1:2" s="1593" customFormat="1">
      <c r="A52" s="1591" t="s">
        <v>1250</v>
      </c>
      <c r="B52" s="1592">
        <f ca="1">'预评函-3'!G4</f>
        <v>9440</v>
      </c>
    </row>
    <row r="53" spans="1:2" s="1593" customFormat="1">
      <c r="A53" s="1591" t="s">
        <v>1278</v>
      </c>
      <c r="B53" s="1592" t="str">
        <f ca="1">'预评函-3'!F5</f>
        <v>壹佰叁拾叁万元整</v>
      </c>
    </row>
    <row r="54" spans="1:2" s="1593" customFormat="1">
      <c r="A54" s="1591" t="s">
        <v>1296</v>
      </c>
      <c r="B54" s="1592" t="str">
        <f>'预评函-3'!A8</f>
        <v/>
      </c>
    </row>
    <row r="55" spans="1:2" s="1593" customFormat="1">
      <c r="A55" s="1591" t="s">
        <v>1279</v>
      </c>
      <c r="B55" s="1592" t="str">
        <f>'预评函-3'!A10</f>
        <v>抵押担保权已注销时的房地产抵押价值</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（1）根据估价对象《不动产权证书》原件，截至价值时点，估价对象已设定抵押。上述抵押权设定日期为2018年4月26日，权利人为中建投信托有限责任公司，权利范围为，权利价值为25000。</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吴薇</v>
      </c>
    </row>
    <row r="71" spans="1:2">
      <c r="A71" s="1591" t="s">
        <v>1261</v>
      </c>
      <c r="B71" s="1592">
        <f ca="1">'预评函-4'!B4</f>
        <v>1419970001</v>
      </c>
    </row>
    <row r="72" spans="1:2">
      <c r="A72" s="1591" t="s">
        <v>1262</v>
      </c>
      <c r="B72" s="1600" t="str">
        <f>'预评函-4'!A5</f>
        <v>刘梅</v>
      </c>
    </row>
    <row r="73" spans="1:2" s="1587" customFormat="1" ht="15" thickBot="1">
      <c r="A73" s="1594" t="s">
        <v>1263</v>
      </c>
      <c r="B73" s="1595">
        <f ca="1">'预评函-4'!B5</f>
        <v>1120140022</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9" sqref="B29"/>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宁波银亿新城置业有限公司拟使用浙江省宁波市宁穿路960号1-2号等249套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67"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67"/>
      <c r="B54" s="2020" t="s">
        <v>864</v>
      </c>
      <c r="C54" s="2017" t="s">
        <v>1281</v>
      </c>
    </row>
    <row r="55" spans="1:4">
      <c r="A55" s="3067"/>
      <c r="B55" s="2020" t="s">
        <v>865</v>
      </c>
      <c r="C55" s="2017" t="s">
        <v>1282</v>
      </c>
    </row>
    <row r="56" spans="1:4">
      <c r="A56" s="3067"/>
      <c r="B56" s="2020" t="s">
        <v>866</v>
      </c>
      <c r="C56" s="2017" t="s">
        <v>1286</v>
      </c>
    </row>
    <row r="57" spans="1:4">
      <c r="A57" s="3067"/>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G8" sqref="G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1776</v>
      </c>
      <c r="B1" s="3068" t="str">
        <f>IF(B10="北京市","北京市",C10)&amp;F10&amp;IF(结果表!G1="在建","出让国有建设用地使用权及在建建筑物",IF(结果表!G1="土地","出让国有建设用地使用权",))&amp;B9&amp;"预评估"</f>
        <v>浙江省宁波市宁穿路960号1-2号等249套房地产抵押价值预评估</v>
      </c>
      <c r="C1" s="3069"/>
      <c r="D1" s="3069"/>
      <c r="E1" s="3069"/>
      <c r="F1" s="3069"/>
      <c r="G1" s="3069"/>
      <c r="H1" s="3069"/>
      <c r="I1" s="307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浙江省宁波市宁穿路960号1-2号等249套房地产抵押价值</v>
      </c>
    </row>
    <row r="2" spans="1:19" ht="18" customHeight="1">
      <c r="A2" s="2024" t="s">
        <v>1777</v>
      </c>
      <c r="B2" s="1041" t="s">
        <v>3993</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浙江省宁波市宁穿路960号1-2号等249套房地产</v>
      </c>
    </row>
    <row r="3" spans="1:19" ht="18" customHeight="1">
      <c r="A3" s="2033" t="s">
        <v>1778</v>
      </c>
      <c r="B3" s="2034">
        <v>43279</v>
      </c>
      <c r="C3" s="2035" t="s">
        <v>1779</v>
      </c>
      <c r="D3" s="2034">
        <v>43279</v>
      </c>
      <c r="E3" s="2024"/>
      <c r="F3" s="2024"/>
      <c r="G3" s="2024"/>
      <c r="H3" s="2024"/>
      <c r="I3" s="2024"/>
      <c r="J3" s="2024"/>
      <c r="K3" s="2025"/>
      <c r="L3" s="2026"/>
      <c r="M3" s="2026"/>
      <c r="N3" s="2027"/>
      <c r="O3" s="2028"/>
      <c r="P3" s="2027"/>
      <c r="Q3" s="2027"/>
      <c r="R3" s="2027"/>
      <c r="S3" s="2029"/>
    </row>
    <row r="4" spans="1:19" ht="18" customHeight="1" thickBot="1">
      <c r="A4" s="2036" t="s">
        <v>1780</v>
      </c>
      <c r="B4" s="2037" t="s">
        <v>3039</v>
      </c>
      <c r="C4" s="1039">
        <f ca="1">SUMIF(注册房地产估价师,B4,估价师及机构信息!B3:B24)</f>
        <v>1419970001</v>
      </c>
      <c r="D4" s="2037" t="s">
        <v>3040</v>
      </c>
      <c r="E4" s="1040">
        <f ca="1">SUMIF(注册房地产估价师,D4,估价师及机构信息!B3:B24)</f>
        <v>1120140022</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吴薇（注册号：1419970001)、刘梅（注册号：1120140022)</v>
      </c>
      <c r="L4" s="2026"/>
      <c r="M4" s="2026"/>
      <c r="N4" s="2027"/>
      <c r="O4" s="2028"/>
      <c r="P4" s="2027"/>
      <c r="Q4" s="2027"/>
      <c r="R4" s="2027"/>
      <c r="S4" s="2029"/>
    </row>
    <row r="5" spans="1:19" ht="18" customHeight="1" thickTop="1">
      <c r="A5" s="2042" t="s">
        <v>1781</v>
      </c>
      <c r="B5" s="2947" t="s">
        <v>3041</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948" t="s">
        <v>3042</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1783</v>
      </c>
      <c r="B7" s="2046" t="str">
        <f>B5</f>
        <v>宁波银亿新城置业有限公司</v>
      </c>
      <c r="C7" s="2047"/>
      <c r="D7" s="2048"/>
      <c r="E7" s="2032"/>
      <c r="F7" s="2040"/>
      <c r="G7" s="2040"/>
      <c r="H7" s="2040"/>
      <c r="I7" s="2040"/>
      <c r="J7" s="2040"/>
      <c r="K7" s="2050"/>
      <c r="L7" s="2026"/>
      <c r="M7" s="2026"/>
      <c r="N7" s="2027"/>
      <c r="O7" s="2028"/>
      <c r="P7" s="2027"/>
      <c r="Q7" s="2027"/>
      <c r="R7" s="2027"/>
    </row>
    <row r="8" spans="1:19" ht="18" customHeight="1">
      <c r="A8" s="2045" t="s">
        <v>1784</v>
      </c>
      <c r="B8" s="2051" t="s">
        <v>3043</v>
      </c>
      <c r="C8" s="2052"/>
      <c r="D8" s="3071" t="s">
        <v>1785</v>
      </c>
      <c r="E8" s="2053" t="s">
        <v>3998</v>
      </c>
      <c r="F8" s="2054"/>
      <c r="G8" s="2024"/>
      <c r="H8" s="2024"/>
      <c r="I8" s="2024"/>
      <c r="J8" s="2040"/>
      <c r="K8" s="2041"/>
      <c r="L8" s="2026"/>
      <c r="M8" s="2026"/>
      <c r="N8" s="2027"/>
      <c r="O8" s="2028"/>
      <c r="P8" s="2027"/>
      <c r="Q8" s="2027"/>
      <c r="R8" s="2027"/>
    </row>
    <row r="9" spans="1:19" ht="18" customHeight="1" thickBot="1">
      <c r="A9" s="2038" t="s">
        <v>1786</v>
      </c>
      <c r="B9" s="2055" t="s">
        <v>3044</v>
      </c>
      <c r="C9" s="2056"/>
      <c r="D9" s="3072"/>
      <c r="E9" s="2055" t="s">
        <v>70</v>
      </c>
      <c r="F9" s="2057"/>
      <c r="G9" s="2058"/>
      <c r="H9" s="2058"/>
      <c r="I9" s="2058"/>
      <c r="J9" s="2040"/>
      <c r="K9" s="2050"/>
      <c r="L9" s="2026"/>
      <c r="M9" s="2026"/>
      <c r="N9" s="2027"/>
      <c r="O9" s="2028"/>
      <c r="P9" s="2027"/>
      <c r="Q9" s="2027"/>
      <c r="R9" s="2027"/>
    </row>
    <row r="10" spans="1:19" ht="18" customHeight="1" thickTop="1">
      <c r="A10" s="2059" t="s">
        <v>1787</v>
      </c>
      <c r="B10" s="2060" t="s">
        <v>3045</v>
      </c>
      <c r="C10" s="3022" t="s">
        <v>3994</v>
      </c>
      <c r="D10" s="2044"/>
      <c r="E10" s="2061" t="s">
        <v>1788</v>
      </c>
      <c r="F10" s="2062" t="s">
        <v>3995</v>
      </c>
      <c r="G10" s="2063"/>
      <c r="H10" s="2064"/>
      <c r="I10" s="2044"/>
      <c r="J10" s="2040"/>
      <c r="K10" s="2050"/>
      <c r="L10" s="2026"/>
      <c r="M10" s="2026"/>
      <c r="N10" s="2027"/>
      <c r="O10" s="2028"/>
      <c r="P10" s="2027"/>
      <c r="Q10" s="2027"/>
      <c r="R10" s="2027"/>
    </row>
    <row r="11" spans="1:19" ht="18" customHeight="1">
      <c r="A11" s="2065" t="s">
        <v>1789</v>
      </c>
      <c r="B11" s="2066" t="s">
        <v>3046</v>
      </c>
      <c r="C11" s="2949" t="s">
        <v>3041</v>
      </c>
      <c r="D11" s="2067"/>
      <c r="E11" s="2040"/>
      <c r="F11" s="2040"/>
      <c r="G11" s="2040"/>
      <c r="H11" s="2040"/>
      <c r="I11" s="2040"/>
      <c r="J11" s="2040"/>
      <c r="K11" s="2050"/>
      <c r="L11" s="2026"/>
      <c r="M11" s="2026"/>
      <c r="N11" s="2027"/>
      <c r="O11" s="2028"/>
      <c r="P11" s="2027"/>
      <c r="Q11" s="2027"/>
      <c r="R11" s="2027"/>
    </row>
    <row r="12" spans="1:19" ht="18" customHeight="1">
      <c r="A12" s="2068" t="s">
        <v>1790</v>
      </c>
      <c r="B12" s="2066" t="s">
        <v>3047</v>
      </c>
      <c r="C12" s="2069" t="s">
        <v>1791</v>
      </c>
      <c r="D12" s="2070" t="s">
        <v>1792</v>
      </c>
      <c r="E12" s="2070" t="s">
        <v>1793</v>
      </c>
      <c r="F12" s="2070" t="s">
        <v>1794</v>
      </c>
      <c r="G12" s="2070" t="s">
        <v>1795</v>
      </c>
      <c r="H12" s="2070" t="s">
        <v>1796</v>
      </c>
      <c r="I12" s="2070" t="s">
        <v>1797</v>
      </c>
      <c r="J12" s="2040"/>
      <c r="K12" s="2050"/>
      <c r="L12" s="2026"/>
      <c r="M12" s="2026"/>
      <c r="N12" s="2027"/>
      <c r="O12" s="2028"/>
      <c r="P12" s="2027"/>
      <c r="Q12" s="2027"/>
      <c r="R12" s="2027"/>
    </row>
    <row r="13" spans="1:19" ht="18" customHeight="1">
      <c r="A13" s="2071"/>
      <c r="B13" s="2072"/>
      <c r="C13" s="2073" t="s">
        <v>1798</v>
      </c>
      <c r="D13" s="2074"/>
      <c r="E13" s="2074">
        <v>56123</v>
      </c>
      <c r="F13" s="2074"/>
      <c r="G13" s="2074"/>
      <c r="H13" s="2074"/>
      <c r="I13" s="1049"/>
      <c r="J13" s="2040"/>
      <c r="K13" s="2050"/>
      <c r="L13" s="2026"/>
      <c r="M13" s="2026"/>
      <c r="N13" s="2027"/>
      <c r="O13" s="2028"/>
      <c r="P13" s="2027"/>
      <c r="Q13" s="2027"/>
      <c r="R13" s="2027"/>
    </row>
    <row r="14" spans="1:19" ht="18" customHeight="1">
      <c r="A14" s="2071"/>
      <c r="B14" s="2072"/>
      <c r="C14" s="2073" t="s">
        <v>1799</v>
      </c>
      <c r="D14" s="1052"/>
      <c r="E14" s="1052">
        <v>40</v>
      </c>
      <c r="F14" s="1052"/>
      <c r="G14" s="1052"/>
      <c r="H14" s="1052"/>
      <c r="I14" s="1052"/>
      <c r="J14" s="2040"/>
      <c r="K14" s="2075"/>
      <c r="L14" s="2026"/>
      <c r="M14" s="2026"/>
      <c r="N14" s="2027"/>
      <c r="O14" s="2028"/>
      <c r="P14" s="2027"/>
      <c r="Q14" s="2027"/>
      <c r="R14" s="2027"/>
    </row>
    <row r="15" spans="1:19" ht="18" customHeight="1">
      <c r="A15" s="2059"/>
      <c r="B15" s="2076"/>
      <c r="C15" s="2073" t="s">
        <v>1800</v>
      </c>
      <c r="D15" s="1051" t="str">
        <f>IF(B12="出让",IF(D13="","",ROUNDDOWN(MIN((D13-$D$3)/365,D14),2)),D14)</f>
        <v/>
      </c>
      <c r="E15" s="1051">
        <f>IF(B12="出让",IF(E13="","",ROUNDDOWN(MIN((E13-$D$3)/365,E14),2)),E14)</f>
        <v>35.18</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0"/>
      <c r="K15" s="2077"/>
      <c r="L15" s="2078"/>
      <c r="M15" s="2078"/>
      <c r="N15" s="2079"/>
      <c r="O15" s="2078"/>
      <c r="P15" s="2079"/>
      <c r="Q15" s="2027"/>
      <c r="R15" s="2027"/>
    </row>
    <row r="16" spans="1:19" ht="30.75" customHeight="1">
      <c r="A16" s="2061" t="s">
        <v>1801</v>
      </c>
      <c r="B16" s="3078" t="s">
        <v>3048</v>
      </c>
      <c r="C16" s="3079"/>
      <c r="D16" s="3080"/>
      <c r="E16" s="2080" t="s">
        <v>1802</v>
      </c>
      <c r="F16" s="3081" t="s">
        <v>3063</v>
      </c>
      <c r="G16" s="3082"/>
      <c r="H16" s="3082"/>
      <c r="I16" s="3083"/>
      <c r="J16" s="2027"/>
      <c r="K16" s="2077"/>
      <c r="L16" s="2078"/>
      <c r="M16" s="2078"/>
      <c r="N16" s="2079"/>
      <c r="O16" s="2078"/>
      <c r="P16" s="2079"/>
      <c r="Q16" s="2027"/>
      <c r="R16" s="2027"/>
    </row>
    <row r="17" spans="1:22" ht="18" customHeight="1">
      <c r="A17" s="2081" t="s">
        <v>1803</v>
      </c>
      <c r="B17" s="2033" t="s">
        <v>1804</v>
      </c>
      <c r="C17" s="1056">
        <f>'数据-汇总表'!E3</f>
        <v>18418.460000000006</v>
      </c>
      <c r="D17" s="2082" t="s">
        <v>1805</v>
      </c>
      <c r="E17" s="3084" t="s">
        <v>3064</v>
      </c>
      <c r="F17" s="3085"/>
      <c r="G17" s="3085"/>
      <c r="H17" s="3085"/>
      <c r="I17" s="3086"/>
      <c r="J17" s="2027"/>
      <c r="K17" s="2083"/>
      <c r="L17" s="2078"/>
      <c r="M17" s="2078"/>
      <c r="N17" s="2079"/>
      <c r="O17" s="2078"/>
      <c r="P17" s="2079"/>
      <c r="Q17" s="2027"/>
      <c r="R17" s="2027"/>
      <c r="S17" s="2027"/>
      <c r="T17" s="2027"/>
      <c r="U17" s="2027"/>
      <c r="V17" s="2027"/>
    </row>
    <row r="18" spans="1:22" ht="36" customHeight="1" thickBot="1">
      <c r="A18" s="2084" t="s">
        <v>1806</v>
      </c>
      <c r="B18" s="2036" t="s">
        <v>1807</v>
      </c>
      <c r="C18" s="1444">
        <f>'数据-汇总表'!D3</f>
        <v>3270.08</v>
      </c>
      <c r="D18" s="2085" t="s">
        <v>1805</v>
      </c>
      <c r="E18" s="3087" t="s">
        <v>1808</v>
      </c>
      <c r="F18" s="3088"/>
      <c r="G18" s="3088"/>
      <c r="H18" s="3088"/>
      <c r="I18" s="3089"/>
      <c r="J18" s="2027"/>
      <c r="K18" s="2083"/>
      <c r="L18" s="2078"/>
      <c r="M18" s="2078"/>
      <c r="N18" s="2079"/>
      <c r="O18" s="2078"/>
      <c r="P18" s="2079"/>
      <c r="Q18" s="2027"/>
      <c r="R18" s="2027"/>
      <c r="S18" s="2027"/>
      <c r="T18" s="2027"/>
      <c r="U18" s="2027"/>
      <c r="V18" s="2027"/>
    </row>
    <row r="19" spans="1:22" ht="37.5" customHeight="1" thickTop="1" thickBot="1">
      <c r="A19" s="373" t="s">
        <v>1809</v>
      </c>
      <c r="B19" s="352" t="s">
        <v>1810</v>
      </c>
      <c r="C19" s="2086" t="s">
        <v>3049</v>
      </c>
      <c r="D19" s="2087" t="s">
        <v>1811</v>
      </c>
      <c r="E19" s="2088" t="s">
        <v>3049</v>
      </c>
      <c r="F19" s="2089" t="str">
        <f>IF(AND(C19="是",E19="否"),"是否提供他项权证或相关说明","")</f>
        <v/>
      </c>
      <c r="G19" s="2090"/>
      <c r="H19" s="2040"/>
      <c r="I19" s="2040"/>
      <c r="J19" s="2040"/>
      <c r="K19" s="2050"/>
      <c r="L19" s="2026"/>
      <c r="M19" s="2026"/>
      <c r="N19" s="2079"/>
      <c r="O19" s="2078"/>
      <c r="P19" s="2079"/>
      <c r="Q19" s="2027"/>
      <c r="R19" s="2027"/>
      <c r="S19" s="2027"/>
      <c r="T19" s="2027"/>
      <c r="U19" s="2027"/>
      <c r="V19" s="2027"/>
    </row>
    <row r="20" spans="1:22" ht="18" customHeight="1">
      <c r="A20" s="2091" t="s">
        <v>1812</v>
      </c>
      <c r="B20" s="3074" t="s">
        <v>1813</v>
      </c>
      <c r="C20" s="3075"/>
      <c r="D20" s="3076" t="s">
        <v>1814</v>
      </c>
      <c r="E20" s="3077"/>
      <c r="F20" s="2092" t="s">
        <v>1815</v>
      </c>
      <c r="G20" s="2040"/>
      <c r="H20" s="2040"/>
      <c r="I20" s="2040"/>
      <c r="J20" s="2040"/>
      <c r="K20" s="3073" t="s">
        <v>1816</v>
      </c>
      <c r="L20" s="747"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6"/>
      <c r="N20" s="2079"/>
      <c r="O20" s="2078"/>
      <c r="P20" s="2079"/>
      <c r="Q20" s="2027"/>
      <c r="R20" s="2027"/>
      <c r="S20" s="2027"/>
      <c r="T20" s="2027"/>
      <c r="U20" s="2027"/>
      <c r="V20" s="2027"/>
    </row>
    <row r="21" spans="1:22" ht="24.75" customHeight="1">
      <c r="A21" s="2091"/>
      <c r="B21" s="2093" t="s">
        <v>3050</v>
      </c>
      <c r="C21" s="2094" t="s">
        <v>1817</v>
      </c>
      <c r="D21" s="2095"/>
      <c r="E21" s="2096" t="s">
        <v>70</v>
      </c>
      <c r="F21" s="2950" t="s">
        <v>3051</v>
      </c>
      <c r="G21" s="2040"/>
      <c r="H21" s="2040"/>
      <c r="I21" s="2040"/>
      <c r="J21" s="2040"/>
      <c r="K21" s="307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上述抵押权设定日期为2018年4月26日，权利人为中建投信托有限责任公司，权利范围为，权利价值为25000。</v>
      </c>
      <c r="M21" s="2026"/>
      <c r="N21" s="2079"/>
      <c r="O21" s="2078"/>
      <c r="P21" s="2079"/>
      <c r="Q21" s="2027"/>
      <c r="R21" s="2027"/>
      <c r="S21" s="2027"/>
      <c r="T21" s="2027"/>
      <c r="U21" s="2027"/>
      <c r="V21" s="2027"/>
    </row>
    <row r="22" spans="1:22" ht="24.75" customHeight="1" thickBot="1">
      <c r="A22" s="2091"/>
      <c r="B22" s="2097" t="s">
        <v>70</v>
      </c>
      <c r="C22" s="2094" t="s">
        <v>70</v>
      </c>
      <c r="D22" s="2024"/>
      <c r="E22" s="2024"/>
      <c r="F22" s="2098"/>
      <c r="G22" s="2040"/>
      <c r="H22" s="2040"/>
      <c r="I22" s="2040"/>
      <c r="J22" s="2040"/>
      <c r="K22" s="307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099" t="s">
        <v>1818</v>
      </c>
      <c r="B23" s="183" t="s">
        <v>1819</v>
      </c>
      <c r="C23" s="2100">
        <v>43216</v>
      </c>
      <c r="D23" s="2101" t="s">
        <v>1819</v>
      </c>
      <c r="E23" s="2102"/>
      <c r="F23" s="2098"/>
      <c r="G23" s="2040"/>
      <c r="H23" s="2040"/>
      <c r="I23" s="2040"/>
      <c r="J23" s="2040"/>
      <c r="K23" s="2103"/>
      <c r="L23" s="747"/>
      <c r="M23" s="2026"/>
      <c r="N23" s="2079"/>
      <c r="O23" s="2078"/>
      <c r="P23" s="2079"/>
      <c r="Q23" s="2027"/>
      <c r="R23" s="2027"/>
      <c r="S23" s="2027"/>
      <c r="T23" s="2027"/>
      <c r="U23" s="2027"/>
      <c r="V23" s="2027"/>
    </row>
    <row r="24" spans="1:22" ht="18" customHeight="1">
      <c r="A24" s="2104"/>
      <c r="B24" s="183" t="s">
        <v>1820</v>
      </c>
      <c r="C24" s="3023" t="s">
        <v>3996</v>
      </c>
      <c r="D24" s="2099" t="s">
        <v>1820</v>
      </c>
      <c r="E24" s="2106"/>
      <c r="F24" s="2098"/>
      <c r="G24" s="2040"/>
      <c r="H24" s="2040"/>
      <c r="I24" s="2040"/>
      <c r="J24" s="2040"/>
      <c r="K24" s="2103"/>
      <c r="L24" s="747"/>
      <c r="M24" s="2026"/>
      <c r="N24" s="2079"/>
      <c r="O24" s="2078"/>
      <c r="P24" s="2079"/>
      <c r="Q24" s="2027"/>
      <c r="R24" s="2027"/>
      <c r="S24" s="2027"/>
      <c r="T24" s="2027"/>
      <c r="U24" s="2027"/>
      <c r="V24" s="2027"/>
    </row>
    <row r="25" spans="1:22" ht="18" customHeight="1">
      <c r="A25" s="2104"/>
      <c r="B25" s="183" t="s">
        <v>1821</v>
      </c>
      <c r="C25" s="2105"/>
      <c r="D25" s="2099" t="s">
        <v>1821</v>
      </c>
      <c r="E25" s="2106"/>
      <c r="F25" s="2098"/>
      <c r="G25" s="2040"/>
      <c r="H25" s="2040"/>
      <c r="I25" s="2040"/>
      <c r="J25" s="2040"/>
      <c r="K25" s="2050"/>
      <c r="L25" s="2026"/>
      <c r="M25" s="2026"/>
      <c r="N25" s="2079"/>
      <c r="O25" s="2078"/>
      <c r="P25" s="2079"/>
      <c r="Q25" s="2027"/>
      <c r="R25" s="2027"/>
      <c r="S25" s="2027"/>
      <c r="T25" s="2027"/>
      <c r="U25" s="2027"/>
      <c r="V25" s="2027"/>
    </row>
    <row r="26" spans="1:22" ht="18" customHeight="1" thickBot="1">
      <c r="A26" s="2107"/>
      <c r="B26" s="2108" t="s">
        <v>1822</v>
      </c>
      <c r="C26" s="2109">
        <v>25000</v>
      </c>
      <c r="D26" s="2110" t="s">
        <v>1823</v>
      </c>
      <c r="E26" s="2111"/>
      <c r="F26" s="2112"/>
      <c r="G26" s="2058"/>
      <c r="H26" s="2058"/>
      <c r="I26" s="2058"/>
      <c r="J26" s="2040"/>
      <c r="K26" s="2050"/>
      <c r="L26" s="2026"/>
      <c r="M26" s="2026"/>
      <c r="N26" s="2079"/>
      <c r="O26" s="2078"/>
      <c r="P26" s="2079"/>
      <c r="Q26" s="2027"/>
      <c r="R26" s="2027"/>
      <c r="S26" s="2027"/>
      <c r="T26" s="2027"/>
      <c r="U26" s="2027"/>
      <c r="V26" s="2027"/>
    </row>
    <row r="27" spans="1:22" ht="18" customHeight="1" thickTop="1">
      <c r="A27" s="3091" t="s">
        <v>1824</v>
      </c>
      <c r="B27" s="2059" t="s">
        <v>1825</v>
      </c>
      <c r="C27" s="2113" t="s">
        <v>3052</v>
      </c>
      <c r="D27" s="2114"/>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91"/>
      <c r="B28" s="2033" t="s">
        <v>1826</v>
      </c>
      <c r="C28" s="2115" t="s">
        <v>3053</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91"/>
      <c r="B29" s="2033" t="s">
        <v>1827</v>
      </c>
      <c r="C29" s="2118" t="s">
        <v>3054</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92"/>
      <c r="B30" s="2033" t="s">
        <v>1828</v>
      </c>
      <c r="C30" s="3093"/>
      <c r="D30" s="3094"/>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95" t="s">
        <v>1829</v>
      </c>
      <c r="B31" s="2120" t="s">
        <v>3055</v>
      </c>
      <c r="C31" s="2121" t="str">
        <f>IF(B31="现房","成新及维护状况正常否",IF(B31="在建","工程状态是否正常",IF(B31="土地","是否闲置","-")))</f>
        <v>成新及维护状况正常否</v>
      </c>
      <c r="D31" s="2122"/>
      <c r="E31" s="2951" t="s">
        <v>3057</v>
      </c>
      <c r="F31" s="2040"/>
      <c r="G31" s="2040"/>
      <c r="H31" s="2040"/>
      <c r="I31" s="2040"/>
      <c r="J31" s="2040"/>
      <c r="K31" s="2049"/>
      <c r="L31" s="2026"/>
      <c r="M31" s="2026"/>
      <c r="N31" s="2027"/>
      <c r="O31" s="2028"/>
      <c r="P31" s="2027"/>
      <c r="Q31" s="2027"/>
      <c r="R31" s="2027"/>
      <c r="S31" s="2027"/>
      <c r="T31" s="2027"/>
      <c r="U31" s="2027"/>
      <c r="V31" s="2027"/>
    </row>
    <row r="32" spans="1:22" ht="18" customHeight="1">
      <c r="A32" s="3096"/>
      <c r="B32" s="2120"/>
      <c r="C32" s="2121" t="str">
        <f>IF(B32="现房","成新及维护状况是否正常",IF(B32="在建","工程状态是否正常",IF(B32="土地","是否闲置","-")))</f>
        <v>-</v>
      </c>
      <c r="D32" s="2122"/>
      <c r="E32" s="2123"/>
      <c r="F32" s="2040"/>
      <c r="G32" s="2040"/>
      <c r="H32" s="2040"/>
      <c r="I32" s="2040"/>
      <c r="J32" s="2040"/>
      <c r="K32" s="2050"/>
      <c r="L32" s="2026"/>
      <c r="M32" s="2026"/>
      <c r="N32" s="2027"/>
      <c r="O32" s="2028"/>
      <c r="P32" s="2027"/>
      <c r="Q32" s="2027"/>
      <c r="R32" s="2027"/>
      <c r="S32" s="2027"/>
      <c r="T32" s="2027"/>
      <c r="U32" s="2027"/>
      <c r="V32" s="2027"/>
    </row>
    <row r="33" spans="1:22" ht="18" customHeight="1">
      <c r="A33" s="3096"/>
      <c r="B33" s="2124"/>
      <c r="C33" s="2065" t="str">
        <f>IF(B33="现房","成新及维护状况是否正常",IF(B33="在建","工程状态是否正常",IF(B33="土地","是否闲置","-")))</f>
        <v>-</v>
      </c>
      <c r="D33" s="2125"/>
      <c r="E33" s="2126"/>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27" t="s">
        <v>3058</v>
      </c>
      <c r="C34" s="2127" t="s">
        <v>3059</v>
      </c>
      <c r="D34" s="2127" t="s">
        <v>3060</v>
      </c>
      <c r="E34" s="2127" t="s">
        <v>3061</v>
      </c>
      <c r="F34" s="2127" t="s">
        <v>3062</v>
      </c>
      <c r="G34" s="2127" t="s">
        <v>70</v>
      </c>
      <c r="H34" s="2127" t="s">
        <v>70</v>
      </c>
      <c r="I34" s="2040"/>
      <c r="J34" s="2040"/>
      <c r="K34" s="1793">
        <f>COUNTIF(B34:H34,"——")</f>
        <v>2</v>
      </c>
      <c r="L34" s="2069" t="s">
        <v>1831</v>
      </c>
      <c r="M34" s="2069" t="s">
        <v>1832</v>
      </c>
      <c r="N34" s="2069" t="s">
        <v>1833</v>
      </c>
      <c r="O34" s="2069" t="s">
        <v>1834</v>
      </c>
      <c r="P34" s="2069" t="s">
        <v>1835</v>
      </c>
      <c r="Q34" s="2069" t="s">
        <v>1836</v>
      </c>
      <c r="R34" s="2069" t="s">
        <v>1837</v>
      </c>
      <c r="S34" s="3090" t="s">
        <v>1838</v>
      </c>
      <c r="T34" s="2128" t="str">
        <f>NUMBERSTRING(7-K34,1)&amp;"通"</f>
        <v>五通</v>
      </c>
      <c r="U34" s="2027"/>
      <c r="V34" s="2027"/>
    </row>
    <row r="35" spans="1:22" ht="18" customHeight="1">
      <c r="A35" s="2129"/>
      <c r="B35" s="3097" t="s">
        <v>1839</v>
      </c>
      <c r="C35" s="3097"/>
      <c r="D35" s="3097"/>
      <c r="E35" s="3097"/>
      <c r="F35" s="2130" t="str">
        <f>C10</f>
        <v>浙江省宁波市</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90"/>
      <c r="T35" s="48" t="str">
        <f>IF(T34="一通",L35,IF(T34="二通",M35,IF(T34="三通",N35,IF(T34="四通",O35,IF(T34="五通",P35,IF(T34="六通",Q35,R35))))))</f>
        <v>通路、通电、通讯、通上水、通下水</v>
      </c>
      <c r="U35" s="2027"/>
      <c r="V35" s="2027"/>
    </row>
    <row r="36" spans="1:22" ht="18" customHeight="1">
      <c r="A36" s="2131"/>
      <c r="B36" s="2130" t="s">
        <v>1840</v>
      </c>
      <c r="C36" s="2130" t="s">
        <v>1841</v>
      </c>
      <c r="D36" s="2130" t="s">
        <v>1842</v>
      </c>
      <c r="E36" s="2130" t="s">
        <v>1843</v>
      </c>
      <c r="F36" s="2132"/>
      <c r="G36" s="2040"/>
      <c r="H36" s="2040"/>
      <c r="I36" s="2040"/>
      <c r="J36" s="2040"/>
      <c r="K36" s="2050"/>
      <c r="L36" s="2026"/>
      <c r="M36" s="2026"/>
      <c r="N36" s="2027"/>
      <c r="O36" s="2028"/>
      <c r="P36" s="2027"/>
      <c r="Q36" s="2027"/>
      <c r="R36" s="2027"/>
      <c r="S36" s="2027"/>
      <c r="T36" s="2027"/>
      <c r="U36" s="2027"/>
      <c r="V36" s="2027"/>
    </row>
    <row r="37" spans="1:22" ht="18" customHeight="1">
      <c r="A37" s="2133" t="s">
        <v>1844</v>
      </c>
      <c r="B37" s="2134"/>
      <c r="C37" s="2134"/>
      <c r="D37" s="2134"/>
      <c r="E37" s="2134"/>
      <c r="F37" s="2132"/>
      <c r="G37" s="2040"/>
      <c r="H37" s="2040"/>
      <c r="I37" s="2040"/>
      <c r="J37" s="2040"/>
      <c r="K37" s="2050"/>
      <c r="L37" s="2026"/>
      <c r="M37" s="2026"/>
      <c r="N37" s="2027"/>
      <c r="O37" s="2028"/>
      <c r="P37" s="2027"/>
      <c r="Q37" s="2027"/>
      <c r="R37" s="2027"/>
      <c r="S37" s="2027"/>
      <c r="T37" s="2027"/>
      <c r="U37" s="2027"/>
      <c r="V37" s="2027"/>
    </row>
    <row r="38" spans="1:22" ht="18" customHeight="1" thickBot="1">
      <c r="A38" s="2135" t="s">
        <v>1845</v>
      </c>
      <c r="B38" s="2136"/>
      <c r="C38" s="2136"/>
      <c r="D38" s="2136"/>
      <c r="E38" s="2136"/>
      <c r="F38" s="2137"/>
      <c r="G38" s="2058"/>
      <c r="H38" s="2058"/>
      <c r="I38" s="2058"/>
      <c r="J38" s="2040"/>
      <c r="K38" s="2050"/>
      <c r="L38" s="2026"/>
      <c r="M38" s="2026"/>
      <c r="N38" s="2027"/>
      <c r="O38" s="2028"/>
      <c r="P38" s="2027"/>
      <c r="Q38" s="2027"/>
      <c r="R38" s="2027"/>
      <c r="S38" s="2027"/>
      <c r="T38" s="2027"/>
      <c r="U38" s="2027"/>
      <c r="V38" s="2027"/>
    </row>
    <row r="39" spans="1:22" s="2142" customFormat="1" ht="18" customHeight="1" thickTop="1" thickBot="1">
      <c r="A39" s="2138" t="s">
        <v>1846</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9"/>
      <c r="K40" s="665"/>
      <c r="L40" s="2078"/>
      <c r="M40" s="2078"/>
      <c r="N40" s="2079"/>
      <c r="O40" s="2078"/>
      <c r="P40" s="2027"/>
      <c r="Q40" s="2027"/>
      <c r="R40" s="2027"/>
      <c r="S40" s="2027"/>
      <c r="T40" s="2027"/>
      <c r="U40" s="2027"/>
      <c r="V40" s="2027"/>
    </row>
    <row r="41" spans="1:22" ht="18" customHeight="1">
      <c r="A41" s="8" t="s">
        <v>1847</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9" t="s">
        <v>1848</v>
      </c>
      <c r="B42" s="1793" t="s">
        <v>1849</v>
      </c>
      <c r="C42" s="1793" t="s">
        <v>1850</v>
      </c>
      <c r="D42" s="1793" t="s">
        <v>1851</v>
      </c>
      <c r="E42" s="1793" t="s">
        <v>1852</v>
      </c>
      <c r="F42" s="1793" t="s">
        <v>1853</v>
      </c>
      <c r="G42" s="1793" t="s">
        <v>1854</v>
      </c>
      <c r="H42" s="1793" t="s">
        <v>1855</v>
      </c>
      <c r="I42" s="1793" t="s">
        <v>1856</v>
      </c>
      <c r="J42" s="2146" t="s">
        <v>1857</v>
      </c>
      <c r="K42" s="2070" t="s">
        <v>1858</v>
      </c>
      <c r="L42" s="2070" t="s">
        <v>1859</v>
      </c>
      <c r="M42" s="2070" t="s">
        <v>1860</v>
      </c>
      <c r="N42" s="1793" t="s">
        <v>1861</v>
      </c>
      <c r="O42" s="1793" t="s">
        <v>1862</v>
      </c>
      <c r="P42" s="1793" t="s">
        <v>1863</v>
      </c>
      <c r="Q42" s="2069" t="s">
        <v>1864</v>
      </c>
      <c r="R42" s="2069" t="s">
        <v>1865</v>
      </c>
      <c r="S42" s="2027"/>
      <c r="T42" s="2027"/>
      <c r="U42" s="2027"/>
      <c r="V42" s="2027"/>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E20" sqref="AE20"/>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hidden="1" customWidth="1"/>
    <col min="12" max="14" width="9.5" style="2153" hidden="1" customWidth="1"/>
    <col min="15" max="15" width="9.875" style="2153" hidden="1" customWidth="1"/>
    <col min="16" max="16" width="9.75" style="2153" hidden="1" customWidth="1"/>
    <col min="17" max="17" width="9.375" style="2153" hidden="1" customWidth="1"/>
    <col min="18" max="18" width="9.25" style="2153" hidden="1" customWidth="1"/>
    <col min="19" max="19" width="10.875" style="2153" hidden="1" customWidth="1"/>
    <col min="20" max="21" width="10.75" style="2153" hidden="1" customWidth="1"/>
    <col min="22" max="22" width="10.875" style="2153" hidden="1" customWidth="1"/>
    <col min="23" max="27" width="10.75" style="2153" hidden="1" customWidth="1"/>
    <col min="28" max="28" width="10.875" style="2153" hidden="1"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1868</v>
      </c>
      <c r="B2" s="11" t="s">
        <v>1869</v>
      </c>
      <c r="C2" s="11" t="s">
        <v>1870</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1871</v>
      </c>
      <c r="AZ2" s="1270" t="s">
        <v>1872</v>
      </c>
      <c r="BA2" s="11" t="s">
        <v>1873</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3270.0799999999963</v>
      </c>
      <c r="B3" s="14">
        <f>IF(C3="否",G5-AT5,G5)</f>
        <v>18418.460000000006</v>
      </c>
      <c r="C3" s="2162" t="s">
        <v>1874</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1875</v>
      </c>
      <c r="B5" s="1801"/>
      <c r="C5" s="1801"/>
      <c r="D5" s="1804"/>
      <c r="E5" s="16" t="s">
        <v>1</v>
      </c>
      <c r="F5" s="16">
        <f>SUM(F13:F587)</f>
        <v>0</v>
      </c>
      <c r="G5" s="16">
        <f>SUM(G13:G587)</f>
        <v>18418.460000000006</v>
      </c>
      <c r="H5" s="16">
        <f t="shared" ref="H5:AT5" si="0">SUM(H13:H656)</f>
        <v>18418.460000000006</v>
      </c>
      <c r="I5" s="16">
        <f t="shared" si="0"/>
        <v>18418.460000000006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18418.460000000006</v>
      </c>
      <c r="BA5" s="18">
        <f t="shared" si="1"/>
        <v>18418.460000000006</v>
      </c>
      <c r="BB5" s="18">
        <f t="shared" si="1"/>
        <v>18418.460000000006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1876</v>
      </c>
      <c r="B6" s="2168"/>
      <c r="C6" s="2168"/>
      <c r="D6" s="2169"/>
      <c r="E6" s="16">
        <f>H6+AC6+AT6</f>
        <v>3270.08</v>
      </c>
      <c r="F6" s="16" t="s">
        <v>1</v>
      </c>
      <c r="G6" s="16" t="s">
        <v>2</v>
      </c>
      <c r="H6" s="20">
        <f>SUMIF(I$12:AB$12,"总值",I6:AB6)</f>
        <v>3270.08</v>
      </c>
      <c r="I6" s="16">
        <f t="shared" ref="I6:AB6" si="2">ROUND($A$3*I5/$B$3,2)</f>
        <v>3270.08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1876</v>
      </c>
      <c r="AW6" s="2168"/>
      <c r="AX6" s="2168"/>
      <c r="AY6" s="21">
        <f>IF(AY3&gt;0,AY3,ROUND($A$3*AZ5/$B$3,2))</f>
        <v>3270.08</v>
      </c>
      <c r="AZ6" s="16" t="s">
        <v>3</v>
      </c>
      <c r="BA6" s="16">
        <f>ROUND($AY$6*BA5/$AZ$5,2)</f>
        <v>3270.08</v>
      </c>
      <c r="BB6" s="16">
        <f>ROUND($AY$6*BB5/$AZ$5,2)</f>
        <v>3270.08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1877</v>
      </c>
      <c r="B7" s="2103" t="s">
        <v>1878</v>
      </c>
      <c r="C7" s="2103" t="s">
        <v>1879</v>
      </c>
      <c r="D7" s="2103" t="s">
        <v>1880</v>
      </c>
      <c r="E7" s="2103" t="s">
        <v>1881</v>
      </c>
      <c r="F7" s="2103" t="s">
        <v>1882</v>
      </c>
      <c r="G7" s="2172" t="s">
        <v>1883</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1884</v>
      </c>
      <c r="AV7" s="23" t="s">
        <v>1885</v>
      </c>
      <c r="AW7" s="2160" t="s">
        <v>1886</v>
      </c>
      <c r="AX7" s="23" t="s">
        <v>1879</v>
      </c>
      <c r="AY7" s="1801" t="s">
        <v>1887</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1888</v>
      </c>
      <c r="H8" s="2178" t="s">
        <v>1889</v>
      </c>
      <c r="I8" s="2179"/>
      <c r="J8" s="1816"/>
      <c r="K8" s="1816"/>
      <c r="L8" s="1816"/>
      <c r="M8" s="1816"/>
      <c r="N8" s="1816"/>
      <c r="O8" s="1816"/>
      <c r="P8" s="1816"/>
      <c r="Q8" s="1816"/>
      <c r="R8" s="1816"/>
      <c r="S8" s="1816"/>
      <c r="T8" s="1816"/>
      <c r="U8" s="1816"/>
      <c r="V8" s="2180"/>
      <c r="W8" s="1816"/>
      <c r="X8" s="1816"/>
      <c r="Y8" s="1816"/>
      <c r="Z8" s="1816"/>
      <c r="AA8" s="2180"/>
      <c r="AB8" s="2181"/>
      <c r="AC8" s="983" t="s">
        <v>1890</v>
      </c>
      <c r="AD8" s="2182"/>
      <c r="AE8" s="2174"/>
      <c r="AF8" s="1816"/>
      <c r="AG8" s="1816"/>
      <c r="AH8" s="1816"/>
      <c r="AI8" s="1816"/>
      <c r="AJ8" s="1816"/>
      <c r="AK8" s="1816"/>
      <c r="AL8" s="1816"/>
      <c r="AM8" s="1816"/>
      <c r="AN8" s="1816"/>
      <c r="AO8" s="1816"/>
      <c r="AP8" s="1816"/>
      <c r="AQ8" s="1816"/>
      <c r="AR8" s="1816"/>
      <c r="AS8" s="1816"/>
      <c r="AT8" s="1292" t="s">
        <v>1891</v>
      </c>
      <c r="AU8" s="2176" t="s">
        <v>1892</v>
      </c>
      <c r="AV8" s="1292"/>
      <c r="AW8" s="2159"/>
      <c r="AX8" s="1292"/>
      <c r="AY8" s="2160"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2"/>
      <c r="H9" s="2184" t="s">
        <v>1895</v>
      </c>
      <c r="I9" s="2185" t="s">
        <v>3315</v>
      </c>
      <c r="J9" s="983"/>
      <c r="K9" s="2185"/>
      <c r="L9" s="983"/>
      <c r="M9" s="2185"/>
      <c r="N9" s="983"/>
      <c r="O9" s="2185"/>
      <c r="P9" s="983"/>
      <c r="Q9" s="2185"/>
      <c r="R9" s="983"/>
      <c r="S9" s="2185"/>
      <c r="T9" s="983"/>
      <c r="U9" s="2185"/>
      <c r="V9" s="983"/>
      <c r="W9" s="2185"/>
      <c r="X9" s="2186"/>
      <c r="Y9" s="2185"/>
      <c r="Z9" s="983"/>
      <c r="AA9" s="2185"/>
      <c r="AB9" s="983"/>
      <c r="AC9" s="2177"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87"/>
      <c r="AT9" s="2176"/>
      <c r="AU9" s="2176" t="s">
        <v>1898</v>
      </c>
      <c r="AV9" s="1292"/>
      <c r="AW9" s="2159"/>
      <c r="AX9" s="1292"/>
      <c r="AY9" s="28"/>
      <c r="AZ9" s="28" t="s">
        <v>1888</v>
      </c>
      <c r="BA9" s="2188" t="s">
        <v>1899</v>
      </c>
      <c r="BB9" s="2189"/>
      <c r="BC9" s="1338"/>
      <c r="BD9" s="1338"/>
      <c r="BE9" s="1338"/>
      <c r="BF9" s="1338"/>
      <c r="BG9" s="1338"/>
      <c r="BH9" s="1338"/>
      <c r="BI9" s="1338"/>
      <c r="BJ9" s="1338"/>
      <c r="BK9" s="2190"/>
      <c r="BL9" s="15" t="s">
        <v>1900</v>
      </c>
      <c r="BM9" s="1816"/>
      <c r="BN9" s="2179"/>
      <c r="BO9" s="1816"/>
      <c r="BP9" s="1816"/>
      <c r="BQ9" s="1816"/>
      <c r="BR9" s="1816"/>
      <c r="BS9" s="1816"/>
      <c r="BT9" s="26"/>
    </row>
    <row r="10" spans="1:72" s="2183" customFormat="1" ht="12.75">
      <c r="A10" s="2176"/>
      <c r="B10" s="2176"/>
      <c r="C10" s="2176"/>
      <c r="D10" s="2176"/>
      <c r="E10" s="2176"/>
      <c r="F10" s="2176"/>
      <c r="G10" s="1292"/>
      <c r="H10" s="28"/>
      <c r="I10" s="2185" t="s">
        <v>1377</v>
      </c>
      <c r="J10" s="983"/>
      <c r="K10" s="2191"/>
      <c r="L10" s="983"/>
      <c r="M10" s="2191"/>
      <c r="N10" s="983"/>
      <c r="O10" s="2191"/>
      <c r="P10" s="983"/>
      <c r="Q10" s="2191"/>
      <c r="R10" s="983"/>
      <c r="S10" s="2191"/>
      <c r="T10" s="983"/>
      <c r="U10" s="2191"/>
      <c r="V10" s="983"/>
      <c r="W10" s="2191"/>
      <c r="X10" s="983"/>
      <c r="Y10" s="2191"/>
      <c r="Z10" s="983"/>
      <c r="AA10" s="2191"/>
      <c r="AB10" s="983"/>
      <c r="AC10" s="1292"/>
      <c r="AD10" s="15" t="s">
        <v>1901</v>
      </c>
      <c r="AE10" s="2192"/>
      <c r="AF10" s="15" t="s">
        <v>1901</v>
      </c>
      <c r="AG10" s="2192"/>
      <c r="AH10" s="15" t="s">
        <v>1902</v>
      </c>
      <c r="AI10" s="2192"/>
      <c r="AJ10" s="15" t="s">
        <v>1902</v>
      </c>
      <c r="AK10" s="2192"/>
      <c r="AL10" s="15" t="s">
        <v>1903</v>
      </c>
      <c r="AM10" s="1298"/>
      <c r="AN10" s="15" t="s">
        <v>1903</v>
      </c>
      <c r="AO10" s="1298"/>
      <c r="AP10" s="15" t="s">
        <v>1904</v>
      </c>
      <c r="AQ10" s="1298"/>
      <c r="AR10" s="15" t="s">
        <v>1904</v>
      </c>
      <c r="AS10" s="1298"/>
      <c r="AT10" s="2176"/>
      <c r="AU10" s="2176"/>
      <c r="AV10" s="1292"/>
      <c r="AW10" s="2159"/>
      <c r="AX10" s="1292"/>
      <c r="AY10" s="28"/>
      <c r="AZ10" s="28"/>
      <c r="BA10" s="2193" t="s">
        <v>1895</v>
      </c>
      <c r="BB10" s="2194"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2"/>
      <c r="H11" s="2193"/>
      <c r="I11" s="2196" t="s">
        <v>3316</v>
      </c>
      <c r="J11" s="2197"/>
      <c r="K11" s="2196"/>
      <c r="L11" s="2197"/>
      <c r="M11" s="2196"/>
      <c r="N11" s="2197"/>
      <c r="O11" s="2196"/>
      <c r="P11" s="2197"/>
      <c r="Q11" s="2196"/>
      <c r="R11" s="2197"/>
      <c r="S11" s="2196"/>
      <c r="T11" s="2197"/>
      <c r="U11" s="2196"/>
      <c r="V11" s="2197"/>
      <c r="W11" s="2196"/>
      <c r="X11" s="2197"/>
      <c r="Y11" s="2196"/>
      <c r="Z11" s="2197"/>
      <c r="AA11" s="2196"/>
      <c r="AB11" s="2197"/>
      <c r="AC11" s="1292"/>
      <c r="AD11" s="2198" t="s">
        <v>1905</v>
      </c>
      <c r="AE11" s="1817"/>
      <c r="AF11" s="2198" t="s">
        <v>1905</v>
      </c>
      <c r="AG11" s="1817"/>
      <c r="AH11" s="2198" t="s">
        <v>1906</v>
      </c>
      <c r="AI11" s="2199"/>
      <c r="AJ11" s="2198" t="s">
        <v>1906</v>
      </c>
      <c r="AK11" s="1817"/>
      <c r="AL11" s="1815"/>
      <c r="AM11" s="1817"/>
      <c r="AN11" s="1815"/>
      <c r="AO11" s="1817"/>
      <c r="AP11" s="1815"/>
      <c r="AQ11" s="1817"/>
      <c r="AR11" s="1815"/>
      <c r="AS11" s="1817"/>
      <c r="AT11" s="2159"/>
      <c r="AU11" s="2176"/>
      <c r="AV11" s="1292"/>
      <c r="AW11" s="2159"/>
      <c r="AX11" s="1292"/>
      <c r="AY11" s="28"/>
      <c r="AZ11" s="28"/>
      <c r="BA11" s="28"/>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92"/>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3"/>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1" t="s">
        <v>1908</v>
      </c>
      <c r="AT12" s="2204"/>
      <c r="AU12" s="2201"/>
      <c r="AV12" s="31"/>
      <c r="AW12" s="2160"/>
      <c r="AX12" s="31"/>
      <c r="AY12" s="2205"/>
      <c r="AZ12" s="28"/>
      <c r="BA12" s="2193"/>
      <c r="BB12" s="24" t="str">
        <f>I11</f>
        <v>商业街</v>
      </c>
      <c r="BC12" s="2206">
        <f>K11</f>
        <v>0</v>
      </c>
      <c r="BD12" s="2206">
        <f>M11</f>
        <v>0</v>
      </c>
      <c r="BE12" s="2181">
        <f>O11</f>
        <v>0</v>
      </c>
      <c r="BF12" s="2181">
        <f>Q11</f>
        <v>0</v>
      </c>
      <c r="BG12" s="2181">
        <f>S11</f>
        <v>0</v>
      </c>
      <c r="BH12" s="2181">
        <f>U11</f>
        <v>0</v>
      </c>
      <c r="BI12" s="2181">
        <f>W11</f>
        <v>0</v>
      </c>
      <c r="BJ12" s="2181">
        <f>Y11</f>
        <v>0</v>
      </c>
      <c r="BK12" s="2181">
        <f>AA11</f>
        <v>0</v>
      </c>
      <c r="BL12" s="1292"/>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25.5">
      <c r="A13" s="1272"/>
      <c r="B13" s="2953" t="s">
        <v>3314</v>
      </c>
      <c r="C13" s="2952" t="s">
        <v>3065</v>
      </c>
      <c r="D13" s="2207" t="s">
        <v>3049</v>
      </c>
      <c r="E13" s="16">
        <f>IF($C$3="是",ROUND($A$3*G13/$B$3,2),ROUND($A$3*(G13-AT13)/$B$3,2))</f>
        <v>25.01</v>
      </c>
      <c r="F13" s="32"/>
      <c r="G13" s="33">
        <f>H13+AC13+AT13</f>
        <v>140.88999999999999</v>
      </c>
      <c r="H13" s="20">
        <f>SUMIF(I$12:AB$12,"总值",I13:AB13)</f>
        <v>140.88999999999999</v>
      </c>
      <c r="I13" s="2208">
        <v>140.88999999999999</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t="str">
        <f t="shared" si="6"/>
        <v>《不动产权证书》</v>
      </c>
      <c r="AX13" s="11" t="str">
        <f t="shared" si="6"/>
        <v>1-2</v>
      </c>
      <c r="AY13" s="1804">
        <f>ROUND($AY$6*AZ13/$AZ$5,2)</f>
        <v>25.01</v>
      </c>
      <c r="AZ13" s="16">
        <f>BA13+BL13</f>
        <v>140.88999999999999</v>
      </c>
      <c r="BA13" s="16">
        <f>SUM(BB13:BK13)</f>
        <v>140.88999999999999</v>
      </c>
      <c r="BB13" s="16">
        <f>IF($D13="是",I13-J13,0)</f>
        <v>140.88999999999999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2"/>
      <c r="B14" s="1272"/>
      <c r="C14" s="1272" t="s">
        <v>3066</v>
      </c>
      <c r="D14" s="2207" t="s">
        <v>3049</v>
      </c>
      <c r="E14" s="16">
        <f>IF($C$3="是",ROUND($A$3*G14/$B$3,2),ROUND($A$3*(G14-AT14)/$B$3,2))</f>
        <v>23.89</v>
      </c>
      <c r="F14" s="32"/>
      <c r="G14" s="33">
        <f>H14+AC14+AT14</f>
        <v>134.55000000000001</v>
      </c>
      <c r="H14" s="20">
        <f>SUMIF(I$12:AB$12,"总值",I14:AB14)</f>
        <v>134.55000000000001</v>
      </c>
      <c r="I14" s="2208">
        <v>134.55000000000001</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1-3</v>
      </c>
      <c r="AY14" s="1804">
        <f>ROUND($AY$6*AZ14/$AZ$5,2)</f>
        <v>23.89</v>
      </c>
      <c r="AZ14" s="16">
        <f>BA14+BL14</f>
        <v>134.55000000000001</v>
      </c>
      <c r="BA14" s="16">
        <f>SUM(BB14:BK14)</f>
        <v>134.55000000000001</v>
      </c>
      <c r="BB14" s="16">
        <f>IF($D14="是",I14-J14,0)</f>
        <v>134.55000000000001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2"/>
      <c r="B15" s="1272"/>
      <c r="C15" s="1272" t="s">
        <v>3067</v>
      </c>
      <c r="D15" s="2207" t="s">
        <v>3049</v>
      </c>
      <c r="E15" s="16">
        <f>IF($C$3="是",ROUND($A$3*G15/$B$3,2),ROUND($A$3*(G15-AT15)/$B$3,2))</f>
        <v>22.99</v>
      </c>
      <c r="F15" s="32"/>
      <c r="G15" s="33">
        <f>H15+AC15+AT15</f>
        <v>129.5</v>
      </c>
      <c r="H15" s="20">
        <f>SUMIF(I$12:AB$12,"总值",I15:AB15)</f>
        <v>129.5</v>
      </c>
      <c r="I15" s="2208">
        <v>129.5</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1-4</v>
      </c>
      <c r="AY15" s="1804">
        <f>ROUND($AY$6*AZ15/$AZ$5,2)</f>
        <v>22.99</v>
      </c>
      <c r="AZ15" s="16">
        <f>BA15+BL15</f>
        <v>129.5</v>
      </c>
      <c r="BA15" s="16">
        <f>SUM(BB15:BK15)</f>
        <v>129.5</v>
      </c>
      <c r="BB15" s="16">
        <f>IF($D15="是",I15-J15,0)</f>
        <v>129.5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2"/>
      <c r="B16" s="1272"/>
      <c r="C16" s="1272" t="s">
        <v>3068</v>
      </c>
      <c r="D16" s="2207" t="s">
        <v>3049</v>
      </c>
      <c r="E16" s="16">
        <f>IF($C$3="是",ROUND($A$3*G16/$B$3,2),ROUND($A$3*(G16-AT16)/$B$3,2))</f>
        <v>22.12</v>
      </c>
      <c r="F16" s="32"/>
      <c r="G16" s="33">
        <f>H16+AC16+AT16</f>
        <v>124.61</v>
      </c>
      <c r="H16" s="20">
        <f>SUMIF(I$12:AB$12,"总值",I16:AB16)</f>
        <v>124.61</v>
      </c>
      <c r="I16" s="2208">
        <v>124.61</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1-5</v>
      </c>
      <c r="AY16" s="1804">
        <f>ROUND($AY$6*AZ16/$AZ$5,2)</f>
        <v>22.12</v>
      </c>
      <c r="AZ16" s="16">
        <f>BA16+BL16</f>
        <v>124.61</v>
      </c>
      <c r="BA16" s="16">
        <f>SUM(BB16:BK16)</f>
        <v>124.61</v>
      </c>
      <c r="BB16" s="16">
        <f>IF($D16="是",I16-J16,0)</f>
        <v>124.61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2"/>
      <c r="B17" s="1272"/>
      <c r="C17" s="1272" t="s">
        <v>3069</v>
      </c>
      <c r="D17" s="2207" t="s">
        <v>3049</v>
      </c>
      <c r="E17" s="16">
        <f>IF($C$3="是",ROUND($A$3*G17/$B$3,2),ROUND($A$3*(G17-AT17)/$B$3,2))</f>
        <v>21.55</v>
      </c>
      <c r="F17" s="32"/>
      <c r="G17" s="33">
        <f>H17+AC17+AT17</f>
        <v>121.4</v>
      </c>
      <c r="H17" s="20">
        <f>SUMIF(I$12:AB$12,"总值",I17:AB17)</f>
        <v>121.4</v>
      </c>
      <c r="I17" s="2208">
        <v>121.4</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1-6</v>
      </c>
      <c r="AY17" s="1804">
        <f>ROUND($AY$6*AZ17/$AZ$5,2)</f>
        <v>21.55</v>
      </c>
      <c r="AZ17" s="16">
        <f>BA17+BL17</f>
        <v>121.4</v>
      </c>
      <c r="BA17" s="16">
        <f>SUM(BB17:BK17)</f>
        <v>121.4</v>
      </c>
      <c r="BB17" s="16">
        <f>IF($D17="是",I17-J17,0)</f>
        <v>121.4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3070</v>
      </c>
      <c r="D18" s="2207" t="s">
        <v>3049</v>
      </c>
      <c r="E18" s="35">
        <f t="shared" ref="E18:E112" si="7">IF($C$3="是",ROUND($A$3*G18/$B$3,2),ROUND($A$3*(G18-AT18)/$B$3,2))</f>
        <v>20.36</v>
      </c>
      <c r="F18" s="36"/>
      <c r="G18" s="37">
        <f t="shared" ref="G18:G109" si="8">H18+AC18+AT18</f>
        <v>114.68</v>
      </c>
      <c r="H18" s="38">
        <f t="shared" ref="H18:H109" si="9">SUMIF(I$12:AB$12,"总值",I18:AB18)</f>
        <v>114.68</v>
      </c>
      <c r="I18" s="39">
        <v>114.68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t="str">
        <f t="shared" ref="AX18:AX112" si="13">C18</f>
        <v>1-7</v>
      </c>
      <c r="AY18" s="42">
        <f t="shared" ref="AY18:AY109" si="14">ROUND($AY$6*AZ18/$AZ$5,2)</f>
        <v>20.36</v>
      </c>
      <c r="AZ18" s="35">
        <f t="shared" ref="AZ18:AZ109" si="15">BA18+BL18</f>
        <v>114.68</v>
      </c>
      <c r="BA18" s="35">
        <f t="shared" ref="BA18:BA109" si="16">SUM(BB18:BK18)</f>
        <v>114.68</v>
      </c>
      <c r="BB18" s="35">
        <f t="shared" ref="BB18:BB109" si="17">IF($D18="是",I18-J18,0)</f>
        <v>114.68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3071</v>
      </c>
      <c r="D19" s="2207" t="s">
        <v>3049</v>
      </c>
      <c r="E19" s="35">
        <f t="shared" si="7"/>
        <v>19.77</v>
      </c>
      <c r="F19" s="36"/>
      <c r="G19" s="37">
        <f t="shared" si="8"/>
        <v>111.38</v>
      </c>
      <c r="H19" s="38">
        <f t="shared" si="9"/>
        <v>111.38</v>
      </c>
      <c r="I19" s="39">
        <v>111.38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t="str">
        <f t="shared" si="13"/>
        <v>1-8</v>
      </c>
      <c r="AY19" s="42">
        <f t="shared" si="14"/>
        <v>19.77</v>
      </c>
      <c r="AZ19" s="35">
        <f t="shared" si="15"/>
        <v>111.38</v>
      </c>
      <c r="BA19" s="35">
        <f t="shared" si="16"/>
        <v>111.38</v>
      </c>
      <c r="BB19" s="35">
        <f t="shared" si="17"/>
        <v>111.38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3072</v>
      </c>
      <c r="D20" s="2207" t="s">
        <v>3049</v>
      </c>
      <c r="E20" s="35">
        <f t="shared" si="7"/>
        <v>17.7</v>
      </c>
      <c r="F20" s="36"/>
      <c r="G20" s="37">
        <f t="shared" si="8"/>
        <v>99.71</v>
      </c>
      <c r="H20" s="38">
        <f t="shared" si="9"/>
        <v>99.71</v>
      </c>
      <c r="I20" s="39">
        <v>99.71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t="str">
        <f t="shared" si="13"/>
        <v>1-10</v>
      </c>
      <c r="AY20" s="42">
        <f t="shared" si="14"/>
        <v>17.7</v>
      </c>
      <c r="AZ20" s="35">
        <f t="shared" si="15"/>
        <v>99.71</v>
      </c>
      <c r="BA20" s="35">
        <f t="shared" si="16"/>
        <v>99.71</v>
      </c>
      <c r="BB20" s="35">
        <f t="shared" si="17"/>
        <v>99.71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3073</v>
      </c>
      <c r="D21" s="2207" t="s">
        <v>3049</v>
      </c>
      <c r="E21" s="35">
        <f t="shared" si="7"/>
        <v>11.08</v>
      </c>
      <c r="F21" s="36"/>
      <c r="G21" s="37">
        <f t="shared" si="8"/>
        <v>62.41</v>
      </c>
      <c r="H21" s="38">
        <f t="shared" si="9"/>
        <v>62.41</v>
      </c>
      <c r="I21" s="39">
        <v>62.41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t="str">
        <f t="shared" si="13"/>
        <v>1-12</v>
      </c>
      <c r="AY21" s="42">
        <f t="shared" si="14"/>
        <v>11.08</v>
      </c>
      <c r="AZ21" s="35">
        <f t="shared" si="15"/>
        <v>62.41</v>
      </c>
      <c r="BA21" s="35">
        <f t="shared" si="16"/>
        <v>62.41</v>
      </c>
      <c r="BB21" s="35">
        <f t="shared" si="17"/>
        <v>62.41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t="s">
        <v>3074</v>
      </c>
      <c r="D22" s="2207" t="s">
        <v>3049</v>
      </c>
      <c r="E22" s="35">
        <f t="shared" si="7"/>
        <v>5.89</v>
      </c>
      <c r="F22" s="36"/>
      <c r="G22" s="37">
        <f t="shared" si="8"/>
        <v>33.15</v>
      </c>
      <c r="H22" s="38">
        <f t="shared" si="9"/>
        <v>33.15</v>
      </c>
      <c r="I22" s="39">
        <v>33.15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t="str">
        <f t="shared" si="13"/>
        <v>1-13</v>
      </c>
      <c r="AY22" s="42">
        <f t="shared" si="14"/>
        <v>5.89</v>
      </c>
      <c r="AZ22" s="35">
        <f t="shared" si="15"/>
        <v>33.15</v>
      </c>
      <c r="BA22" s="35">
        <f t="shared" si="16"/>
        <v>33.15</v>
      </c>
      <c r="BB22" s="35">
        <f t="shared" si="17"/>
        <v>33.15</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t="s">
        <v>3075</v>
      </c>
      <c r="D23" s="2207" t="s">
        <v>3049</v>
      </c>
      <c r="E23" s="35">
        <f t="shared" si="7"/>
        <v>11.58</v>
      </c>
      <c r="F23" s="36"/>
      <c r="G23" s="37">
        <f t="shared" si="8"/>
        <v>65.2</v>
      </c>
      <c r="H23" s="38">
        <f t="shared" si="9"/>
        <v>65.2</v>
      </c>
      <c r="I23" s="39">
        <v>65.2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t="str">
        <f t="shared" si="13"/>
        <v>1-14</v>
      </c>
      <c r="AY23" s="42">
        <f t="shared" si="14"/>
        <v>11.58</v>
      </c>
      <c r="AZ23" s="35">
        <f t="shared" si="15"/>
        <v>65.2</v>
      </c>
      <c r="BA23" s="35">
        <f t="shared" si="16"/>
        <v>65.2</v>
      </c>
      <c r="BB23" s="35">
        <f t="shared" si="17"/>
        <v>65.2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3076</v>
      </c>
      <c r="D24" s="2207" t="s">
        <v>3049</v>
      </c>
      <c r="E24" s="35">
        <f t="shared" si="7"/>
        <v>6.39</v>
      </c>
      <c r="F24" s="36"/>
      <c r="G24" s="37">
        <f t="shared" si="8"/>
        <v>36</v>
      </c>
      <c r="H24" s="38">
        <f t="shared" si="9"/>
        <v>36</v>
      </c>
      <c r="I24" s="39">
        <v>36</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t="str">
        <f t="shared" si="13"/>
        <v>1-15</v>
      </c>
      <c r="AY24" s="42">
        <f t="shared" si="14"/>
        <v>6.39</v>
      </c>
      <c r="AZ24" s="35">
        <f t="shared" si="15"/>
        <v>36</v>
      </c>
      <c r="BA24" s="35">
        <f t="shared" si="16"/>
        <v>36</v>
      </c>
      <c r="BB24" s="35">
        <f t="shared" si="17"/>
        <v>36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t="s">
        <v>3077</v>
      </c>
      <c r="D25" s="2207" t="s">
        <v>3049</v>
      </c>
      <c r="E25" s="35">
        <f t="shared" si="7"/>
        <v>9.36</v>
      </c>
      <c r="F25" s="36"/>
      <c r="G25" s="37">
        <f t="shared" si="8"/>
        <v>52.73</v>
      </c>
      <c r="H25" s="38">
        <f t="shared" si="9"/>
        <v>52.73</v>
      </c>
      <c r="I25" s="39">
        <v>52.73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t="str">
        <f t="shared" si="13"/>
        <v>1-16</v>
      </c>
      <c r="AY25" s="42">
        <f t="shared" si="14"/>
        <v>9.36</v>
      </c>
      <c r="AZ25" s="35">
        <f t="shared" si="15"/>
        <v>52.73</v>
      </c>
      <c r="BA25" s="35">
        <f t="shared" si="16"/>
        <v>52.73</v>
      </c>
      <c r="BB25" s="35">
        <f t="shared" si="17"/>
        <v>52.73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t="s">
        <v>3078</v>
      </c>
      <c r="D26" s="2207" t="s">
        <v>3049</v>
      </c>
      <c r="E26" s="35">
        <f t="shared" si="7"/>
        <v>3.16</v>
      </c>
      <c r="F26" s="36"/>
      <c r="G26" s="37">
        <f t="shared" si="8"/>
        <v>17.78</v>
      </c>
      <c r="H26" s="38">
        <f t="shared" si="9"/>
        <v>17.78</v>
      </c>
      <c r="I26" s="39">
        <v>17.78</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t="str">
        <f t="shared" si="13"/>
        <v>1-17</v>
      </c>
      <c r="AY26" s="42">
        <f t="shared" si="14"/>
        <v>3.16</v>
      </c>
      <c r="AZ26" s="35">
        <f t="shared" si="15"/>
        <v>17.78</v>
      </c>
      <c r="BA26" s="35">
        <f t="shared" si="16"/>
        <v>17.78</v>
      </c>
      <c r="BB26" s="35">
        <f t="shared" si="17"/>
        <v>17.78</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t="s">
        <v>3079</v>
      </c>
      <c r="D27" s="2207" t="s">
        <v>3049</v>
      </c>
      <c r="E27" s="35">
        <f t="shared" si="7"/>
        <v>11.52</v>
      </c>
      <c r="F27" s="36"/>
      <c r="G27" s="37">
        <f t="shared" si="8"/>
        <v>64.87</v>
      </c>
      <c r="H27" s="38">
        <f t="shared" si="9"/>
        <v>64.87</v>
      </c>
      <c r="I27" s="39">
        <v>64.87</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t="str">
        <f t="shared" si="13"/>
        <v>1-19</v>
      </c>
      <c r="AY27" s="42">
        <f t="shared" si="14"/>
        <v>11.52</v>
      </c>
      <c r="AZ27" s="35">
        <f t="shared" si="15"/>
        <v>64.87</v>
      </c>
      <c r="BA27" s="35">
        <f t="shared" si="16"/>
        <v>64.87</v>
      </c>
      <c r="BB27" s="35">
        <f t="shared" si="17"/>
        <v>64.87</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t="s">
        <v>3080</v>
      </c>
      <c r="D28" s="2207" t="s">
        <v>3049</v>
      </c>
      <c r="E28" s="35">
        <f t="shared" si="7"/>
        <v>11.52</v>
      </c>
      <c r="F28" s="36"/>
      <c r="G28" s="37">
        <f t="shared" si="8"/>
        <v>64.87</v>
      </c>
      <c r="H28" s="38">
        <f t="shared" si="9"/>
        <v>64.87</v>
      </c>
      <c r="I28" s="39">
        <v>64.87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t="str">
        <f t="shared" si="13"/>
        <v>1-20</v>
      </c>
      <c r="AY28" s="42">
        <f t="shared" si="14"/>
        <v>11.52</v>
      </c>
      <c r="AZ28" s="35">
        <f t="shared" si="15"/>
        <v>64.87</v>
      </c>
      <c r="BA28" s="35">
        <f t="shared" si="16"/>
        <v>64.87</v>
      </c>
      <c r="BB28" s="35">
        <f t="shared" si="17"/>
        <v>64.87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t="s">
        <v>3081</v>
      </c>
      <c r="D29" s="2207" t="s">
        <v>3049</v>
      </c>
      <c r="E29" s="35">
        <f t="shared" si="7"/>
        <v>11.51</v>
      </c>
      <c r="F29" s="36"/>
      <c r="G29" s="37">
        <f t="shared" si="8"/>
        <v>64.81</v>
      </c>
      <c r="H29" s="38">
        <f t="shared" si="9"/>
        <v>64.81</v>
      </c>
      <c r="I29" s="39">
        <v>64.81</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t="str">
        <f t="shared" si="13"/>
        <v>1-21</v>
      </c>
      <c r="AY29" s="42">
        <f t="shared" si="14"/>
        <v>11.51</v>
      </c>
      <c r="AZ29" s="35">
        <f t="shared" si="15"/>
        <v>64.81</v>
      </c>
      <c r="BA29" s="35">
        <f t="shared" si="16"/>
        <v>64.81</v>
      </c>
      <c r="BB29" s="35">
        <f t="shared" si="17"/>
        <v>64.81</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t="s">
        <v>3082</v>
      </c>
      <c r="D30" s="2207" t="s">
        <v>3049</v>
      </c>
      <c r="E30" s="35">
        <f t="shared" si="7"/>
        <v>11.52</v>
      </c>
      <c r="F30" s="36"/>
      <c r="G30" s="37">
        <f t="shared" si="8"/>
        <v>64.87</v>
      </c>
      <c r="H30" s="38">
        <f t="shared" si="9"/>
        <v>64.87</v>
      </c>
      <c r="I30" s="39">
        <v>64.87</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t="str">
        <f t="shared" si="13"/>
        <v>1-22</v>
      </c>
      <c r="AY30" s="42">
        <f t="shared" si="14"/>
        <v>11.52</v>
      </c>
      <c r="AZ30" s="35">
        <f t="shared" si="15"/>
        <v>64.87</v>
      </c>
      <c r="BA30" s="35">
        <f t="shared" si="16"/>
        <v>64.87</v>
      </c>
      <c r="BB30" s="35">
        <f t="shared" si="17"/>
        <v>64.87</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t="s">
        <v>3083</v>
      </c>
      <c r="D31" s="2207" t="s">
        <v>3049</v>
      </c>
      <c r="E31" s="35">
        <f t="shared" si="7"/>
        <v>11.69</v>
      </c>
      <c r="F31" s="36"/>
      <c r="G31" s="37">
        <f t="shared" si="8"/>
        <v>65.86</v>
      </c>
      <c r="H31" s="38">
        <f t="shared" si="9"/>
        <v>65.86</v>
      </c>
      <c r="I31" s="39">
        <v>65.86</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t="str">
        <f t="shared" si="13"/>
        <v>1-23</v>
      </c>
      <c r="AY31" s="42">
        <f t="shared" si="14"/>
        <v>11.69</v>
      </c>
      <c r="AZ31" s="35">
        <f t="shared" si="15"/>
        <v>65.86</v>
      </c>
      <c r="BA31" s="35">
        <f t="shared" si="16"/>
        <v>65.86</v>
      </c>
      <c r="BB31" s="35">
        <f t="shared" si="17"/>
        <v>65.86</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t="s">
        <v>3084</v>
      </c>
      <c r="D32" s="2207" t="s">
        <v>3049</v>
      </c>
      <c r="E32" s="35">
        <f t="shared" si="7"/>
        <v>11.52</v>
      </c>
      <c r="F32" s="36"/>
      <c r="G32" s="37">
        <f t="shared" si="8"/>
        <v>64.87</v>
      </c>
      <c r="H32" s="38">
        <f t="shared" si="9"/>
        <v>64.87</v>
      </c>
      <c r="I32" s="39">
        <v>64.87</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t="str">
        <f t="shared" si="13"/>
        <v>1-24</v>
      </c>
      <c r="AY32" s="42">
        <f t="shared" si="14"/>
        <v>11.52</v>
      </c>
      <c r="AZ32" s="35">
        <f t="shared" si="15"/>
        <v>64.87</v>
      </c>
      <c r="BA32" s="35">
        <f t="shared" si="16"/>
        <v>64.87</v>
      </c>
      <c r="BB32" s="35">
        <f t="shared" si="17"/>
        <v>64.87</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3085</v>
      </c>
      <c r="D33" s="2207" t="s">
        <v>3049</v>
      </c>
      <c r="E33" s="35">
        <f t="shared" si="7"/>
        <v>11.52</v>
      </c>
      <c r="F33" s="36"/>
      <c r="G33" s="37">
        <f t="shared" si="8"/>
        <v>64.87</v>
      </c>
      <c r="H33" s="38">
        <f t="shared" si="9"/>
        <v>64.87</v>
      </c>
      <c r="I33" s="39">
        <v>64.87</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t="str">
        <f t="shared" si="13"/>
        <v>1-25</v>
      </c>
      <c r="AY33" s="42">
        <f t="shared" si="14"/>
        <v>11.52</v>
      </c>
      <c r="AZ33" s="35">
        <f t="shared" si="15"/>
        <v>64.87</v>
      </c>
      <c r="BA33" s="35">
        <f t="shared" si="16"/>
        <v>64.87</v>
      </c>
      <c r="BB33" s="35">
        <f t="shared" si="17"/>
        <v>64.87</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3086</v>
      </c>
      <c r="D34" s="2207" t="s">
        <v>3049</v>
      </c>
      <c r="E34" s="35">
        <f t="shared" si="7"/>
        <v>11.51</v>
      </c>
      <c r="F34" s="36"/>
      <c r="G34" s="37">
        <f t="shared" si="8"/>
        <v>64.81</v>
      </c>
      <c r="H34" s="38">
        <f t="shared" si="9"/>
        <v>64.81</v>
      </c>
      <c r="I34" s="39">
        <v>64.81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t="str">
        <f t="shared" si="13"/>
        <v>1-26</v>
      </c>
      <c r="AY34" s="42">
        <f t="shared" si="14"/>
        <v>11.51</v>
      </c>
      <c r="AZ34" s="35">
        <f t="shared" si="15"/>
        <v>64.81</v>
      </c>
      <c r="BA34" s="35">
        <f t="shared" si="16"/>
        <v>64.81</v>
      </c>
      <c r="BB34" s="35">
        <f t="shared" si="17"/>
        <v>64.81</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3087</v>
      </c>
      <c r="D35" s="2207" t="s">
        <v>3049</v>
      </c>
      <c r="E35" s="35">
        <f t="shared" si="7"/>
        <v>11.7</v>
      </c>
      <c r="F35" s="36"/>
      <c r="G35" s="37">
        <f t="shared" si="8"/>
        <v>65.900000000000006</v>
      </c>
      <c r="H35" s="38">
        <f t="shared" si="9"/>
        <v>65.900000000000006</v>
      </c>
      <c r="I35" s="39">
        <v>65.900000000000006</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t="str">
        <f t="shared" si="13"/>
        <v>1-27</v>
      </c>
      <c r="AY35" s="42">
        <f t="shared" si="14"/>
        <v>11.7</v>
      </c>
      <c r="AZ35" s="35">
        <f t="shared" si="15"/>
        <v>65.900000000000006</v>
      </c>
      <c r="BA35" s="35">
        <f t="shared" si="16"/>
        <v>65.900000000000006</v>
      </c>
      <c r="BB35" s="35">
        <f t="shared" si="17"/>
        <v>65.900000000000006</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t="s">
        <v>3088</v>
      </c>
      <c r="D36" s="2207" t="s">
        <v>3049</v>
      </c>
      <c r="E36" s="35">
        <f t="shared" si="7"/>
        <v>16.91</v>
      </c>
      <c r="F36" s="36"/>
      <c r="G36" s="37">
        <f t="shared" si="8"/>
        <v>95.26</v>
      </c>
      <c r="H36" s="38">
        <f t="shared" si="9"/>
        <v>95.26</v>
      </c>
      <c r="I36" s="39">
        <v>95.26</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t="str">
        <f t="shared" si="13"/>
        <v>1-28</v>
      </c>
      <c r="AY36" s="42">
        <f t="shared" si="14"/>
        <v>16.91</v>
      </c>
      <c r="AZ36" s="35">
        <f t="shared" si="15"/>
        <v>95.26</v>
      </c>
      <c r="BA36" s="35">
        <f t="shared" si="16"/>
        <v>95.26</v>
      </c>
      <c r="BB36" s="35">
        <f t="shared" si="17"/>
        <v>95.26</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3089</v>
      </c>
      <c r="D37" s="2207" t="s">
        <v>3049</v>
      </c>
      <c r="E37" s="35">
        <f t="shared" si="7"/>
        <v>4.38</v>
      </c>
      <c r="F37" s="36"/>
      <c r="G37" s="37">
        <f t="shared" si="8"/>
        <v>24.68</v>
      </c>
      <c r="H37" s="38">
        <f t="shared" si="9"/>
        <v>24.68</v>
      </c>
      <c r="I37" s="39">
        <v>24.68</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t="str">
        <f t="shared" si="13"/>
        <v>1-29</v>
      </c>
      <c r="AY37" s="42">
        <f t="shared" si="14"/>
        <v>4.38</v>
      </c>
      <c r="AZ37" s="35">
        <f t="shared" si="15"/>
        <v>24.68</v>
      </c>
      <c r="BA37" s="35">
        <f t="shared" si="16"/>
        <v>24.68</v>
      </c>
      <c r="BB37" s="35">
        <f t="shared" si="17"/>
        <v>24.68</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3090</v>
      </c>
      <c r="D38" s="2207" t="s">
        <v>3049</v>
      </c>
      <c r="E38" s="35">
        <f t="shared" si="7"/>
        <v>6.82</v>
      </c>
      <c r="F38" s="36"/>
      <c r="G38" s="37">
        <f t="shared" si="8"/>
        <v>38.4</v>
      </c>
      <c r="H38" s="38">
        <f t="shared" si="9"/>
        <v>38.4</v>
      </c>
      <c r="I38" s="39">
        <v>38.4</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t="str">
        <f t="shared" si="13"/>
        <v>1-30</v>
      </c>
      <c r="AY38" s="42">
        <f t="shared" si="14"/>
        <v>6.82</v>
      </c>
      <c r="AZ38" s="35">
        <f t="shared" si="15"/>
        <v>38.4</v>
      </c>
      <c r="BA38" s="35">
        <f t="shared" si="16"/>
        <v>38.4</v>
      </c>
      <c r="BB38" s="35">
        <f t="shared" si="17"/>
        <v>38.4</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t="s">
        <v>3091</v>
      </c>
      <c r="D39" s="2207" t="s">
        <v>3049</v>
      </c>
      <c r="E39" s="35">
        <f t="shared" si="7"/>
        <v>16.64</v>
      </c>
      <c r="F39" s="36"/>
      <c r="G39" s="37">
        <f t="shared" si="8"/>
        <v>93.74</v>
      </c>
      <c r="H39" s="38">
        <f t="shared" si="9"/>
        <v>93.74</v>
      </c>
      <c r="I39" s="39">
        <v>93.74</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t="str">
        <f t="shared" si="13"/>
        <v>1-33</v>
      </c>
      <c r="AY39" s="42">
        <f t="shared" si="14"/>
        <v>16.64</v>
      </c>
      <c r="AZ39" s="35">
        <f t="shared" si="15"/>
        <v>93.74</v>
      </c>
      <c r="BA39" s="35">
        <f t="shared" si="16"/>
        <v>93.74</v>
      </c>
      <c r="BB39" s="35">
        <f t="shared" si="17"/>
        <v>93.74</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t="s">
        <v>3092</v>
      </c>
      <c r="D40" s="2207" t="s">
        <v>3049</v>
      </c>
      <c r="E40" s="35">
        <f t="shared" si="7"/>
        <v>7.99</v>
      </c>
      <c r="F40" s="36"/>
      <c r="G40" s="37">
        <f t="shared" si="8"/>
        <v>44.99</v>
      </c>
      <c r="H40" s="38">
        <f t="shared" si="9"/>
        <v>44.99</v>
      </c>
      <c r="I40" s="39">
        <v>44.99</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t="str">
        <f t="shared" si="13"/>
        <v>1-34</v>
      </c>
      <c r="AY40" s="42">
        <f t="shared" si="14"/>
        <v>7.99</v>
      </c>
      <c r="AZ40" s="35">
        <f t="shared" si="15"/>
        <v>44.99</v>
      </c>
      <c r="BA40" s="35">
        <f t="shared" si="16"/>
        <v>44.99</v>
      </c>
      <c r="BB40" s="35">
        <f t="shared" si="17"/>
        <v>44.99</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t="s">
        <v>3093</v>
      </c>
      <c r="D41" s="2207" t="s">
        <v>3049</v>
      </c>
      <c r="E41" s="35">
        <f t="shared" si="7"/>
        <v>7.5</v>
      </c>
      <c r="F41" s="36"/>
      <c r="G41" s="37">
        <f t="shared" si="8"/>
        <v>42.22</v>
      </c>
      <c r="H41" s="38">
        <f t="shared" si="9"/>
        <v>42.22</v>
      </c>
      <c r="I41" s="39">
        <v>42.22</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t="str">
        <f t="shared" si="13"/>
        <v>1-35</v>
      </c>
      <c r="AY41" s="42">
        <f t="shared" si="14"/>
        <v>7.5</v>
      </c>
      <c r="AZ41" s="35">
        <f t="shared" si="15"/>
        <v>42.22</v>
      </c>
      <c r="BA41" s="35">
        <f t="shared" si="16"/>
        <v>42.22</v>
      </c>
      <c r="BB41" s="35">
        <f t="shared" si="17"/>
        <v>42.22</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t="s">
        <v>3094</v>
      </c>
      <c r="D42" s="2207" t="s">
        <v>3049</v>
      </c>
      <c r="E42" s="35">
        <f t="shared" si="7"/>
        <v>12.03</v>
      </c>
      <c r="F42" s="36"/>
      <c r="G42" s="37">
        <f t="shared" si="8"/>
        <v>67.77</v>
      </c>
      <c r="H42" s="38">
        <f t="shared" si="9"/>
        <v>67.77</v>
      </c>
      <c r="I42" s="39">
        <v>67.77</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t="str">
        <f t="shared" si="13"/>
        <v>1-36</v>
      </c>
      <c r="AY42" s="42">
        <f t="shared" si="14"/>
        <v>12.03</v>
      </c>
      <c r="AZ42" s="35">
        <f t="shared" si="15"/>
        <v>67.77</v>
      </c>
      <c r="BA42" s="35">
        <f t="shared" si="16"/>
        <v>67.77</v>
      </c>
      <c r="BB42" s="35">
        <f t="shared" si="17"/>
        <v>67.77</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t="s">
        <v>3095</v>
      </c>
      <c r="D43" s="2207" t="s">
        <v>3049</v>
      </c>
      <c r="E43" s="35">
        <f t="shared" si="7"/>
        <v>5.16</v>
      </c>
      <c r="F43" s="36"/>
      <c r="G43" s="37">
        <f t="shared" si="8"/>
        <v>29.05</v>
      </c>
      <c r="H43" s="38">
        <f t="shared" si="9"/>
        <v>29.05</v>
      </c>
      <c r="I43" s="39">
        <v>29.05</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t="str">
        <f t="shared" si="13"/>
        <v>1-37</v>
      </c>
      <c r="AY43" s="42">
        <f t="shared" si="14"/>
        <v>5.16</v>
      </c>
      <c r="AZ43" s="35">
        <f t="shared" si="15"/>
        <v>29.05</v>
      </c>
      <c r="BA43" s="35">
        <f t="shared" si="16"/>
        <v>29.05</v>
      </c>
      <c r="BB43" s="35">
        <f t="shared" si="17"/>
        <v>29.05</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t="s">
        <v>3096</v>
      </c>
      <c r="D44" s="2207" t="s">
        <v>3049</v>
      </c>
      <c r="E44" s="35">
        <f t="shared" si="7"/>
        <v>2.98</v>
      </c>
      <c r="F44" s="36"/>
      <c r="G44" s="37">
        <f t="shared" si="8"/>
        <v>16.77</v>
      </c>
      <c r="H44" s="38">
        <f t="shared" si="9"/>
        <v>16.77</v>
      </c>
      <c r="I44" s="39">
        <v>16.77</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t="str">
        <f t="shared" si="13"/>
        <v>1-38</v>
      </c>
      <c r="AY44" s="42">
        <f t="shared" si="14"/>
        <v>2.98</v>
      </c>
      <c r="AZ44" s="35">
        <f t="shared" si="15"/>
        <v>16.77</v>
      </c>
      <c r="BA44" s="35">
        <f t="shared" si="16"/>
        <v>16.77</v>
      </c>
      <c r="BB44" s="35">
        <f t="shared" si="17"/>
        <v>16.77</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t="s">
        <v>3097</v>
      </c>
      <c r="D45" s="2207" t="s">
        <v>3049</v>
      </c>
      <c r="E45" s="35">
        <f t="shared" si="7"/>
        <v>11.35</v>
      </c>
      <c r="F45" s="36"/>
      <c r="G45" s="37">
        <f t="shared" si="8"/>
        <v>63.9</v>
      </c>
      <c r="H45" s="38">
        <f t="shared" si="9"/>
        <v>63.9</v>
      </c>
      <c r="I45" s="39">
        <v>63.9</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t="str">
        <f t="shared" si="13"/>
        <v>1-39</v>
      </c>
      <c r="AY45" s="42">
        <f t="shared" si="14"/>
        <v>11.35</v>
      </c>
      <c r="AZ45" s="35">
        <f t="shared" si="15"/>
        <v>63.9</v>
      </c>
      <c r="BA45" s="35">
        <f t="shared" si="16"/>
        <v>63.9</v>
      </c>
      <c r="BB45" s="35">
        <f t="shared" si="17"/>
        <v>63.9</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t="s">
        <v>3098</v>
      </c>
      <c r="D46" s="2207" t="s">
        <v>3049</v>
      </c>
      <c r="E46" s="35">
        <f t="shared" si="7"/>
        <v>6.52</v>
      </c>
      <c r="F46" s="36"/>
      <c r="G46" s="37">
        <f t="shared" si="8"/>
        <v>36.72</v>
      </c>
      <c r="H46" s="38">
        <f t="shared" si="9"/>
        <v>36.72</v>
      </c>
      <c r="I46" s="39">
        <v>36.72</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t="str">
        <f t="shared" si="13"/>
        <v>1-40</v>
      </c>
      <c r="AY46" s="42">
        <f t="shared" si="14"/>
        <v>6.52</v>
      </c>
      <c r="AZ46" s="35">
        <f t="shared" si="15"/>
        <v>36.72</v>
      </c>
      <c r="BA46" s="35">
        <f t="shared" si="16"/>
        <v>36.72</v>
      </c>
      <c r="BB46" s="35">
        <f t="shared" si="17"/>
        <v>36.72</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t="s">
        <v>3099</v>
      </c>
      <c r="D47" s="2207" t="s">
        <v>3049</v>
      </c>
      <c r="E47" s="35">
        <f t="shared" si="7"/>
        <v>13.46</v>
      </c>
      <c r="F47" s="36"/>
      <c r="G47" s="37">
        <f t="shared" si="8"/>
        <v>75.8</v>
      </c>
      <c r="H47" s="38">
        <f t="shared" si="9"/>
        <v>75.8</v>
      </c>
      <c r="I47" s="39">
        <v>75.8</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t="str">
        <f t="shared" si="13"/>
        <v>1-41</v>
      </c>
      <c r="AY47" s="42">
        <f t="shared" si="14"/>
        <v>13.46</v>
      </c>
      <c r="AZ47" s="35">
        <f t="shared" si="15"/>
        <v>75.8</v>
      </c>
      <c r="BA47" s="35">
        <f t="shared" si="16"/>
        <v>75.8</v>
      </c>
      <c r="BB47" s="35">
        <f t="shared" si="17"/>
        <v>75.8</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t="s">
        <v>3100</v>
      </c>
      <c r="D48" s="2207" t="s">
        <v>3049</v>
      </c>
      <c r="E48" s="35">
        <f t="shared" si="7"/>
        <v>7.27</v>
      </c>
      <c r="F48" s="36"/>
      <c r="G48" s="37">
        <f t="shared" si="8"/>
        <v>40.96</v>
      </c>
      <c r="H48" s="38">
        <f t="shared" si="9"/>
        <v>40.96</v>
      </c>
      <c r="I48" s="39">
        <v>40.96</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t="str">
        <f t="shared" si="13"/>
        <v>1-43</v>
      </c>
      <c r="AY48" s="42">
        <f t="shared" si="14"/>
        <v>7.27</v>
      </c>
      <c r="AZ48" s="35">
        <f t="shared" si="15"/>
        <v>40.96</v>
      </c>
      <c r="BA48" s="35">
        <f t="shared" si="16"/>
        <v>40.96</v>
      </c>
      <c r="BB48" s="35">
        <f t="shared" si="17"/>
        <v>40.96</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t="s">
        <v>3101</v>
      </c>
      <c r="D49" s="2207" t="s">
        <v>3049</v>
      </c>
      <c r="E49" s="35">
        <f t="shared" si="7"/>
        <v>4.7699999999999996</v>
      </c>
      <c r="F49" s="36"/>
      <c r="G49" s="37">
        <f t="shared" si="8"/>
        <v>26.86</v>
      </c>
      <c r="H49" s="38">
        <f t="shared" si="9"/>
        <v>26.86</v>
      </c>
      <c r="I49" s="39">
        <v>26.86</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t="str">
        <f t="shared" si="13"/>
        <v>1-44</v>
      </c>
      <c r="AY49" s="42">
        <f t="shared" si="14"/>
        <v>4.7699999999999996</v>
      </c>
      <c r="AZ49" s="35">
        <f t="shared" si="15"/>
        <v>26.86</v>
      </c>
      <c r="BA49" s="35">
        <f t="shared" si="16"/>
        <v>26.86</v>
      </c>
      <c r="BB49" s="35">
        <f t="shared" si="17"/>
        <v>26.86</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t="s">
        <v>3102</v>
      </c>
      <c r="D50" s="2207" t="s">
        <v>3049</v>
      </c>
      <c r="E50" s="35">
        <f t="shared" si="7"/>
        <v>7.35</v>
      </c>
      <c r="F50" s="36"/>
      <c r="G50" s="37">
        <f t="shared" si="8"/>
        <v>41.41</v>
      </c>
      <c r="H50" s="38">
        <f t="shared" si="9"/>
        <v>41.41</v>
      </c>
      <c r="I50" s="39">
        <v>41.41</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t="str">
        <f t="shared" si="13"/>
        <v>1-45</v>
      </c>
      <c r="AY50" s="42">
        <f t="shared" si="14"/>
        <v>7.35</v>
      </c>
      <c r="AZ50" s="35">
        <f t="shared" si="15"/>
        <v>41.41</v>
      </c>
      <c r="BA50" s="35">
        <f t="shared" si="16"/>
        <v>41.41</v>
      </c>
      <c r="BB50" s="35">
        <f t="shared" si="17"/>
        <v>41.41</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t="s">
        <v>3103</v>
      </c>
      <c r="D51" s="2207" t="s">
        <v>3049</v>
      </c>
      <c r="E51" s="35">
        <f t="shared" si="7"/>
        <v>7.24</v>
      </c>
      <c r="F51" s="36"/>
      <c r="G51" s="37">
        <f t="shared" si="8"/>
        <v>40.770000000000003</v>
      </c>
      <c r="H51" s="38">
        <f t="shared" si="9"/>
        <v>40.770000000000003</v>
      </c>
      <c r="I51" s="39">
        <v>40.770000000000003</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t="str">
        <f t="shared" si="13"/>
        <v>1-46</v>
      </c>
      <c r="AY51" s="42">
        <f t="shared" si="14"/>
        <v>7.24</v>
      </c>
      <c r="AZ51" s="35">
        <f t="shared" si="15"/>
        <v>40.770000000000003</v>
      </c>
      <c r="BA51" s="35">
        <f t="shared" si="16"/>
        <v>40.770000000000003</v>
      </c>
      <c r="BB51" s="35">
        <f t="shared" si="17"/>
        <v>40.770000000000003</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t="s">
        <v>3104</v>
      </c>
      <c r="D52" s="2207" t="s">
        <v>3049</v>
      </c>
      <c r="E52" s="35">
        <f t="shared" si="7"/>
        <v>7.02</v>
      </c>
      <c r="F52" s="36"/>
      <c r="G52" s="37">
        <f t="shared" si="8"/>
        <v>39.549999999999997</v>
      </c>
      <c r="H52" s="38">
        <f t="shared" si="9"/>
        <v>39.549999999999997</v>
      </c>
      <c r="I52" s="39">
        <v>39.549999999999997</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t="str">
        <f t="shared" si="13"/>
        <v>1-47</v>
      </c>
      <c r="AY52" s="42">
        <f t="shared" si="14"/>
        <v>7.02</v>
      </c>
      <c r="AZ52" s="35">
        <f t="shared" si="15"/>
        <v>39.549999999999997</v>
      </c>
      <c r="BA52" s="35">
        <f t="shared" si="16"/>
        <v>39.549999999999997</v>
      </c>
      <c r="BB52" s="35">
        <f t="shared" si="17"/>
        <v>39.549999999999997</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t="s">
        <v>3105</v>
      </c>
      <c r="D53" s="2207" t="s">
        <v>3049</v>
      </c>
      <c r="E53" s="35">
        <f t="shared" si="7"/>
        <v>4.26</v>
      </c>
      <c r="F53" s="36"/>
      <c r="G53" s="37">
        <f t="shared" si="8"/>
        <v>24.01</v>
      </c>
      <c r="H53" s="38">
        <f t="shared" si="9"/>
        <v>24.01</v>
      </c>
      <c r="I53" s="39">
        <v>24.01</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t="str">
        <f t="shared" si="13"/>
        <v>1-48</v>
      </c>
      <c r="AY53" s="42">
        <f t="shared" si="14"/>
        <v>4.26</v>
      </c>
      <c r="AZ53" s="35">
        <f t="shared" si="15"/>
        <v>24.01</v>
      </c>
      <c r="BA53" s="35">
        <f t="shared" si="16"/>
        <v>24.01</v>
      </c>
      <c r="BB53" s="35">
        <f t="shared" si="17"/>
        <v>24.01</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t="s">
        <v>3106</v>
      </c>
      <c r="D54" s="2207" t="s">
        <v>3049</v>
      </c>
      <c r="E54" s="35">
        <f t="shared" si="7"/>
        <v>4.25</v>
      </c>
      <c r="F54" s="36"/>
      <c r="G54" s="37">
        <f t="shared" si="8"/>
        <v>23.94</v>
      </c>
      <c r="H54" s="38">
        <f t="shared" si="9"/>
        <v>23.94</v>
      </c>
      <c r="I54" s="39">
        <v>23.94</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t="str">
        <f t="shared" si="13"/>
        <v>1-49</v>
      </c>
      <c r="AY54" s="42">
        <f t="shared" si="14"/>
        <v>4.25</v>
      </c>
      <c r="AZ54" s="35">
        <f t="shared" si="15"/>
        <v>23.94</v>
      </c>
      <c r="BA54" s="35">
        <f t="shared" si="16"/>
        <v>23.94</v>
      </c>
      <c r="BB54" s="35">
        <f t="shared" si="17"/>
        <v>23.94</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t="s">
        <v>3107</v>
      </c>
      <c r="D55" s="2207" t="s">
        <v>3049</v>
      </c>
      <c r="E55" s="35">
        <f t="shared" si="7"/>
        <v>8.16</v>
      </c>
      <c r="F55" s="36"/>
      <c r="G55" s="37">
        <f t="shared" si="8"/>
        <v>45.95</v>
      </c>
      <c r="H55" s="38">
        <f t="shared" si="9"/>
        <v>45.95</v>
      </c>
      <c r="I55" s="39">
        <v>45.95</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t="str">
        <f t="shared" si="13"/>
        <v>1-51</v>
      </c>
      <c r="AY55" s="42">
        <f t="shared" si="14"/>
        <v>8.16</v>
      </c>
      <c r="AZ55" s="35">
        <f t="shared" si="15"/>
        <v>45.95</v>
      </c>
      <c r="BA55" s="35">
        <f t="shared" si="16"/>
        <v>45.95</v>
      </c>
      <c r="BB55" s="35">
        <f t="shared" si="17"/>
        <v>45.95</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t="s">
        <v>3108</v>
      </c>
      <c r="D56" s="2207" t="s">
        <v>3049</v>
      </c>
      <c r="E56" s="35">
        <f t="shared" si="7"/>
        <v>8.3699999999999992</v>
      </c>
      <c r="F56" s="36"/>
      <c r="G56" s="37">
        <f t="shared" si="8"/>
        <v>47.14</v>
      </c>
      <c r="H56" s="38">
        <f t="shared" si="9"/>
        <v>47.14</v>
      </c>
      <c r="I56" s="39">
        <v>47.14</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t="str">
        <f t="shared" si="13"/>
        <v>1-52</v>
      </c>
      <c r="AY56" s="42">
        <f t="shared" si="14"/>
        <v>8.3699999999999992</v>
      </c>
      <c r="AZ56" s="35">
        <f t="shared" si="15"/>
        <v>47.14</v>
      </c>
      <c r="BA56" s="35">
        <f t="shared" si="16"/>
        <v>47.14</v>
      </c>
      <c r="BB56" s="35">
        <f t="shared" si="17"/>
        <v>47.14</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t="s">
        <v>3109</v>
      </c>
      <c r="D57" s="2207" t="s">
        <v>3049</v>
      </c>
      <c r="E57" s="35">
        <f t="shared" si="7"/>
        <v>8.17</v>
      </c>
      <c r="F57" s="36"/>
      <c r="G57" s="37">
        <f t="shared" si="8"/>
        <v>46.03</v>
      </c>
      <c r="H57" s="38">
        <f t="shared" si="9"/>
        <v>46.03</v>
      </c>
      <c r="I57" s="39">
        <v>46.03</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t="str">
        <f t="shared" si="13"/>
        <v>1-54</v>
      </c>
      <c r="AY57" s="42">
        <f t="shared" si="14"/>
        <v>8.17</v>
      </c>
      <c r="AZ57" s="35">
        <f t="shared" si="15"/>
        <v>46.03</v>
      </c>
      <c r="BA57" s="35">
        <f t="shared" si="16"/>
        <v>46.03</v>
      </c>
      <c r="BB57" s="35">
        <f t="shared" si="17"/>
        <v>46.03</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t="s">
        <v>3110</v>
      </c>
      <c r="D58" s="2207" t="s">
        <v>3049</v>
      </c>
      <c r="E58" s="35">
        <f t="shared" si="7"/>
        <v>8.17</v>
      </c>
      <c r="F58" s="36"/>
      <c r="G58" s="37">
        <f t="shared" si="8"/>
        <v>46.03</v>
      </c>
      <c r="H58" s="38">
        <f t="shared" si="9"/>
        <v>46.03</v>
      </c>
      <c r="I58" s="39">
        <v>46.03</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t="str">
        <f t="shared" si="13"/>
        <v>1-55</v>
      </c>
      <c r="AY58" s="42">
        <f t="shared" si="14"/>
        <v>8.17</v>
      </c>
      <c r="AZ58" s="35">
        <f t="shared" si="15"/>
        <v>46.03</v>
      </c>
      <c r="BA58" s="35">
        <f t="shared" si="16"/>
        <v>46.03</v>
      </c>
      <c r="BB58" s="35">
        <f t="shared" si="17"/>
        <v>46.03</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t="s">
        <v>3111</v>
      </c>
      <c r="D59" s="2207" t="s">
        <v>3049</v>
      </c>
      <c r="E59" s="35">
        <f t="shared" si="7"/>
        <v>8.17</v>
      </c>
      <c r="F59" s="36"/>
      <c r="G59" s="37">
        <f t="shared" si="8"/>
        <v>46.03</v>
      </c>
      <c r="H59" s="38">
        <f t="shared" si="9"/>
        <v>46.03</v>
      </c>
      <c r="I59" s="39">
        <v>46.03</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t="str">
        <f t="shared" si="13"/>
        <v>1-56</v>
      </c>
      <c r="AY59" s="42">
        <f t="shared" si="14"/>
        <v>8.17</v>
      </c>
      <c r="AZ59" s="35">
        <f t="shared" si="15"/>
        <v>46.03</v>
      </c>
      <c r="BA59" s="35">
        <f t="shared" si="16"/>
        <v>46.03</v>
      </c>
      <c r="BB59" s="35">
        <f t="shared" si="17"/>
        <v>46.03</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t="s">
        <v>3112</v>
      </c>
      <c r="D60" s="2207" t="s">
        <v>3049</v>
      </c>
      <c r="E60" s="35">
        <f t="shared" si="7"/>
        <v>8.16</v>
      </c>
      <c r="F60" s="36"/>
      <c r="G60" s="37">
        <f t="shared" si="8"/>
        <v>45.95</v>
      </c>
      <c r="H60" s="38">
        <f t="shared" si="9"/>
        <v>45.95</v>
      </c>
      <c r="I60" s="39">
        <v>45.95</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t="str">
        <f t="shared" si="13"/>
        <v>1-57</v>
      </c>
      <c r="AY60" s="42">
        <f t="shared" si="14"/>
        <v>8.16</v>
      </c>
      <c r="AZ60" s="35">
        <f t="shared" si="15"/>
        <v>45.95</v>
      </c>
      <c r="BA60" s="35">
        <f t="shared" si="16"/>
        <v>45.95</v>
      </c>
      <c r="BB60" s="35">
        <f t="shared" si="17"/>
        <v>45.95</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t="s">
        <v>3113</v>
      </c>
      <c r="D61" s="2207" t="s">
        <v>3049</v>
      </c>
      <c r="E61" s="35">
        <f t="shared" si="7"/>
        <v>8.26</v>
      </c>
      <c r="F61" s="36"/>
      <c r="G61" s="37">
        <f t="shared" si="8"/>
        <v>46.51</v>
      </c>
      <c r="H61" s="38">
        <f t="shared" si="9"/>
        <v>46.51</v>
      </c>
      <c r="I61" s="39">
        <v>46.51</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t="str">
        <f t="shared" si="13"/>
        <v>1-58</v>
      </c>
      <c r="AY61" s="42">
        <f t="shared" si="14"/>
        <v>8.26</v>
      </c>
      <c r="AZ61" s="35">
        <f t="shared" si="15"/>
        <v>46.51</v>
      </c>
      <c r="BA61" s="35">
        <f t="shared" si="16"/>
        <v>46.51</v>
      </c>
      <c r="BB61" s="35">
        <f t="shared" si="17"/>
        <v>46.51</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t="s">
        <v>3114</v>
      </c>
      <c r="D62" s="2207" t="s">
        <v>3049</v>
      </c>
      <c r="E62" s="35">
        <f t="shared" si="7"/>
        <v>8.17</v>
      </c>
      <c r="F62" s="36"/>
      <c r="G62" s="37">
        <f t="shared" si="8"/>
        <v>46.03</v>
      </c>
      <c r="H62" s="38">
        <f t="shared" si="9"/>
        <v>46.03</v>
      </c>
      <c r="I62" s="39">
        <v>46.03</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t="str">
        <f t="shared" si="13"/>
        <v>1-59</v>
      </c>
      <c r="AY62" s="42">
        <f t="shared" si="14"/>
        <v>8.17</v>
      </c>
      <c r="AZ62" s="35">
        <f t="shared" si="15"/>
        <v>46.03</v>
      </c>
      <c r="BA62" s="35">
        <f t="shared" si="16"/>
        <v>46.03</v>
      </c>
      <c r="BB62" s="35">
        <f t="shared" si="17"/>
        <v>46.03</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t="s">
        <v>3115</v>
      </c>
      <c r="D63" s="2207" t="s">
        <v>3049</v>
      </c>
      <c r="E63" s="35">
        <f t="shared" si="7"/>
        <v>7.16</v>
      </c>
      <c r="F63" s="36"/>
      <c r="G63" s="37">
        <f t="shared" si="8"/>
        <v>40.32</v>
      </c>
      <c r="H63" s="38">
        <f t="shared" si="9"/>
        <v>40.32</v>
      </c>
      <c r="I63" s="39">
        <v>40.32</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t="str">
        <f t="shared" si="13"/>
        <v>1-60</v>
      </c>
      <c r="AY63" s="42">
        <f t="shared" si="14"/>
        <v>7.16</v>
      </c>
      <c r="AZ63" s="35">
        <f t="shared" si="15"/>
        <v>40.32</v>
      </c>
      <c r="BA63" s="35">
        <f t="shared" si="16"/>
        <v>40.32</v>
      </c>
      <c r="BB63" s="35">
        <f t="shared" si="17"/>
        <v>40.32</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t="s">
        <v>3116</v>
      </c>
      <c r="D64" s="2207" t="s">
        <v>3049</v>
      </c>
      <c r="E64" s="35">
        <f t="shared" si="7"/>
        <v>6.98</v>
      </c>
      <c r="F64" s="36"/>
      <c r="G64" s="37">
        <f t="shared" si="8"/>
        <v>39.33</v>
      </c>
      <c r="H64" s="38">
        <f t="shared" si="9"/>
        <v>39.33</v>
      </c>
      <c r="I64" s="39">
        <v>39.33</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t="str">
        <f t="shared" si="13"/>
        <v>1-61</v>
      </c>
      <c r="AY64" s="42">
        <f t="shared" si="14"/>
        <v>6.98</v>
      </c>
      <c r="AZ64" s="35">
        <f t="shared" si="15"/>
        <v>39.33</v>
      </c>
      <c r="BA64" s="35">
        <f t="shared" si="16"/>
        <v>39.33</v>
      </c>
      <c r="BB64" s="35">
        <f t="shared" si="17"/>
        <v>39.33</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t="s">
        <v>3117</v>
      </c>
      <c r="D65" s="2207" t="s">
        <v>3049</v>
      </c>
      <c r="E65" s="35">
        <f t="shared" si="7"/>
        <v>9.61</v>
      </c>
      <c r="F65" s="36"/>
      <c r="G65" s="37">
        <f t="shared" si="8"/>
        <v>54.13</v>
      </c>
      <c r="H65" s="38">
        <f t="shared" si="9"/>
        <v>54.13</v>
      </c>
      <c r="I65" s="39">
        <v>54.13</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t="str">
        <f t="shared" si="13"/>
        <v>1-63</v>
      </c>
      <c r="AY65" s="42">
        <f t="shared" si="14"/>
        <v>9.61</v>
      </c>
      <c r="AZ65" s="35">
        <f t="shared" si="15"/>
        <v>54.13</v>
      </c>
      <c r="BA65" s="35">
        <f t="shared" si="16"/>
        <v>54.13</v>
      </c>
      <c r="BB65" s="35">
        <f t="shared" si="17"/>
        <v>54.13</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t="s">
        <v>3118</v>
      </c>
      <c r="D66" s="2207" t="s">
        <v>3049</v>
      </c>
      <c r="E66" s="35">
        <f t="shared" si="7"/>
        <v>9.48</v>
      </c>
      <c r="F66" s="36"/>
      <c r="G66" s="37">
        <f t="shared" si="8"/>
        <v>53.4</v>
      </c>
      <c r="H66" s="38">
        <f t="shared" si="9"/>
        <v>53.4</v>
      </c>
      <c r="I66" s="39">
        <v>53.4</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t="str">
        <f t="shared" si="13"/>
        <v>1-64</v>
      </c>
      <c r="AY66" s="42">
        <f t="shared" si="14"/>
        <v>9.48</v>
      </c>
      <c r="AZ66" s="35">
        <f t="shared" si="15"/>
        <v>53.4</v>
      </c>
      <c r="BA66" s="35">
        <f t="shared" si="16"/>
        <v>53.4</v>
      </c>
      <c r="BB66" s="35">
        <f t="shared" si="17"/>
        <v>53.4</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t="s">
        <v>3119</v>
      </c>
      <c r="D67" s="2207" t="s">
        <v>3049</v>
      </c>
      <c r="E67" s="35">
        <f t="shared" si="7"/>
        <v>9.68</v>
      </c>
      <c r="F67" s="36"/>
      <c r="G67" s="37">
        <f t="shared" si="8"/>
        <v>54.53</v>
      </c>
      <c r="H67" s="38">
        <f t="shared" si="9"/>
        <v>54.53</v>
      </c>
      <c r="I67" s="39">
        <v>54.53</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t="str">
        <f t="shared" si="13"/>
        <v>1-65</v>
      </c>
      <c r="AY67" s="42">
        <f t="shared" si="14"/>
        <v>9.68</v>
      </c>
      <c r="AZ67" s="35">
        <f t="shared" si="15"/>
        <v>54.53</v>
      </c>
      <c r="BA67" s="35">
        <f t="shared" si="16"/>
        <v>54.53</v>
      </c>
      <c r="BB67" s="35">
        <f t="shared" si="17"/>
        <v>54.53</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t="s">
        <v>3120</v>
      </c>
      <c r="D68" s="2207" t="s">
        <v>3049</v>
      </c>
      <c r="E68" s="35">
        <f t="shared" si="7"/>
        <v>3.11</v>
      </c>
      <c r="F68" s="36"/>
      <c r="G68" s="37">
        <f t="shared" si="8"/>
        <v>17.5</v>
      </c>
      <c r="H68" s="38">
        <f t="shared" si="9"/>
        <v>17.5</v>
      </c>
      <c r="I68" s="39">
        <v>17.5</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t="str">
        <f t="shared" si="13"/>
        <v>1-66</v>
      </c>
      <c r="AY68" s="42">
        <f t="shared" si="14"/>
        <v>3.11</v>
      </c>
      <c r="AZ68" s="35">
        <f t="shared" si="15"/>
        <v>17.5</v>
      </c>
      <c r="BA68" s="35">
        <f t="shared" si="16"/>
        <v>17.5</v>
      </c>
      <c r="BB68" s="35">
        <f t="shared" si="17"/>
        <v>17.5</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t="s">
        <v>3121</v>
      </c>
      <c r="D69" s="2207" t="s">
        <v>3049</v>
      </c>
      <c r="E69" s="35">
        <f t="shared" si="7"/>
        <v>9.68</v>
      </c>
      <c r="F69" s="36"/>
      <c r="G69" s="37">
        <f t="shared" si="8"/>
        <v>54.54</v>
      </c>
      <c r="H69" s="38">
        <f t="shared" si="9"/>
        <v>54.54</v>
      </c>
      <c r="I69" s="39">
        <v>54.54</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t="str">
        <f t="shared" si="13"/>
        <v>1-67</v>
      </c>
      <c r="AY69" s="42">
        <f t="shared" si="14"/>
        <v>9.68</v>
      </c>
      <c r="AZ69" s="35">
        <f t="shared" si="15"/>
        <v>54.54</v>
      </c>
      <c r="BA69" s="35">
        <f t="shared" si="16"/>
        <v>54.54</v>
      </c>
      <c r="BB69" s="35">
        <f t="shared" si="17"/>
        <v>54.54</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t="s">
        <v>3122</v>
      </c>
      <c r="D70" s="2207" t="s">
        <v>3049</v>
      </c>
      <c r="E70" s="35">
        <f t="shared" si="7"/>
        <v>9.49</v>
      </c>
      <c r="F70" s="36"/>
      <c r="G70" s="37">
        <f t="shared" si="8"/>
        <v>53.47</v>
      </c>
      <c r="H70" s="38">
        <f t="shared" si="9"/>
        <v>53.47</v>
      </c>
      <c r="I70" s="39">
        <v>53.47</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t="str">
        <f t="shared" si="13"/>
        <v>1-68</v>
      </c>
      <c r="AY70" s="42">
        <f t="shared" si="14"/>
        <v>9.49</v>
      </c>
      <c r="AZ70" s="35">
        <f t="shared" si="15"/>
        <v>53.47</v>
      </c>
      <c r="BA70" s="35">
        <f t="shared" si="16"/>
        <v>53.47</v>
      </c>
      <c r="BB70" s="35">
        <f t="shared" si="17"/>
        <v>53.47</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t="s">
        <v>3123</v>
      </c>
      <c r="D71" s="2207" t="s">
        <v>3049</v>
      </c>
      <c r="E71" s="35">
        <f t="shared" si="7"/>
        <v>9.49</v>
      </c>
      <c r="F71" s="36"/>
      <c r="G71" s="37">
        <f t="shared" si="8"/>
        <v>53.47</v>
      </c>
      <c r="H71" s="38">
        <f t="shared" si="9"/>
        <v>53.47</v>
      </c>
      <c r="I71" s="39">
        <v>53.47</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t="str">
        <f t="shared" si="13"/>
        <v>1-69</v>
      </c>
      <c r="AY71" s="42">
        <f t="shared" si="14"/>
        <v>9.49</v>
      </c>
      <c r="AZ71" s="35">
        <f t="shared" si="15"/>
        <v>53.47</v>
      </c>
      <c r="BA71" s="35">
        <f t="shared" si="16"/>
        <v>53.47</v>
      </c>
      <c r="BB71" s="35">
        <f t="shared" si="17"/>
        <v>53.47</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t="s">
        <v>3124</v>
      </c>
      <c r="D72" s="2207" t="s">
        <v>3049</v>
      </c>
      <c r="E72" s="35">
        <f t="shared" si="7"/>
        <v>9.48</v>
      </c>
      <c r="F72" s="36"/>
      <c r="G72" s="37">
        <f t="shared" si="8"/>
        <v>53.4</v>
      </c>
      <c r="H72" s="38">
        <f t="shared" si="9"/>
        <v>53.4</v>
      </c>
      <c r="I72" s="39">
        <v>53.4</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t="str">
        <f t="shared" si="13"/>
        <v>1-70</v>
      </c>
      <c r="AY72" s="42">
        <f t="shared" si="14"/>
        <v>9.48</v>
      </c>
      <c r="AZ72" s="35">
        <f t="shared" si="15"/>
        <v>53.4</v>
      </c>
      <c r="BA72" s="35">
        <f t="shared" si="16"/>
        <v>53.4</v>
      </c>
      <c r="BB72" s="35">
        <f t="shared" si="17"/>
        <v>53.4</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t="s">
        <v>3125</v>
      </c>
      <c r="D73" s="2207" t="s">
        <v>3049</v>
      </c>
      <c r="E73" s="35">
        <f t="shared" si="7"/>
        <v>9.69</v>
      </c>
      <c r="F73" s="36"/>
      <c r="G73" s="37">
        <f t="shared" si="8"/>
        <v>54.56</v>
      </c>
      <c r="H73" s="38">
        <f t="shared" si="9"/>
        <v>54.56</v>
      </c>
      <c r="I73" s="39">
        <v>54.56</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t="str">
        <f t="shared" si="13"/>
        <v>1-71</v>
      </c>
      <c r="AY73" s="42">
        <f t="shared" si="14"/>
        <v>9.69</v>
      </c>
      <c r="AZ73" s="35">
        <f t="shared" si="15"/>
        <v>54.56</v>
      </c>
      <c r="BA73" s="35">
        <f t="shared" si="16"/>
        <v>54.56</v>
      </c>
      <c r="BB73" s="35">
        <f t="shared" si="17"/>
        <v>54.56</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t="s">
        <v>3126</v>
      </c>
      <c r="D74" s="2207" t="s">
        <v>3049</v>
      </c>
      <c r="E74" s="35">
        <f t="shared" si="7"/>
        <v>9.99</v>
      </c>
      <c r="F74" s="36"/>
      <c r="G74" s="37">
        <f t="shared" si="8"/>
        <v>56.29</v>
      </c>
      <c r="H74" s="38">
        <f t="shared" si="9"/>
        <v>56.29</v>
      </c>
      <c r="I74" s="39">
        <v>56.29</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t="str">
        <f t="shared" si="13"/>
        <v>1-72</v>
      </c>
      <c r="AY74" s="42">
        <f t="shared" si="14"/>
        <v>9.99</v>
      </c>
      <c r="AZ74" s="35">
        <f t="shared" si="15"/>
        <v>56.29</v>
      </c>
      <c r="BA74" s="35">
        <f t="shared" si="16"/>
        <v>56.29</v>
      </c>
      <c r="BB74" s="35">
        <f t="shared" si="17"/>
        <v>56.29</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t="s">
        <v>3127</v>
      </c>
      <c r="D75" s="2207" t="s">
        <v>3049</v>
      </c>
      <c r="E75" s="35">
        <f t="shared" si="7"/>
        <v>5.59</v>
      </c>
      <c r="F75" s="36"/>
      <c r="G75" s="37">
        <f t="shared" si="8"/>
        <v>31.46</v>
      </c>
      <c r="H75" s="38">
        <f t="shared" si="9"/>
        <v>31.46</v>
      </c>
      <c r="I75" s="39">
        <v>31.46</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t="str">
        <f t="shared" si="13"/>
        <v>1-73</v>
      </c>
      <c r="AY75" s="42">
        <f t="shared" si="14"/>
        <v>5.59</v>
      </c>
      <c r="AZ75" s="35">
        <f t="shared" si="15"/>
        <v>31.46</v>
      </c>
      <c r="BA75" s="35">
        <f t="shared" si="16"/>
        <v>31.46</v>
      </c>
      <c r="BB75" s="35">
        <f t="shared" si="17"/>
        <v>31.46</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t="s">
        <v>3128</v>
      </c>
      <c r="D76" s="2207" t="s">
        <v>3049</v>
      </c>
      <c r="E76" s="35">
        <f t="shared" si="7"/>
        <v>10.58</v>
      </c>
      <c r="F76" s="36"/>
      <c r="G76" s="37">
        <f t="shared" si="8"/>
        <v>59.61</v>
      </c>
      <c r="H76" s="38">
        <f t="shared" si="9"/>
        <v>59.61</v>
      </c>
      <c r="I76" s="39">
        <v>59.61</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t="str">
        <f t="shared" si="13"/>
        <v>1-75</v>
      </c>
      <c r="AY76" s="42">
        <f t="shared" si="14"/>
        <v>10.58</v>
      </c>
      <c r="AZ76" s="35">
        <f t="shared" si="15"/>
        <v>59.61</v>
      </c>
      <c r="BA76" s="35">
        <f t="shared" si="16"/>
        <v>59.61</v>
      </c>
      <c r="BB76" s="35">
        <f t="shared" si="17"/>
        <v>59.61</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t="s">
        <v>3129</v>
      </c>
      <c r="D77" s="2207" t="s">
        <v>3049</v>
      </c>
      <c r="E77" s="35">
        <f t="shared" si="7"/>
        <v>10.58</v>
      </c>
      <c r="F77" s="36"/>
      <c r="G77" s="37">
        <f t="shared" si="8"/>
        <v>59.61</v>
      </c>
      <c r="H77" s="38">
        <f t="shared" si="9"/>
        <v>59.61</v>
      </c>
      <c r="I77" s="39">
        <v>59.61</v>
      </c>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t="str">
        <f t="shared" si="13"/>
        <v>1-76</v>
      </c>
      <c r="AY77" s="42">
        <f t="shared" si="14"/>
        <v>10.58</v>
      </c>
      <c r="AZ77" s="35">
        <f t="shared" si="15"/>
        <v>59.61</v>
      </c>
      <c r="BA77" s="35">
        <f t="shared" si="16"/>
        <v>59.61</v>
      </c>
      <c r="BB77" s="35">
        <f t="shared" si="17"/>
        <v>59.61</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t="s">
        <v>3130</v>
      </c>
      <c r="D78" s="2207" t="s">
        <v>3049</v>
      </c>
      <c r="E78" s="35">
        <f t="shared" si="7"/>
        <v>7.75</v>
      </c>
      <c r="F78" s="36"/>
      <c r="G78" s="37">
        <f t="shared" si="8"/>
        <v>43.63</v>
      </c>
      <c r="H78" s="38">
        <f t="shared" si="9"/>
        <v>43.63</v>
      </c>
      <c r="I78" s="39">
        <v>43.63</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t="str">
        <f t="shared" si="13"/>
        <v>1-77</v>
      </c>
      <c r="AY78" s="42">
        <f t="shared" si="14"/>
        <v>7.75</v>
      </c>
      <c r="AZ78" s="35">
        <f t="shared" si="15"/>
        <v>43.63</v>
      </c>
      <c r="BA78" s="35">
        <f t="shared" si="16"/>
        <v>43.63</v>
      </c>
      <c r="BB78" s="35">
        <f t="shared" si="17"/>
        <v>43.63</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t="s">
        <v>3131</v>
      </c>
      <c r="D79" s="2207" t="s">
        <v>3049</v>
      </c>
      <c r="E79" s="35">
        <f t="shared" si="7"/>
        <v>8.81</v>
      </c>
      <c r="F79" s="36"/>
      <c r="G79" s="37">
        <f t="shared" si="8"/>
        <v>49.61</v>
      </c>
      <c r="H79" s="38">
        <f t="shared" si="9"/>
        <v>49.61</v>
      </c>
      <c r="I79" s="39">
        <v>49.61</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t="str">
        <f t="shared" si="13"/>
        <v>1-78</v>
      </c>
      <c r="AY79" s="42">
        <f t="shared" si="14"/>
        <v>8.81</v>
      </c>
      <c r="AZ79" s="35">
        <f t="shared" si="15"/>
        <v>49.61</v>
      </c>
      <c r="BA79" s="35">
        <f t="shared" si="16"/>
        <v>49.61</v>
      </c>
      <c r="BB79" s="35">
        <f t="shared" si="17"/>
        <v>49.61</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t="s">
        <v>3132</v>
      </c>
      <c r="D80" s="2207" t="s">
        <v>3049</v>
      </c>
      <c r="E80" s="35">
        <f t="shared" si="7"/>
        <v>8.02</v>
      </c>
      <c r="F80" s="36"/>
      <c r="G80" s="37">
        <f t="shared" si="8"/>
        <v>45.15</v>
      </c>
      <c r="H80" s="38">
        <f t="shared" si="9"/>
        <v>45.15</v>
      </c>
      <c r="I80" s="39">
        <v>45.15</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t="str">
        <f t="shared" si="13"/>
        <v>1-79</v>
      </c>
      <c r="AY80" s="42">
        <f t="shared" si="14"/>
        <v>8.02</v>
      </c>
      <c r="AZ80" s="35">
        <f t="shared" si="15"/>
        <v>45.15</v>
      </c>
      <c r="BA80" s="35">
        <f t="shared" si="16"/>
        <v>45.15</v>
      </c>
      <c r="BB80" s="35">
        <f t="shared" si="17"/>
        <v>45.15</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t="s">
        <v>3133</v>
      </c>
      <c r="D81" s="2207" t="s">
        <v>3049</v>
      </c>
      <c r="E81" s="35">
        <f t="shared" si="7"/>
        <v>8.02</v>
      </c>
      <c r="F81" s="36"/>
      <c r="G81" s="37">
        <f t="shared" si="8"/>
        <v>45.15</v>
      </c>
      <c r="H81" s="38">
        <f t="shared" si="9"/>
        <v>45.15</v>
      </c>
      <c r="I81" s="39">
        <v>45.15</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t="str">
        <f t="shared" si="13"/>
        <v>1-80</v>
      </c>
      <c r="AY81" s="42">
        <f t="shared" si="14"/>
        <v>8.02</v>
      </c>
      <c r="AZ81" s="35">
        <f t="shared" si="15"/>
        <v>45.15</v>
      </c>
      <c r="BA81" s="35">
        <f t="shared" si="16"/>
        <v>45.15</v>
      </c>
      <c r="BB81" s="35">
        <f t="shared" si="17"/>
        <v>45.15</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t="s">
        <v>3134</v>
      </c>
      <c r="D82" s="2207" t="s">
        <v>3049</v>
      </c>
      <c r="E82" s="35">
        <f t="shared" si="7"/>
        <v>7.62</v>
      </c>
      <c r="F82" s="36"/>
      <c r="G82" s="37">
        <f t="shared" si="8"/>
        <v>42.93</v>
      </c>
      <c r="H82" s="38">
        <f t="shared" si="9"/>
        <v>42.93</v>
      </c>
      <c r="I82" s="39">
        <v>42.93</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t="str">
        <f t="shared" si="13"/>
        <v>1-81</v>
      </c>
      <c r="AY82" s="42">
        <f t="shared" si="14"/>
        <v>7.62</v>
      </c>
      <c r="AZ82" s="35">
        <f t="shared" si="15"/>
        <v>42.93</v>
      </c>
      <c r="BA82" s="35">
        <f t="shared" si="16"/>
        <v>42.93</v>
      </c>
      <c r="BB82" s="35">
        <f t="shared" si="17"/>
        <v>42.93</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t="s">
        <v>3135</v>
      </c>
      <c r="D83" s="2207" t="s">
        <v>3049</v>
      </c>
      <c r="E83" s="35">
        <f t="shared" si="7"/>
        <v>7.47</v>
      </c>
      <c r="F83" s="36"/>
      <c r="G83" s="37">
        <f t="shared" si="8"/>
        <v>42.08</v>
      </c>
      <c r="H83" s="38">
        <f t="shared" si="9"/>
        <v>42.08</v>
      </c>
      <c r="I83" s="39">
        <v>42.08</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t="str">
        <f t="shared" si="13"/>
        <v>1-82</v>
      </c>
      <c r="AY83" s="42">
        <f t="shared" si="14"/>
        <v>7.47</v>
      </c>
      <c r="AZ83" s="35">
        <f t="shared" si="15"/>
        <v>42.08</v>
      </c>
      <c r="BA83" s="35">
        <f t="shared" si="16"/>
        <v>42.08</v>
      </c>
      <c r="BB83" s="35">
        <f t="shared" si="17"/>
        <v>42.08</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t="s">
        <v>3136</v>
      </c>
      <c r="D84" s="2207" t="s">
        <v>3049</v>
      </c>
      <c r="E84" s="35">
        <f t="shared" si="7"/>
        <v>7.47</v>
      </c>
      <c r="F84" s="36"/>
      <c r="G84" s="37">
        <f t="shared" si="8"/>
        <v>42.08</v>
      </c>
      <c r="H84" s="38">
        <f t="shared" si="9"/>
        <v>42.08</v>
      </c>
      <c r="I84" s="39">
        <v>42.08</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t="str">
        <f t="shared" si="13"/>
        <v>1-83</v>
      </c>
      <c r="AY84" s="42">
        <f t="shared" si="14"/>
        <v>7.47</v>
      </c>
      <c r="AZ84" s="35">
        <f t="shared" si="15"/>
        <v>42.08</v>
      </c>
      <c r="BA84" s="35">
        <f t="shared" si="16"/>
        <v>42.08</v>
      </c>
      <c r="BB84" s="35">
        <f t="shared" si="17"/>
        <v>42.08</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t="s">
        <v>3137</v>
      </c>
      <c r="D85" s="2207" t="s">
        <v>3049</v>
      </c>
      <c r="E85" s="35">
        <f t="shared" si="7"/>
        <v>10.89</v>
      </c>
      <c r="F85" s="36"/>
      <c r="G85" s="37">
        <f t="shared" si="8"/>
        <v>61.36</v>
      </c>
      <c r="H85" s="38">
        <f t="shared" si="9"/>
        <v>61.36</v>
      </c>
      <c r="I85" s="39">
        <v>61.36</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t="str">
        <f t="shared" si="13"/>
        <v>1-84</v>
      </c>
      <c r="AY85" s="42">
        <f t="shared" si="14"/>
        <v>10.89</v>
      </c>
      <c r="AZ85" s="35">
        <f t="shared" si="15"/>
        <v>61.36</v>
      </c>
      <c r="BA85" s="35">
        <f t="shared" si="16"/>
        <v>61.36</v>
      </c>
      <c r="BB85" s="35">
        <f t="shared" si="17"/>
        <v>61.36</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t="s">
        <v>3138</v>
      </c>
      <c r="D86" s="2207" t="s">
        <v>3049</v>
      </c>
      <c r="E86" s="35">
        <f t="shared" si="7"/>
        <v>10.73</v>
      </c>
      <c r="F86" s="36"/>
      <c r="G86" s="37">
        <f t="shared" si="8"/>
        <v>60.42</v>
      </c>
      <c r="H86" s="38">
        <f t="shared" si="9"/>
        <v>60.42</v>
      </c>
      <c r="I86" s="39">
        <v>60.42</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t="str">
        <f t="shared" si="13"/>
        <v>1-85</v>
      </c>
      <c r="AY86" s="42">
        <f t="shared" si="14"/>
        <v>10.73</v>
      </c>
      <c r="AZ86" s="35">
        <f t="shared" si="15"/>
        <v>60.42</v>
      </c>
      <c r="BA86" s="35">
        <f t="shared" si="16"/>
        <v>60.42</v>
      </c>
      <c r="BB86" s="35">
        <f t="shared" si="17"/>
        <v>60.42</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t="s">
        <v>3139</v>
      </c>
      <c r="D87" s="2207" t="s">
        <v>3049</v>
      </c>
      <c r="E87" s="35">
        <f t="shared" si="7"/>
        <v>10.74</v>
      </c>
      <c r="F87" s="36"/>
      <c r="G87" s="37">
        <f t="shared" si="8"/>
        <v>60.49</v>
      </c>
      <c r="H87" s="38">
        <f t="shared" si="9"/>
        <v>60.49</v>
      </c>
      <c r="I87" s="39">
        <v>60.49</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t="str">
        <f t="shared" si="13"/>
        <v>1-86</v>
      </c>
      <c r="AY87" s="42">
        <f t="shared" si="14"/>
        <v>10.74</v>
      </c>
      <c r="AZ87" s="35">
        <f t="shared" si="15"/>
        <v>60.49</v>
      </c>
      <c r="BA87" s="35">
        <f t="shared" si="16"/>
        <v>60.49</v>
      </c>
      <c r="BB87" s="35">
        <f t="shared" si="17"/>
        <v>60.49</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t="s">
        <v>3140</v>
      </c>
      <c r="D88" s="2207" t="s">
        <v>3049</v>
      </c>
      <c r="E88" s="35">
        <f t="shared" si="7"/>
        <v>12.18</v>
      </c>
      <c r="F88" s="36"/>
      <c r="G88" s="37">
        <f t="shared" si="8"/>
        <v>68.63</v>
      </c>
      <c r="H88" s="38">
        <f t="shared" si="9"/>
        <v>68.63</v>
      </c>
      <c r="I88" s="39">
        <v>68.63</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t="str">
        <f t="shared" si="13"/>
        <v>1-87</v>
      </c>
      <c r="AY88" s="42">
        <f t="shared" si="14"/>
        <v>12.18</v>
      </c>
      <c r="AZ88" s="35">
        <f t="shared" si="15"/>
        <v>68.63</v>
      </c>
      <c r="BA88" s="35">
        <f t="shared" si="16"/>
        <v>68.63</v>
      </c>
      <c r="BB88" s="35">
        <f t="shared" si="17"/>
        <v>68.63</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t="s">
        <v>3141</v>
      </c>
      <c r="D89" s="2207" t="s">
        <v>3049</v>
      </c>
      <c r="E89" s="35">
        <f t="shared" si="7"/>
        <v>6.4</v>
      </c>
      <c r="F89" s="36"/>
      <c r="G89" s="37">
        <f t="shared" si="8"/>
        <v>36.03</v>
      </c>
      <c r="H89" s="38">
        <f t="shared" si="9"/>
        <v>36.03</v>
      </c>
      <c r="I89" s="39">
        <v>36.03</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t="str">
        <f t="shared" si="13"/>
        <v>1-89</v>
      </c>
      <c r="AY89" s="42">
        <f t="shared" si="14"/>
        <v>6.4</v>
      </c>
      <c r="AZ89" s="35">
        <f t="shared" si="15"/>
        <v>36.03</v>
      </c>
      <c r="BA89" s="35">
        <f t="shared" si="16"/>
        <v>36.03</v>
      </c>
      <c r="BB89" s="35">
        <f t="shared" si="17"/>
        <v>36.03</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t="s">
        <v>3142</v>
      </c>
      <c r="D90" s="2207" t="s">
        <v>3049</v>
      </c>
      <c r="E90" s="35">
        <f t="shared" si="7"/>
        <v>8.9700000000000006</v>
      </c>
      <c r="F90" s="36"/>
      <c r="G90" s="37">
        <f t="shared" si="8"/>
        <v>50.5</v>
      </c>
      <c r="H90" s="38">
        <f t="shared" si="9"/>
        <v>50.5</v>
      </c>
      <c r="I90" s="39">
        <v>50.5</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t="str">
        <f t="shared" si="13"/>
        <v>1-90</v>
      </c>
      <c r="AY90" s="42">
        <f t="shared" si="14"/>
        <v>8.9700000000000006</v>
      </c>
      <c r="AZ90" s="35">
        <f t="shared" si="15"/>
        <v>50.5</v>
      </c>
      <c r="BA90" s="35">
        <f t="shared" si="16"/>
        <v>50.5</v>
      </c>
      <c r="BB90" s="35">
        <f t="shared" si="17"/>
        <v>50.5</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t="s">
        <v>3143</v>
      </c>
      <c r="D91" s="2207" t="s">
        <v>3049</v>
      </c>
      <c r="E91" s="35">
        <f t="shared" si="7"/>
        <v>8.9700000000000006</v>
      </c>
      <c r="F91" s="36"/>
      <c r="G91" s="37">
        <f t="shared" si="8"/>
        <v>50.5</v>
      </c>
      <c r="H91" s="38">
        <f t="shared" si="9"/>
        <v>50.5</v>
      </c>
      <c r="I91" s="39">
        <v>50.5</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t="str">
        <f t="shared" si="13"/>
        <v>1-91</v>
      </c>
      <c r="AY91" s="42">
        <f t="shared" si="14"/>
        <v>8.9700000000000006</v>
      </c>
      <c r="AZ91" s="35">
        <f t="shared" si="15"/>
        <v>50.5</v>
      </c>
      <c r="BA91" s="35">
        <f t="shared" si="16"/>
        <v>50.5</v>
      </c>
      <c r="BB91" s="35">
        <f t="shared" si="17"/>
        <v>50.5</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t="s">
        <v>3144</v>
      </c>
      <c r="D92" s="2207" t="s">
        <v>3049</v>
      </c>
      <c r="E92" s="35">
        <f t="shared" si="7"/>
        <v>11.66</v>
      </c>
      <c r="F92" s="36"/>
      <c r="G92" s="37">
        <f t="shared" si="8"/>
        <v>65.650000000000006</v>
      </c>
      <c r="H92" s="38">
        <f t="shared" si="9"/>
        <v>65.650000000000006</v>
      </c>
      <c r="I92" s="39">
        <v>65.650000000000006</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t="str">
        <f t="shared" si="13"/>
        <v>1-92</v>
      </c>
      <c r="AY92" s="42">
        <f t="shared" si="14"/>
        <v>11.66</v>
      </c>
      <c r="AZ92" s="35">
        <f t="shared" si="15"/>
        <v>65.650000000000006</v>
      </c>
      <c r="BA92" s="35">
        <f t="shared" si="16"/>
        <v>65.650000000000006</v>
      </c>
      <c r="BB92" s="35">
        <f t="shared" si="17"/>
        <v>65.650000000000006</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t="s">
        <v>3145</v>
      </c>
      <c r="D93" s="2207" t="s">
        <v>3049</v>
      </c>
      <c r="E93" s="35">
        <f t="shared" si="7"/>
        <v>18.96</v>
      </c>
      <c r="F93" s="36"/>
      <c r="G93" s="37">
        <f t="shared" si="8"/>
        <v>106.77</v>
      </c>
      <c r="H93" s="38">
        <f t="shared" si="9"/>
        <v>106.77</v>
      </c>
      <c r="I93" s="39">
        <v>106.77</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t="str">
        <f t="shared" si="13"/>
        <v>1-94</v>
      </c>
      <c r="AY93" s="42">
        <f t="shared" si="14"/>
        <v>18.96</v>
      </c>
      <c r="AZ93" s="35">
        <f t="shared" si="15"/>
        <v>106.77</v>
      </c>
      <c r="BA93" s="35">
        <f t="shared" si="16"/>
        <v>106.77</v>
      </c>
      <c r="BB93" s="35">
        <f t="shared" si="17"/>
        <v>106.77</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t="s">
        <v>3146</v>
      </c>
      <c r="D94" s="2207" t="s">
        <v>3049</v>
      </c>
      <c r="E94" s="35">
        <f t="shared" si="7"/>
        <v>5.82</v>
      </c>
      <c r="F94" s="36"/>
      <c r="G94" s="37">
        <f t="shared" si="8"/>
        <v>32.79</v>
      </c>
      <c r="H94" s="38">
        <f t="shared" si="9"/>
        <v>32.79</v>
      </c>
      <c r="I94" s="39">
        <v>32.79</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t="str">
        <f t="shared" si="13"/>
        <v>1-95</v>
      </c>
      <c r="AY94" s="42">
        <f t="shared" si="14"/>
        <v>5.82</v>
      </c>
      <c r="AZ94" s="35">
        <f t="shared" si="15"/>
        <v>32.79</v>
      </c>
      <c r="BA94" s="35">
        <f t="shared" si="16"/>
        <v>32.79</v>
      </c>
      <c r="BB94" s="35">
        <f t="shared" si="17"/>
        <v>32.79</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t="s">
        <v>3147</v>
      </c>
      <c r="D95" s="2207" t="s">
        <v>3049</v>
      </c>
      <c r="E95" s="35">
        <f t="shared" si="7"/>
        <v>18.27</v>
      </c>
      <c r="F95" s="36"/>
      <c r="G95" s="37">
        <f t="shared" si="8"/>
        <v>102.89</v>
      </c>
      <c r="H95" s="38">
        <f t="shared" si="9"/>
        <v>102.89</v>
      </c>
      <c r="I95" s="39">
        <v>102.89</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t="str">
        <f t="shared" si="13"/>
        <v>1-96</v>
      </c>
      <c r="AY95" s="42">
        <f t="shared" si="14"/>
        <v>18.27</v>
      </c>
      <c r="AZ95" s="35">
        <f t="shared" si="15"/>
        <v>102.89</v>
      </c>
      <c r="BA95" s="35">
        <f t="shared" si="16"/>
        <v>102.89</v>
      </c>
      <c r="BB95" s="35">
        <f t="shared" si="17"/>
        <v>102.89</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t="s">
        <v>3148</v>
      </c>
      <c r="D96" s="2207" t="s">
        <v>3049</v>
      </c>
      <c r="E96" s="35">
        <f t="shared" si="7"/>
        <v>12.03</v>
      </c>
      <c r="F96" s="36"/>
      <c r="G96" s="37">
        <f t="shared" si="8"/>
        <v>67.739999999999995</v>
      </c>
      <c r="H96" s="38">
        <f t="shared" si="9"/>
        <v>67.739999999999995</v>
      </c>
      <c r="I96" s="39">
        <v>67.739999999999995</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t="str">
        <f t="shared" si="13"/>
        <v>2-1</v>
      </c>
      <c r="AY96" s="42">
        <f t="shared" si="14"/>
        <v>12.03</v>
      </c>
      <c r="AZ96" s="35">
        <f t="shared" si="15"/>
        <v>67.739999999999995</v>
      </c>
      <c r="BA96" s="35">
        <f t="shared" si="16"/>
        <v>67.739999999999995</v>
      </c>
      <c r="BB96" s="35">
        <f t="shared" si="17"/>
        <v>67.739999999999995</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t="s">
        <v>3149</v>
      </c>
      <c r="D97" s="2207" t="s">
        <v>3049</v>
      </c>
      <c r="E97" s="35">
        <f t="shared" si="7"/>
        <v>9.4499999999999993</v>
      </c>
      <c r="F97" s="36"/>
      <c r="G97" s="37">
        <f t="shared" si="8"/>
        <v>53.24</v>
      </c>
      <c r="H97" s="38">
        <f t="shared" si="9"/>
        <v>53.24</v>
      </c>
      <c r="I97" s="39">
        <v>53.24</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t="str">
        <f t="shared" si="13"/>
        <v>2-2</v>
      </c>
      <c r="AY97" s="42">
        <f t="shared" si="14"/>
        <v>9.4499999999999993</v>
      </c>
      <c r="AZ97" s="35">
        <f t="shared" si="15"/>
        <v>53.24</v>
      </c>
      <c r="BA97" s="35">
        <f t="shared" si="16"/>
        <v>53.24</v>
      </c>
      <c r="BB97" s="35">
        <f t="shared" si="17"/>
        <v>53.24</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t="s">
        <v>3150</v>
      </c>
      <c r="D98" s="2207" t="s">
        <v>3049</v>
      </c>
      <c r="E98" s="35">
        <f t="shared" si="7"/>
        <v>18.670000000000002</v>
      </c>
      <c r="F98" s="36"/>
      <c r="G98" s="37">
        <f t="shared" si="8"/>
        <v>105.17</v>
      </c>
      <c r="H98" s="38">
        <f t="shared" si="9"/>
        <v>105.17</v>
      </c>
      <c r="I98" s="39">
        <v>105.17</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t="str">
        <f t="shared" si="13"/>
        <v>2-3</v>
      </c>
      <c r="AY98" s="42">
        <f t="shared" si="14"/>
        <v>18.670000000000002</v>
      </c>
      <c r="AZ98" s="35">
        <f t="shared" si="15"/>
        <v>105.17</v>
      </c>
      <c r="BA98" s="35">
        <f t="shared" si="16"/>
        <v>105.17</v>
      </c>
      <c r="BB98" s="35">
        <f t="shared" si="17"/>
        <v>105.17</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t="s">
        <v>3151</v>
      </c>
      <c r="D99" s="2207" t="s">
        <v>3049</v>
      </c>
      <c r="E99" s="35">
        <f t="shared" si="7"/>
        <v>17.52</v>
      </c>
      <c r="F99" s="36"/>
      <c r="G99" s="37">
        <f t="shared" si="8"/>
        <v>98.7</v>
      </c>
      <c r="H99" s="38">
        <f t="shared" si="9"/>
        <v>98.7</v>
      </c>
      <c r="I99" s="39">
        <v>98.7</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t="str">
        <f t="shared" si="13"/>
        <v>2-4</v>
      </c>
      <c r="AY99" s="42">
        <f t="shared" si="14"/>
        <v>17.52</v>
      </c>
      <c r="AZ99" s="35">
        <f t="shared" si="15"/>
        <v>98.7</v>
      </c>
      <c r="BA99" s="35">
        <f t="shared" si="16"/>
        <v>98.7</v>
      </c>
      <c r="BB99" s="35">
        <f t="shared" si="17"/>
        <v>98.7</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t="s">
        <v>3152</v>
      </c>
      <c r="D100" s="2207" t="s">
        <v>3049</v>
      </c>
      <c r="E100" s="35">
        <f t="shared" si="7"/>
        <v>23.22</v>
      </c>
      <c r="F100" s="36"/>
      <c r="G100" s="37">
        <f t="shared" si="8"/>
        <v>130.77000000000001</v>
      </c>
      <c r="H100" s="38">
        <f t="shared" si="9"/>
        <v>130.77000000000001</v>
      </c>
      <c r="I100" s="39">
        <v>130.77000000000001</v>
      </c>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t="str">
        <f t="shared" si="13"/>
        <v>2-5</v>
      </c>
      <c r="AY100" s="42">
        <f t="shared" si="14"/>
        <v>23.22</v>
      </c>
      <c r="AZ100" s="35">
        <f t="shared" si="15"/>
        <v>130.77000000000001</v>
      </c>
      <c r="BA100" s="35">
        <f t="shared" si="16"/>
        <v>130.77000000000001</v>
      </c>
      <c r="BB100" s="35">
        <f t="shared" si="17"/>
        <v>130.77000000000001</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t="s">
        <v>3153</v>
      </c>
      <c r="D101" s="2207" t="s">
        <v>3049</v>
      </c>
      <c r="E101" s="35">
        <f t="shared" si="7"/>
        <v>10.98</v>
      </c>
      <c r="F101" s="36"/>
      <c r="G101" s="37">
        <f t="shared" si="8"/>
        <v>61.85</v>
      </c>
      <c r="H101" s="38">
        <f t="shared" si="9"/>
        <v>61.85</v>
      </c>
      <c r="I101" s="39">
        <v>61.85</v>
      </c>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t="str">
        <f t="shared" si="13"/>
        <v>2-6</v>
      </c>
      <c r="AY101" s="42">
        <f t="shared" si="14"/>
        <v>10.98</v>
      </c>
      <c r="AZ101" s="35">
        <f t="shared" si="15"/>
        <v>61.85</v>
      </c>
      <c r="BA101" s="35">
        <f t="shared" si="16"/>
        <v>61.85</v>
      </c>
      <c r="BB101" s="35">
        <f t="shared" si="17"/>
        <v>61.85</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t="s">
        <v>3154</v>
      </c>
      <c r="D102" s="2207" t="s">
        <v>3049</v>
      </c>
      <c r="E102" s="35">
        <f t="shared" si="7"/>
        <v>9.85</v>
      </c>
      <c r="F102" s="36"/>
      <c r="G102" s="37">
        <f t="shared" si="8"/>
        <v>55.48</v>
      </c>
      <c r="H102" s="38">
        <f t="shared" si="9"/>
        <v>55.48</v>
      </c>
      <c r="I102" s="39">
        <v>55.48</v>
      </c>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t="str">
        <f t="shared" si="13"/>
        <v>2-7</v>
      </c>
      <c r="AY102" s="42">
        <f t="shared" si="14"/>
        <v>9.85</v>
      </c>
      <c r="AZ102" s="35">
        <f t="shared" si="15"/>
        <v>55.48</v>
      </c>
      <c r="BA102" s="35">
        <f t="shared" si="16"/>
        <v>55.48</v>
      </c>
      <c r="BB102" s="35">
        <f t="shared" si="17"/>
        <v>55.48</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t="s">
        <v>3155</v>
      </c>
      <c r="D103" s="2207" t="s">
        <v>3049</v>
      </c>
      <c r="E103" s="35">
        <f t="shared" si="7"/>
        <v>8.7200000000000006</v>
      </c>
      <c r="F103" s="36"/>
      <c r="G103" s="37">
        <f t="shared" si="8"/>
        <v>49.11</v>
      </c>
      <c r="H103" s="38">
        <f t="shared" si="9"/>
        <v>49.11</v>
      </c>
      <c r="I103" s="39">
        <v>49.11</v>
      </c>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t="str">
        <f t="shared" si="13"/>
        <v>2-8</v>
      </c>
      <c r="AY103" s="42">
        <f t="shared" si="14"/>
        <v>8.7200000000000006</v>
      </c>
      <c r="AZ103" s="35">
        <f t="shared" si="15"/>
        <v>49.11</v>
      </c>
      <c r="BA103" s="35">
        <f t="shared" si="16"/>
        <v>49.11</v>
      </c>
      <c r="BB103" s="35">
        <f t="shared" si="17"/>
        <v>49.11</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t="s">
        <v>3156</v>
      </c>
      <c r="D104" s="2207" t="s">
        <v>3049</v>
      </c>
      <c r="E104" s="35">
        <f t="shared" si="7"/>
        <v>17.190000000000001</v>
      </c>
      <c r="F104" s="36"/>
      <c r="G104" s="37">
        <f t="shared" si="8"/>
        <v>96.83</v>
      </c>
      <c r="H104" s="38">
        <f t="shared" si="9"/>
        <v>96.83</v>
      </c>
      <c r="I104" s="39">
        <v>96.83</v>
      </c>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t="str">
        <f t="shared" si="13"/>
        <v>2-9</v>
      </c>
      <c r="AY104" s="42">
        <f t="shared" si="14"/>
        <v>17.190000000000001</v>
      </c>
      <c r="AZ104" s="35">
        <f t="shared" si="15"/>
        <v>96.83</v>
      </c>
      <c r="BA104" s="35">
        <f t="shared" si="16"/>
        <v>96.83</v>
      </c>
      <c r="BB104" s="35">
        <f t="shared" si="17"/>
        <v>96.83</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t="s">
        <v>3157</v>
      </c>
      <c r="D105" s="2207" t="s">
        <v>3049</v>
      </c>
      <c r="E105" s="35">
        <f t="shared" si="7"/>
        <v>17.190000000000001</v>
      </c>
      <c r="F105" s="36"/>
      <c r="G105" s="37">
        <f t="shared" si="8"/>
        <v>96.83</v>
      </c>
      <c r="H105" s="38">
        <f t="shared" si="9"/>
        <v>96.83</v>
      </c>
      <c r="I105" s="39">
        <v>96.83</v>
      </c>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t="str">
        <f t="shared" si="13"/>
        <v>2-10</v>
      </c>
      <c r="AY105" s="42">
        <f t="shared" si="14"/>
        <v>17.190000000000001</v>
      </c>
      <c r="AZ105" s="35">
        <f t="shared" si="15"/>
        <v>96.83</v>
      </c>
      <c r="BA105" s="35">
        <f t="shared" si="16"/>
        <v>96.83</v>
      </c>
      <c r="BB105" s="35">
        <f t="shared" si="17"/>
        <v>96.83</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t="s">
        <v>3158</v>
      </c>
      <c r="D106" s="2207" t="s">
        <v>3049</v>
      </c>
      <c r="E106" s="35">
        <f t="shared" si="7"/>
        <v>17.03</v>
      </c>
      <c r="F106" s="36"/>
      <c r="G106" s="37">
        <f t="shared" si="8"/>
        <v>95.92</v>
      </c>
      <c r="H106" s="38">
        <f t="shared" si="9"/>
        <v>95.92</v>
      </c>
      <c r="I106" s="39">
        <v>95.92</v>
      </c>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t="str">
        <f t="shared" si="13"/>
        <v>2-11</v>
      </c>
      <c r="AY106" s="42">
        <f t="shared" si="14"/>
        <v>17.03</v>
      </c>
      <c r="AZ106" s="35">
        <f t="shared" si="15"/>
        <v>95.92</v>
      </c>
      <c r="BA106" s="35">
        <f t="shared" si="16"/>
        <v>95.92</v>
      </c>
      <c r="BB106" s="35">
        <f t="shared" si="17"/>
        <v>95.92</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t="s">
        <v>3159</v>
      </c>
      <c r="D107" s="2207" t="s">
        <v>3049</v>
      </c>
      <c r="E107" s="35">
        <f t="shared" si="7"/>
        <v>17.190000000000001</v>
      </c>
      <c r="F107" s="36"/>
      <c r="G107" s="37">
        <f t="shared" si="8"/>
        <v>96.83</v>
      </c>
      <c r="H107" s="38">
        <f t="shared" si="9"/>
        <v>96.83</v>
      </c>
      <c r="I107" s="39">
        <v>96.83</v>
      </c>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t="str">
        <f t="shared" si="13"/>
        <v>2-12</v>
      </c>
      <c r="AY107" s="42">
        <f t="shared" si="14"/>
        <v>17.190000000000001</v>
      </c>
      <c r="AZ107" s="35">
        <f t="shared" si="15"/>
        <v>96.83</v>
      </c>
      <c r="BA107" s="35">
        <f t="shared" si="16"/>
        <v>96.83</v>
      </c>
      <c r="BB107" s="35">
        <f t="shared" si="17"/>
        <v>96.83</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t="s">
        <v>3160</v>
      </c>
      <c r="D108" s="2207" t="s">
        <v>3049</v>
      </c>
      <c r="E108" s="35">
        <f t="shared" si="7"/>
        <v>17.190000000000001</v>
      </c>
      <c r="F108" s="36"/>
      <c r="G108" s="37">
        <f t="shared" si="8"/>
        <v>96.83</v>
      </c>
      <c r="H108" s="38">
        <f t="shared" si="9"/>
        <v>96.83</v>
      </c>
      <c r="I108" s="39">
        <v>96.83</v>
      </c>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t="str">
        <f t="shared" si="13"/>
        <v>2-13</v>
      </c>
      <c r="AY108" s="42">
        <f t="shared" si="14"/>
        <v>17.190000000000001</v>
      </c>
      <c r="AZ108" s="35">
        <f t="shared" si="15"/>
        <v>96.83</v>
      </c>
      <c r="BA108" s="35">
        <f t="shared" si="16"/>
        <v>96.83</v>
      </c>
      <c r="BB108" s="35">
        <f t="shared" si="17"/>
        <v>96.83</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t="s">
        <v>3161</v>
      </c>
      <c r="D109" s="2207" t="s">
        <v>3049</v>
      </c>
      <c r="E109" s="35">
        <f t="shared" si="7"/>
        <v>17.170000000000002</v>
      </c>
      <c r="F109" s="36"/>
      <c r="G109" s="37">
        <f t="shared" si="8"/>
        <v>96.71</v>
      </c>
      <c r="H109" s="38">
        <f t="shared" si="9"/>
        <v>96.71</v>
      </c>
      <c r="I109" s="39">
        <v>96.71</v>
      </c>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t="str">
        <f t="shared" si="13"/>
        <v>2-14</v>
      </c>
      <c r="AY109" s="42">
        <f t="shared" si="14"/>
        <v>17.170000000000002</v>
      </c>
      <c r="AZ109" s="35">
        <f t="shared" si="15"/>
        <v>96.71</v>
      </c>
      <c r="BA109" s="35">
        <f t="shared" si="16"/>
        <v>96.71</v>
      </c>
      <c r="BB109" s="35">
        <f t="shared" si="17"/>
        <v>96.71</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t="s">
        <v>3162</v>
      </c>
      <c r="D110" s="2207" t="s">
        <v>3049</v>
      </c>
      <c r="E110" s="35">
        <f t="shared" si="7"/>
        <v>17.059999999999999</v>
      </c>
      <c r="F110" s="44"/>
      <c r="G110" s="37">
        <f t="shared" ref="G110:G141" si="36">H110+AC110+AT110</f>
        <v>96.07</v>
      </c>
      <c r="H110" s="38">
        <f t="shared" ref="H110:H141" si="37">SUMIF(I$12:AB$12,"总值",I110:AB110)</f>
        <v>96.07</v>
      </c>
      <c r="I110" s="10">
        <v>96.07</v>
      </c>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t="str">
        <f t="shared" si="13"/>
        <v>2-15</v>
      </c>
      <c r="AY110" s="42">
        <f t="shared" ref="AY110:AY141" si="39">ROUND($AY$6*AZ110/$AZ$5,2)</f>
        <v>17.059999999999999</v>
      </c>
      <c r="AZ110" s="35">
        <f t="shared" ref="AZ110:AZ141" si="40">BA110+BL110</f>
        <v>96.07</v>
      </c>
      <c r="BA110" s="35">
        <f t="shared" ref="BA110:BA141" si="41">SUM(BB110:BK110)</f>
        <v>96.07</v>
      </c>
      <c r="BB110" s="35">
        <f t="shared" ref="BB110:BB141" si="42">IF($D110="是",I110-J110,0)</f>
        <v>96.07</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t="s">
        <v>3163</v>
      </c>
      <c r="D111" s="2207" t="s">
        <v>3049</v>
      </c>
      <c r="E111" s="35">
        <f t="shared" si="7"/>
        <v>11.46</v>
      </c>
      <c r="F111" s="44"/>
      <c r="G111" s="37">
        <f t="shared" si="36"/>
        <v>64.55</v>
      </c>
      <c r="H111" s="38">
        <f t="shared" si="37"/>
        <v>64.55</v>
      </c>
      <c r="I111" s="39">
        <v>64.55</v>
      </c>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t="str">
        <f t="shared" si="13"/>
        <v>2-16</v>
      </c>
      <c r="AY111" s="42">
        <f t="shared" si="39"/>
        <v>11.46</v>
      </c>
      <c r="AZ111" s="35">
        <f t="shared" si="40"/>
        <v>64.55</v>
      </c>
      <c r="BA111" s="35">
        <f t="shared" si="41"/>
        <v>64.55</v>
      </c>
      <c r="BB111" s="35">
        <f t="shared" si="42"/>
        <v>64.55</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t="s">
        <v>3164</v>
      </c>
      <c r="D112" s="2207" t="s">
        <v>3049</v>
      </c>
      <c r="E112" s="35">
        <f t="shared" si="7"/>
        <v>11.46</v>
      </c>
      <c r="F112" s="44"/>
      <c r="G112" s="37">
        <f t="shared" si="36"/>
        <v>64.55</v>
      </c>
      <c r="H112" s="38">
        <f t="shared" si="37"/>
        <v>64.55</v>
      </c>
      <c r="I112" s="39">
        <v>64.55</v>
      </c>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t="str">
        <f t="shared" si="13"/>
        <v>2-17</v>
      </c>
      <c r="AY112" s="42">
        <f t="shared" si="39"/>
        <v>11.46</v>
      </c>
      <c r="AZ112" s="35">
        <f t="shared" si="40"/>
        <v>64.55</v>
      </c>
      <c r="BA112" s="35">
        <f t="shared" si="41"/>
        <v>64.55</v>
      </c>
      <c r="BB112" s="35">
        <f t="shared" si="42"/>
        <v>64.55</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t="s">
        <v>3165</v>
      </c>
      <c r="D113" s="2207" t="s">
        <v>3049</v>
      </c>
      <c r="E113" s="35">
        <f t="shared" ref="E113:E144" si="61">IF($C$3="是",ROUND($A$3*G113/$B$3,2),ROUND($A$3*(G113-AT113)/$B$3,2))</f>
        <v>5.52</v>
      </c>
      <c r="F113" s="36"/>
      <c r="G113" s="37">
        <f t="shared" si="36"/>
        <v>31.08</v>
      </c>
      <c r="H113" s="38">
        <f t="shared" si="37"/>
        <v>31.08</v>
      </c>
      <c r="I113" s="39">
        <v>31.08</v>
      </c>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t="str">
        <f t="shared" ref="AX113:AX144" si="64">C113</f>
        <v>2-19</v>
      </c>
      <c r="AY113" s="42">
        <f t="shared" si="39"/>
        <v>5.52</v>
      </c>
      <c r="AZ113" s="35">
        <f t="shared" si="40"/>
        <v>31.08</v>
      </c>
      <c r="BA113" s="35">
        <f t="shared" si="41"/>
        <v>31.08</v>
      </c>
      <c r="BB113" s="35">
        <f t="shared" si="42"/>
        <v>31.08</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t="s">
        <v>3166</v>
      </c>
      <c r="D114" s="2207" t="s">
        <v>3049</v>
      </c>
      <c r="E114" s="35">
        <f t="shared" si="61"/>
        <v>20.81</v>
      </c>
      <c r="F114" s="36"/>
      <c r="G114" s="37">
        <f t="shared" si="36"/>
        <v>117.22</v>
      </c>
      <c r="H114" s="38">
        <f t="shared" si="37"/>
        <v>117.22</v>
      </c>
      <c r="I114" s="39">
        <v>117.22</v>
      </c>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t="str">
        <f t="shared" si="64"/>
        <v>2-20</v>
      </c>
      <c r="AY114" s="42">
        <f t="shared" si="39"/>
        <v>20.81</v>
      </c>
      <c r="AZ114" s="35">
        <f t="shared" si="40"/>
        <v>117.22</v>
      </c>
      <c r="BA114" s="35">
        <f t="shared" si="41"/>
        <v>117.22</v>
      </c>
      <c r="BB114" s="35">
        <f t="shared" si="42"/>
        <v>117.22</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t="s">
        <v>3167</v>
      </c>
      <c r="D115" s="2207" t="s">
        <v>3049</v>
      </c>
      <c r="E115" s="35">
        <f t="shared" si="61"/>
        <v>14.36</v>
      </c>
      <c r="F115" s="36"/>
      <c r="G115" s="37">
        <f t="shared" si="36"/>
        <v>80.87</v>
      </c>
      <c r="H115" s="38">
        <f t="shared" si="37"/>
        <v>80.87</v>
      </c>
      <c r="I115" s="39">
        <v>80.87</v>
      </c>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t="str">
        <f t="shared" si="64"/>
        <v>2-21</v>
      </c>
      <c r="AY115" s="42">
        <f t="shared" si="39"/>
        <v>14.36</v>
      </c>
      <c r="AZ115" s="35">
        <f t="shared" si="40"/>
        <v>80.87</v>
      </c>
      <c r="BA115" s="35">
        <f t="shared" si="41"/>
        <v>80.87</v>
      </c>
      <c r="BB115" s="35">
        <f t="shared" si="42"/>
        <v>80.87</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t="s">
        <v>3168</v>
      </c>
      <c r="D116" s="2207" t="s">
        <v>3049</v>
      </c>
      <c r="E116" s="35">
        <f t="shared" si="61"/>
        <v>10.95</v>
      </c>
      <c r="F116" s="36"/>
      <c r="G116" s="37">
        <f t="shared" si="36"/>
        <v>61.68</v>
      </c>
      <c r="H116" s="38">
        <f t="shared" si="37"/>
        <v>61.68</v>
      </c>
      <c r="I116" s="39">
        <v>61.68</v>
      </c>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t="str">
        <f t="shared" si="64"/>
        <v>2-22</v>
      </c>
      <c r="AY116" s="42">
        <f t="shared" si="39"/>
        <v>10.95</v>
      </c>
      <c r="AZ116" s="35">
        <f t="shared" si="40"/>
        <v>61.68</v>
      </c>
      <c r="BA116" s="35">
        <f t="shared" si="41"/>
        <v>61.68</v>
      </c>
      <c r="BB116" s="35">
        <f t="shared" si="42"/>
        <v>61.68</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t="s">
        <v>3169</v>
      </c>
      <c r="D117" s="2207" t="s">
        <v>3049</v>
      </c>
      <c r="E117" s="35">
        <f t="shared" si="61"/>
        <v>10.41</v>
      </c>
      <c r="F117" s="36"/>
      <c r="G117" s="37">
        <f t="shared" si="36"/>
        <v>58.63</v>
      </c>
      <c r="H117" s="38">
        <f t="shared" si="37"/>
        <v>58.63</v>
      </c>
      <c r="I117" s="39">
        <v>58.63</v>
      </c>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t="str">
        <f t="shared" si="64"/>
        <v>2-23</v>
      </c>
      <c r="AY117" s="42">
        <f t="shared" si="39"/>
        <v>10.41</v>
      </c>
      <c r="AZ117" s="35">
        <f t="shared" si="40"/>
        <v>58.63</v>
      </c>
      <c r="BA117" s="35">
        <f t="shared" si="41"/>
        <v>58.63</v>
      </c>
      <c r="BB117" s="35">
        <f t="shared" si="42"/>
        <v>58.63</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t="s">
        <v>3170</v>
      </c>
      <c r="D118" s="2207" t="s">
        <v>3049</v>
      </c>
      <c r="E118" s="35">
        <f t="shared" si="61"/>
        <v>20.05</v>
      </c>
      <c r="F118" s="36"/>
      <c r="G118" s="37">
        <f t="shared" si="36"/>
        <v>112.93</v>
      </c>
      <c r="H118" s="38">
        <f t="shared" si="37"/>
        <v>112.93</v>
      </c>
      <c r="I118" s="39">
        <v>112.93</v>
      </c>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t="str">
        <f t="shared" si="64"/>
        <v>2-24</v>
      </c>
      <c r="AY118" s="42">
        <f t="shared" si="39"/>
        <v>20.05</v>
      </c>
      <c r="AZ118" s="35">
        <f t="shared" si="40"/>
        <v>112.93</v>
      </c>
      <c r="BA118" s="35">
        <f t="shared" si="41"/>
        <v>112.93</v>
      </c>
      <c r="BB118" s="35">
        <f t="shared" si="42"/>
        <v>112.93</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t="s">
        <v>3171</v>
      </c>
      <c r="D119" s="2207" t="s">
        <v>3049</v>
      </c>
      <c r="E119" s="35">
        <f t="shared" si="61"/>
        <v>14.53</v>
      </c>
      <c r="F119" s="36"/>
      <c r="G119" s="37">
        <f t="shared" si="36"/>
        <v>81.86</v>
      </c>
      <c r="H119" s="38">
        <f t="shared" si="37"/>
        <v>81.86</v>
      </c>
      <c r="I119" s="39">
        <v>81.86</v>
      </c>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t="str">
        <f t="shared" si="64"/>
        <v>2-28</v>
      </c>
      <c r="AY119" s="42">
        <f t="shared" si="39"/>
        <v>14.53</v>
      </c>
      <c r="AZ119" s="35">
        <f t="shared" si="40"/>
        <v>81.86</v>
      </c>
      <c r="BA119" s="35">
        <f t="shared" si="41"/>
        <v>81.86</v>
      </c>
      <c r="BB119" s="35">
        <f t="shared" si="42"/>
        <v>81.86</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t="s">
        <v>3172</v>
      </c>
      <c r="D120" s="2207" t="s">
        <v>3049</v>
      </c>
      <c r="E120" s="35">
        <f t="shared" si="61"/>
        <v>14.46</v>
      </c>
      <c r="F120" s="36"/>
      <c r="G120" s="37">
        <f t="shared" si="36"/>
        <v>81.459999999999994</v>
      </c>
      <c r="H120" s="38">
        <f t="shared" si="37"/>
        <v>81.459999999999994</v>
      </c>
      <c r="I120" s="39">
        <v>81.459999999999994</v>
      </c>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t="str">
        <f t="shared" si="64"/>
        <v>2-29</v>
      </c>
      <c r="AY120" s="42">
        <f t="shared" si="39"/>
        <v>14.46</v>
      </c>
      <c r="AZ120" s="35">
        <f t="shared" si="40"/>
        <v>81.459999999999994</v>
      </c>
      <c r="BA120" s="35">
        <f t="shared" si="41"/>
        <v>81.459999999999994</v>
      </c>
      <c r="BB120" s="35">
        <f t="shared" si="42"/>
        <v>81.459999999999994</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t="s">
        <v>3173</v>
      </c>
      <c r="D121" s="2207" t="s">
        <v>3049</v>
      </c>
      <c r="E121" s="35">
        <f t="shared" si="61"/>
        <v>14.44</v>
      </c>
      <c r="F121" s="36"/>
      <c r="G121" s="37">
        <f t="shared" si="36"/>
        <v>81.34</v>
      </c>
      <c r="H121" s="38">
        <f t="shared" si="37"/>
        <v>81.34</v>
      </c>
      <c r="I121" s="39">
        <v>81.34</v>
      </c>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t="str">
        <f t="shared" si="64"/>
        <v>2-30</v>
      </c>
      <c r="AY121" s="42">
        <f t="shared" si="39"/>
        <v>14.44</v>
      </c>
      <c r="AZ121" s="35">
        <f t="shared" si="40"/>
        <v>81.34</v>
      </c>
      <c r="BA121" s="35">
        <f t="shared" si="41"/>
        <v>81.34</v>
      </c>
      <c r="BB121" s="35">
        <f t="shared" si="42"/>
        <v>81.34</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t="s">
        <v>3174</v>
      </c>
      <c r="D122" s="2207" t="s">
        <v>3049</v>
      </c>
      <c r="E122" s="35">
        <f t="shared" si="61"/>
        <v>14.46</v>
      </c>
      <c r="F122" s="36"/>
      <c r="G122" s="37">
        <f t="shared" si="36"/>
        <v>81.459999999999994</v>
      </c>
      <c r="H122" s="38">
        <f t="shared" si="37"/>
        <v>81.459999999999994</v>
      </c>
      <c r="I122" s="39">
        <v>81.459999999999994</v>
      </c>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t="str">
        <f t="shared" si="64"/>
        <v>2-31</v>
      </c>
      <c r="AY122" s="42">
        <f t="shared" si="39"/>
        <v>14.46</v>
      </c>
      <c r="AZ122" s="35">
        <f t="shared" si="40"/>
        <v>81.459999999999994</v>
      </c>
      <c r="BA122" s="35">
        <f t="shared" si="41"/>
        <v>81.459999999999994</v>
      </c>
      <c r="BB122" s="35">
        <f t="shared" si="42"/>
        <v>81.459999999999994</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t="s">
        <v>3175</v>
      </c>
      <c r="D123" s="2207" t="s">
        <v>3049</v>
      </c>
      <c r="E123" s="35">
        <f t="shared" si="61"/>
        <v>14.46</v>
      </c>
      <c r="F123" s="36"/>
      <c r="G123" s="37">
        <f t="shared" si="36"/>
        <v>81.459999999999994</v>
      </c>
      <c r="H123" s="38">
        <f t="shared" si="37"/>
        <v>81.459999999999994</v>
      </c>
      <c r="I123" s="39">
        <v>81.459999999999994</v>
      </c>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t="str">
        <f t="shared" si="64"/>
        <v>2-32</v>
      </c>
      <c r="AY123" s="42">
        <f t="shared" si="39"/>
        <v>14.46</v>
      </c>
      <c r="AZ123" s="35">
        <f t="shared" si="40"/>
        <v>81.459999999999994</v>
      </c>
      <c r="BA123" s="35">
        <f t="shared" si="41"/>
        <v>81.459999999999994</v>
      </c>
      <c r="BB123" s="35">
        <f t="shared" si="42"/>
        <v>81.459999999999994</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t="s">
        <v>3176</v>
      </c>
      <c r="D124" s="2207" t="s">
        <v>3049</v>
      </c>
      <c r="E124" s="35">
        <f t="shared" si="61"/>
        <v>14.44</v>
      </c>
      <c r="F124" s="36"/>
      <c r="G124" s="37">
        <f t="shared" si="36"/>
        <v>81.34</v>
      </c>
      <c r="H124" s="38">
        <f t="shared" si="37"/>
        <v>81.34</v>
      </c>
      <c r="I124" s="39">
        <v>81.34</v>
      </c>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t="str">
        <f t="shared" si="64"/>
        <v>2-33</v>
      </c>
      <c r="AY124" s="42">
        <f t="shared" si="39"/>
        <v>14.44</v>
      </c>
      <c r="AZ124" s="35">
        <f t="shared" si="40"/>
        <v>81.34</v>
      </c>
      <c r="BA124" s="35">
        <f t="shared" si="41"/>
        <v>81.34</v>
      </c>
      <c r="BB124" s="35">
        <f t="shared" si="42"/>
        <v>81.34</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t="s">
        <v>3177</v>
      </c>
      <c r="D125" s="2207" t="s">
        <v>3049</v>
      </c>
      <c r="E125" s="35">
        <f t="shared" si="61"/>
        <v>14.46</v>
      </c>
      <c r="F125" s="36"/>
      <c r="G125" s="37">
        <f t="shared" si="36"/>
        <v>81.459999999999994</v>
      </c>
      <c r="H125" s="38">
        <f t="shared" si="37"/>
        <v>81.459999999999994</v>
      </c>
      <c r="I125" s="39">
        <v>81.459999999999994</v>
      </c>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t="str">
        <f t="shared" si="64"/>
        <v>2-34</v>
      </c>
      <c r="AY125" s="42">
        <f t="shared" si="39"/>
        <v>14.46</v>
      </c>
      <c r="AZ125" s="35">
        <f t="shared" si="40"/>
        <v>81.459999999999994</v>
      </c>
      <c r="BA125" s="35">
        <f t="shared" si="41"/>
        <v>81.459999999999994</v>
      </c>
      <c r="BB125" s="35">
        <f t="shared" si="42"/>
        <v>81.459999999999994</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t="s">
        <v>3178</v>
      </c>
      <c r="D126" s="2207" t="s">
        <v>3049</v>
      </c>
      <c r="E126" s="35">
        <f t="shared" si="61"/>
        <v>14.46</v>
      </c>
      <c r="F126" s="36"/>
      <c r="G126" s="37">
        <f t="shared" si="36"/>
        <v>81.459999999999994</v>
      </c>
      <c r="H126" s="38">
        <f t="shared" si="37"/>
        <v>81.459999999999994</v>
      </c>
      <c r="I126" s="39">
        <v>81.459999999999994</v>
      </c>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t="str">
        <f t="shared" si="64"/>
        <v>2-35</v>
      </c>
      <c r="AY126" s="42">
        <f t="shared" si="39"/>
        <v>14.46</v>
      </c>
      <c r="AZ126" s="35">
        <f t="shared" si="40"/>
        <v>81.459999999999994</v>
      </c>
      <c r="BA126" s="35">
        <f t="shared" si="41"/>
        <v>81.459999999999994</v>
      </c>
      <c r="BB126" s="35">
        <f t="shared" si="42"/>
        <v>81.459999999999994</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t="s">
        <v>3179</v>
      </c>
      <c r="D127" s="2207" t="s">
        <v>3049</v>
      </c>
      <c r="E127" s="35">
        <f t="shared" si="61"/>
        <v>14.49</v>
      </c>
      <c r="F127" s="36"/>
      <c r="G127" s="37">
        <f t="shared" si="36"/>
        <v>81.59</v>
      </c>
      <c r="H127" s="38">
        <f t="shared" si="37"/>
        <v>81.59</v>
      </c>
      <c r="I127" s="39">
        <v>81.59</v>
      </c>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t="str">
        <f t="shared" si="64"/>
        <v>2-36</v>
      </c>
      <c r="AY127" s="42">
        <f t="shared" si="39"/>
        <v>14.49</v>
      </c>
      <c r="AZ127" s="35">
        <f t="shared" si="40"/>
        <v>81.59</v>
      </c>
      <c r="BA127" s="35">
        <f t="shared" si="41"/>
        <v>81.59</v>
      </c>
      <c r="BB127" s="35">
        <f t="shared" si="42"/>
        <v>81.59</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t="s">
        <v>3180</v>
      </c>
      <c r="D128" s="2207" t="s">
        <v>3049</v>
      </c>
      <c r="E128" s="35">
        <f t="shared" si="61"/>
        <v>11.58</v>
      </c>
      <c r="F128" s="36"/>
      <c r="G128" s="37">
        <f t="shared" si="36"/>
        <v>65.23</v>
      </c>
      <c r="H128" s="38">
        <f t="shared" si="37"/>
        <v>65.23</v>
      </c>
      <c r="I128" s="39">
        <v>65.23</v>
      </c>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t="str">
        <f t="shared" si="64"/>
        <v>2-37</v>
      </c>
      <c r="AY128" s="42">
        <f t="shared" si="39"/>
        <v>11.58</v>
      </c>
      <c r="AZ128" s="35">
        <f t="shared" si="40"/>
        <v>65.23</v>
      </c>
      <c r="BA128" s="35">
        <f t="shared" si="41"/>
        <v>65.23</v>
      </c>
      <c r="BB128" s="35">
        <f t="shared" si="42"/>
        <v>65.23</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t="s">
        <v>3181</v>
      </c>
      <c r="D129" s="2207" t="s">
        <v>3049</v>
      </c>
      <c r="E129" s="35">
        <f t="shared" si="61"/>
        <v>7.68</v>
      </c>
      <c r="F129" s="36"/>
      <c r="G129" s="37">
        <f t="shared" si="36"/>
        <v>43.26</v>
      </c>
      <c r="H129" s="38">
        <f t="shared" si="37"/>
        <v>43.26</v>
      </c>
      <c r="I129" s="39">
        <v>43.26</v>
      </c>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t="str">
        <f t="shared" si="64"/>
        <v>2-38</v>
      </c>
      <c r="AY129" s="42">
        <f t="shared" si="39"/>
        <v>7.68</v>
      </c>
      <c r="AZ129" s="35">
        <f t="shared" si="40"/>
        <v>43.26</v>
      </c>
      <c r="BA129" s="35">
        <f t="shared" si="41"/>
        <v>43.26</v>
      </c>
      <c r="BB129" s="35">
        <f t="shared" si="42"/>
        <v>43.26</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t="s">
        <v>3182</v>
      </c>
      <c r="D130" s="2207" t="s">
        <v>3049</v>
      </c>
      <c r="E130" s="35">
        <f t="shared" si="61"/>
        <v>7.51</v>
      </c>
      <c r="F130" s="36"/>
      <c r="G130" s="37">
        <f t="shared" si="36"/>
        <v>42.29</v>
      </c>
      <c r="H130" s="38">
        <f t="shared" si="37"/>
        <v>42.29</v>
      </c>
      <c r="I130" s="39">
        <v>42.29</v>
      </c>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t="str">
        <f t="shared" si="64"/>
        <v>2-39</v>
      </c>
      <c r="AY130" s="42">
        <f t="shared" si="39"/>
        <v>7.51</v>
      </c>
      <c r="AZ130" s="35">
        <f t="shared" si="40"/>
        <v>42.29</v>
      </c>
      <c r="BA130" s="35">
        <f t="shared" si="41"/>
        <v>42.29</v>
      </c>
      <c r="BB130" s="35">
        <f t="shared" si="42"/>
        <v>42.29</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t="s">
        <v>3183</v>
      </c>
      <c r="D131" s="2207" t="s">
        <v>3049</v>
      </c>
      <c r="E131" s="35">
        <f t="shared" si="61"/>
        <v>5.44</v>
      </c>
      <c r="F131" s="36"/>
      <c r="G131" s="37">
        <f t="shared" si="36"/>
        <v>30.64</v>
      </c>
      <c r="H131" s="38">
        <f t="shared" si="37"/>
        <v>30.64</v>
      </c>
      <c r="I131" s="39">
        <v>30.64</v>
      </c>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t="str">
        <f t="shared" si="64"/>
        <v>2-40</v>
      </c>
      <c r="AY131" s="42">
        <f t="shared" si="39"/>
        <v>5.44</v>
      </c>
      <c r="AZ131" s="35">
        <f t="shared" si="40"/>
        <v>30.64</v>
      </c>
      <c r="BA131" s="35">
        <f t="shared" si="41"/>
        <v>30.64</v>
      </c>
      <c r="BB131" s="35">
        <f t="shared" si="42"/>
        <v>30.64</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t="s">
        <v>3184</v>
      </c>
      <c r="D132" s="2207" t="s">
        <v>3049</v>
      </c>
      <c r="E132" s="35">
        <f t="shared" si="61"/>
        <v>23.01</v>
      </c>
      <c r="F132" s="36"/>
      <c r="G132" s="37">
        <f t="shared" si="36"/>
        <v>129.61000000000001</v>
      </c>
      <c r="H132" s="38">
        <f t="shared" si="37"/>
        <v>129.61000000000001</v>
      </c>
      <c r="I132" s="39">
        <v>129.61000000000001</v>
      </c>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t="str">
        <f t="shared" si="64"/>
        <v>2-41</v>
      </c>
      <c r="AY132" s="42">
        <f t="shared" si="39"/>
        <v>23.01</v>
      </c>
      <c r="AZ132" s="35">
        <f t="shared" si="40"/>
        <v>129.61000000000001</v>
      </c>
      <c r="BA132" s="35">
        <f t="shared" si="41"/>
        <v>129.61000000000001</v>
      </c>
      <c r="BB132" s="35">
        <f t="shared" si="42"/>
        <v>129.61000000000001</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t="s">
        <v>3185</v>
      </c>
      <c r="D133" s="2207" t="s">
        <v>3049</v>
      </c>
      <c r="E133" s="35">
        <f t="shared" si="61"/>
        <v>15.02</v>
      </c>
      <c r="F133" s="36"/>
      <c r="G133" s="37">
        <f t="shared" si="36"/>
        <v>84.58</v>
      </c>
      <c r="H133" s="38">
        <f t="shared" si="37"/>
        <v>84.58</v>
      </c>
      <c r="I133" s="39">
        <v>84.58</v>
      </c>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t="str">
        <f t="shared" si="64"/>
        <v>2-42</v>
      </c>
      <c r="AY133" s="42">
        <f t="shared" si="39"/>
        <v>15.02</v>
      </c>
      <c r="AZ133" s="35">
        <f t="shared" si="40"/>
        <v>84.58</v>
      </c>
      <c r="BA133" s="35">
        <f t="shared" si="41"/>
        <v>84.58</v>
      </c>
      <c r="BB133" s="35">
        <f t="shared" si="42"/>
        <v>84.58</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t="s">
        <v>3186</v>
      </c>
      <c r="D134" s="2207" t="s">
        <v>3049</v>
      </c>
      <c r="E134" s="35">
        <f t="shared" si="61"/>
        <v>16.18</v>
      </c>
      <c r="F134" s="36"/>
      <c r="G134" s="37">
        <f t="shared" si="36"/>
        <v>91.13</v>
      </c>
      <c r="H134" s="38">
        <f t="shared" si="37"/>
        <v>91.13</v>
      </c>
      <c r="I134" s="39">
        <v>91.13</v>
      </c>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t="str">
        <f t="shared" si="64"/>
        <v>2-43</v>
      </c>
      <c r="AY134" s="42">
        <f t="shared" si="39"/>
        <v>16.18</v>
      </c>
      <c r="AZ134" s="35">
        <f t="shared" si="40"/>
        <v>91.13</v>
      </c>
      <c r="BA134" s="35">
        <f t="shared" si="41"/>
        <v>91.13</v>
      </c>
      <c r="BB134" s="35">
        <f t="shared" si="42"/>
        <v>91.13</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t="s">
        <v>3187</v>
      </c>
      <c r="D135" s="2207" t="s">
        <v>3049</v>
      </c>
      <c r="E135" s="35">
        <f t="shared" si="61"/>
        <v>15.32</v>
      </c>
      <c r="F135" s="36"/>
      <c r="G135" s="37">
        <f t="shared" si="36"/>
        <v>86.27</v>
      </c>
      <c r="H135" s="38">
        <f t="shared" si="37"/>
        <v>86.27</v>
      </c>
      <c r="I135" s="39">
        <v>86.27</v>
      </c>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t="str">
        <f t="shared" si="64"/>
        <v>2-44</v>
      </c>
      <c r="AY135" s="42">
        <f t="shared" si="39"/>
        <v>15.32</v>
      </c>
      <c r="AZ135" s="35">
        <f t="shared" si="40"/>
        <v>86.27</v>
      </c>
      <c r="BA135" s="35">
        <f t="shared" si="41"/>
        <v>86.27</v>
      </c>
      <c r="BB135" s="35">
        <f t="shared" si="42"/>
        <v>86.27</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t="s">
        <v>3188</v>
      </c>
      <c r="D136" s="2207" t="s">
        <v>3049</v>
      </c>
      <c r="E136" s="35">
        <f t="shared" si="61"/>
        <v>14.48</v>
      </c>
      <c r="F136" s="36"/>
      <c r="G136" s="37">
        <f t="shared" si="36"/>
        <v>81.569999999999993</v>
      </c>
      <c r="H136" s="38">
        <f t="shared" si="37"/>
        <v>81.569999999999993</v>
      </c>
      <c r="I136" s="39">
        <v>81.569999999999993</v>
      </c>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t="str">
        <f t="shared" si="64"/>
        <v>2-45</v>
      </c>
      <c r="AY136" s="42">
        <f t="shared" si="39"/>
        <v>14.48</v>
      </c>
      <c r="AZ136" s="35">
        <f t="shared" si="40"/>
        <v>81.569999999999993</v>
      </c>
      <c r="BA136" s="35">
        <f t="shared" si="41"/>
        <v>81.569999999999993</v>
      </c>
      <c r="BB136" s="35">
        <f t="shared" si="42"/>
        <v>81.569999999999993</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t="s">
        <v>3189</v>
      </c>
      <c r="D137" s="2207" t="s">
        <v>3049</v>
      </c>
      <c r="E137" s="35">
        <f t="shared" si="61"/>
        <v>16.37</v>
      </c>
      <c r="F137" s="36"/>
      <c r="G137" s="37">
        <f t="shared" si="36"/>
        <v>92.23</v>
      </c>
      <c r="H137" s="38">
        <f t="shared" si="37"/>
        <v>92.23</v>
      </c>
      <c r="I137" s="39">
        <v>92.23</v>
      </c>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t="str">
        <f t="shared" si="64"/>
        <v>2-46</v>
      </c>
      <c r="AY137" s="42">
        <f t="shared" si="39"/>
        <v>16.37</v>
      </c>
      <c r="AZ137" s="35">
        <f t="shared" si="40"/>
        <v>92.23</v>
      </c>
      <c r="BA137" s="35">
        <f t="shared" si="41"/>
        <v>92.23</v>
      </c>
      <c r="BB137" s="35">
        <f t="shared" si="42"/>
        <v>92.23</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t="s">
        <v>3190</v>
      </c>
      <c r="D138" s="2207" t="s">
        <v>3049</v>
      </c>
      <c r="E138" s="35">
        <f t="shared" si="61"/>
        <v>17.059999999999999</v>
      </c>
      <c r="F138" s="36"/>
      <c r="G138" s="37">
        <f t="shared" si="36"/>
        <v>96.1</v>
      </c>
      <c r="H138" s="38">
        <f t="shared" si="37"/>
        <v>96.1</v>
      </c>
      <c r="I138" s="39">
        <v>96.1</v>
      </c>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t="str">
        <f t="shared" si="64"/>
        <v>2-47</v>
      </c>
      <c r="AY138" s="42">
        <f t="shared" si="39"/>
        <v>17.059999999999999</v>
      </c>
      <c r="AZ138" s="35">
        <f t="shared" si="40"/>
        <v>96.1</v>
      </c>
      <c r="BA138" s="35">
        <f t="shared" si="41"/>
        <v>96.1</v>
      </c>
      <c r="BB138" s="35">
        <f t="shared" si="42"/>
        <v>96.1</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t="s">
        <v>3191</v>
      </c>
      <c r="D139" s="2207" t="s">
        <v>3049</v>
      </c>
      <c r="E139" s="35">
        <f t="shared" si="61"/>
        <v>16.2</v>
      </c>
      <c r="F139" s="36"/>
      <c r="G139" s="37">
        <f t="shared" si="36"/>
        <v>91.23</v>
      </c>
      <c r="H139" s="38">
        <f t="shared" si="37"/>
        <v>91.23</v>
      </c>
      <c r="I139" s="39">
        <v>91.23</v>
      </c>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t="str">
        <f t="shared" si="64"/>
        <v>2-48</v>
      </c>
      <c r="AY139" s="42">
        <f t="shared" si="39"/>
        <v>16.2</v>
      </c>
      <c r="AZ139" s="35">
        <f t="shared" si="40"/>
        <v>91.23</v>
      </c>
      <c r="BA139" s="35">
        <f t="shared" si="41"/>
        <v>91.23</v>
      </c>
      <c r="BB139" s="35">
        <f t="shared" si="42"/>
        <v>91.23</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t="s">
        <v>3192</v>
      </c>
      <c r="D140" s="2207" t="s">
        <v>3049</v>
      </c>
      <c r="E140" s="35">
        <f t="shared" si="61"/>
        <v>19.5</v>
      </c>
      <c r="F140" s="36"/>
      <c r="G140" s="37">
        <f t="shared" si="36"/>
        <v>109.86</v>
      </c>
      <c r="H140" s="38">
        <f t="shared" si="37"/>
        <v>109.86</v>
      </c>
      <c r="I140" s="39">
        <v>109.86</v>
      </c>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t="str">
        <f t="shared" si="64"/>
        <v>2-49</v>
      </c>
      <c r="AY140" s="42">
        <f t="shared" si="39"/>
        <v>19.5</v>
      </c>
      <c r="AZ140" s="35">
        <f t="shared" si="40"/>
        <v>109.86</v>
      </c>
      <c r="BA140" s="35">
        <f t="shared" si="41"/>
        <v>109.86</v>
      </c>
      <c r="BB140" s="35">
        <f t="shared" si="42"/>
        <v>109.86</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t="s">
        <v>3193</v>
      </c>
      <c r="D141" s="2207" t="s">
        <v>3049</v>
      </c>
      <c r="E141" s="35">
        <f t="shared" si="61"/>
        <v>17.59</v>
      </c>
      <c r="F141" s="36"/>
      <c r="G141" s="37">
        <f t="shared" si="36"/>
        <v>99.1</v>
      </c>
      <c r="H141" s="38">
        <f t="shared" si="37"/>
        <v>99.1</v>
      </c>
      <c r="I141" s="39">
        <v>99.1</v>
      </c>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t="str">
        <f t="shared" si="64"/>
        <v>2-50</v>
      </c>
      <c r="AY141" s="42">
        <f t="shared" si="39"/>
        <v>17.59</v>
      </c>
      <c r="AZ141" s="35">
        <f t="shared" si="40"/>
        <v>99.1</v>
      </c>
      <c r="BA141" s="35">
        <f t="shared" si="41"/>
        <v>99.1</v>
      </c>
      <c r="BB141" s="35">
        <f t="shared" si="42"/>
        <v>99.1</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t="s">
        <v>3194</v>
      </c>
      <c r="D142" s="2207" t="s">
        <v>3049</v>
      </c>
      <c r="E142" s="35">
        <f t="shared" si="61"/>
        <v>14.35</v>
      </c>
      <c r="F142" s="36"/>
      <c r="G142" s="37">
        <f t="shared" ref="G142:G173" si="65">H142+AC142+AT142</f>
        <v>80.81</v>
      </c>
      <c r="H142" s="38">
        <f t="shared" ref="H142:H173" si="66">SUMIF(I$12:AB$12,"总值",I142:AB142)</f>
        <v>80.81</v>
      </c>
      <c r="I142" s="39">
        <v>80.81</v>
      </c>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t="str">
        <f t="shared" si="64"/>
        <v>2-51</v>
      </c>
      <c r="AY142" s="42">
        <f t="shared" ref="AY142:AY173" si="68">ROUND($AY$6*AZ142/$AZ$5,2)</f>
        <v>14.35</v>
      </c>
      <c r="AZ142" s="35">
        <f t="shared" ref="AZ142:AZ173" si="69">BA142+BL142</f>
        <v>80.81</v>
      </c>
      <c r="BA142" s="35">
        <f t="shared" ref="BA142:BA173" si="70">SUM(BB142:BK142)</f>
        <v>80.81</v>
      </c>
      <c r="BB142" s="35">
        <f t="shared" ref="BB142:BB173" si="71">IF($D142="是",I142-J142,0)</f>
        <v>80.81</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t="s">
        <v>3195</v>
      </c>
      <c r="D143" s="2207" t="s">
        <v>3049</v>
      </c>
      <c r="E143" s="35">
        <f t="shared" si="61"/>
        <v>15.77</v>
      </c>
      <c r="F143" s="36"/>
      <c r="G143" s="37">
        <f t="shared" si="65"/>
        <v>88.82</v>
      </c>
      <c r="H143" s="38">
        <f t="shared" si="66"/>
        <v>88.82</v>
      </c>
      <c r="I143" s="39">
        <v>88.82</v>
      </c>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t="str">
        <f t="shared" si="64"/>
        <v>2-52</v>
      </c>
      <c r="AY143" s="42">
        <f t="shared" si="68"/>
        <v>15.77</v>
      </c>
      <c r="AZ143" s="35">
        <f t="shared" si="69"/>
        <v>88.82</v>
      </c>
      <c r="BA143" s="35">
        <f t="shared" si="70"/>
        <v>88.82</v>
      </c>
      <c r="BB143" s="35">
        <f t="shared" si="71"/>
        <v>88.82</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t="s">
        <v>3196</v>
      </c>
      <c r="D144" s="2207" t="s">
        <v>3049</v>
      </c>
      <c r="E144" s="35">
        <f t="shared" si="61"/>
        <v>12.39</v>
      </c>
      <c r="F144" s="36"/>
      <c r="G144" s="37">
        <f t="shared" si="65"/>
        <v>69.78</v>
      </c>
      <c r="H144" s="38">
        <f t="shared" si="66"/>
        <v>69.78</v>
      </c>
      <c r="I144" s="39">
        <v>69.78</v>
      </c>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t="str">
        <f t="shared" si="64"/>
        <v>2-55</v>
      </c>
      <c r="AY144" s="42">
        <f t="shared" si="68"/>
        <v>12.39</v>
      </c>
      <c r="AZ144" s="35">
        <f t="shared" si="69"/>
        <v>69.78</v>
      </c>
      <c r="BA144" s="35">
        <f t="shared" si="70"/>
        <v>69.78</v>
      </c>
      <c r="BB144" s="35">
        <f t="shared" si="71"/>
        <v>69.78</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t="s">
        <v>3197</v>
      </c>
      <c r="D145" s="2207" t="s">
        <v>3049</v>
      </c>
      <c r="E145" s="35">
        <f t="shared" ref="E145:E176" si="90">IF($C$3="是",ROUND($A$3*G145/$B$3,2),ROUND($A$3*(G145-AT145)/$B$3,2))</f>
        <v>9.68</v>
      </c>
      <c r="F145" s="36"/>
      <c r="G145" s="37">
        <f t="shared" si="65"/>
        <v>54.52</v>
      </c>
      <c r="H145" s="38">
        <f t="shared" si="66"/>
        <v>54.52</v>
      </c>
      <c r="I145" s="39">
        <v>54.52</v>
      </c>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t="str">
        <f t="shared" ref="AX145:AX176" si="93">C145</f>
        <v>2-57</v>
      </c>
      <c r="AY145" s="42">
        <f t="shared" si="68"/>
        <v>9.68</v>
      </c>
      <c r="AZ145" s="35">
        <f t="shared" si="69"/>
        <v>54.52</v>
      </c>
      <c r="BA145" s="35">
        <f t="shared" si="70"/>
        <v>54.52</v>
      </c>
      <c r="BB145" s="35">
        <f t="shared" si="71"/>
        <v>54.52</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t="s">
        <v>3198</v>
      </c>
      <c r="D146" s="2207" t="s">
        <v>3049</v>
      </c>
      <c r="E146" s="35">
        <f t="shared" si="90"/>
        <v>9.8000000000000007</v>
      </c>
      <c r="F146" s="36"/>
      <c r="G146" s="37">
        <f t="shared" si="65"/>
        <v>55.21</v>
      </c>
      <c r="H146" s="38">
        <f t="shared" si="66"/>
        <v>55.21</v>
      </c>
      <c r="I146" s="39">
        <v>55.21</v>
      </c>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t="str">
        <f t="shared" si="93"/>
        <v>2-58</v>
      </c>
      <c r="AY146" s="42">
        <f t="shared" si="68"/>
        <v>9.8000000000000007</v>
      </c>
      <c r="AZ146" s="35">
        <f t="shared" si="69"/>
        <v>55.21</v>
      </c>
      <c r="BA146" s="35">
        <f t="shared" si="70"/>
        <v>55.21</v>
      </c>
      <c r="BB146" s="35">
        <f t="shared" si="71"/>
        <v>55.21</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t="s">
        <v>3199</v>
      </c>
      <c r="D147" s="2207" t="s">
        <v>3049</v>
      </c>
      <c r="E147" s="35">
        <f t="shared" si="90"/>
        <v>9.82</v>
      </c>
      <c r="F147" s="36"/>
      <c r="G147" s="37">
        <f t="shared" si="65"/>
        <v>55.33</v>
      </c>
      <c r="H147" s="38">
        <f t="shared" si="66"/>
        <v>55.33</v>
      </c>
      <c r="I147" s="39">
        <v>55.33</v>
      </c>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t="str">
        <f t="shared" si="93"/>
        <v>2-59</v>
      </c>
      <c r="AY147" s="42">
        <f t="shared" si="68"/>
        <v>9.82</v>
      </c>
      <c r="AZ147" s="35">
        <f t="shared" si="69"/>
        <v>55.33</v>
      </c>
      <c r="BA147" s="35">
        <f t="shared" si="70"/>
        <v>55.33</v>
      </c>
      <c r="BB147" s="35">
        <f t="shared" si="71"/>
        <v>55.33</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t="s">
        <v>3200</v>
      </c>
      <c r="D148" s="2207" t="s">
        <v>3049</v>
      </c>
      <c r="E148" s="35">
        <f t="shared" si="90"/>
        <v>9.82</v>
      </c>
      <c r="F148" s="36"/>
      <c r="G148" s="37">
        <f t="shared" si="65"/>
        <v>55.33</v>
      </c>
      <c r="H148" s="38">
        <f t="shared" si="66"/>
        <v>55.33</v>
      </c>
      <c r="I148" s="39">
        <v>55.33</v>
      </c>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t="str">
        <f t="shared" si="93"/>
        <v>2-60</v>
      </c>
      <c r="AY148" s="42">
        <f t="shared" si="68"/>
        <v>9.82</v>
      </c>
      <c r="AZ148" s="35">
        <f t="shared" si="69"/>
        <v>55.33</v>
      </c>
      <c r="BA148" s="35">
        <f t="shared" si="70"/>
        <v>55.33</v>
      </c>
      <c r="BB148" s="35">
        <f t="shared" si="71"/>
        <v>55.33</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t="s">
        <v>3201</v>
      </c>
      <c r="D149" s="2207" t="s">
        <v>3049</v>
      </c>
      <c r="E149" s="35">
        <f t="shared" si="90"/>
        <v>9.82</v>
      </c>
      <c r="F149" s="36"/>
      <c r="G149" s="37">
        <f t="shared" si="65"/>
        <v>55.33</v>
      </c>
      <c r="H149" s="38">
        <f t="shared" si="66"/>
        <v>55.33</v>
      </c>
      <c r="I149" s="39">
        <v>55.33</v>
      </c>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t="str">
        <f t="shared" si="93"/>
        <v>2-62</v>
      </c>
      <c r="AY149" s="42">
        <f t="shared" si="68"/>
        <v>9.82</v>
      </c>
      <c r="AZ149" s="35">
        <f t="shared" si="69"/>
        <v>55.33</v>
      </c>
      <c r="BA149" s="35">
        <f t="shared" si="70"/>
        <v>55.33</v>
      </c>
      <c r="BB149" s="35">
        <f t="shared" si="71"/>
        <v>55.33</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t="s">
        <v>3202</v>
      </c>
      <c r="D150" s="2207" t="s">
        <v>3049</v>
      </c>
      <c r="E150" s="35">
        <f t="shared" si="90"/>
        <v>16.84</v>
      </c>
      <c r="F150" s="36"/>
      <c r="G150" s="37">
        <f t="shared" si="65"/>
        <v>94.85</v>
      </c>
      <c r="H150" s="38">
        <f t="shared" si="66"/>
        <v>94.85</v>
      </c>
      <c r="I150" s="39">
        <v>94.85</v>
      </c>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t="str">
        <f t="shared" si="93"/>
        <v>2-63</v>
      </c>
      <c r="AY150" s="42">
        <f t="shared" si="68"/>
        <v>16.84</v>
      </c>
      <c r="AZ150" s="35">
        <f t="shared" si="69"/>
        <v>94.85</v>
      </c>
      <c r="BA150" s="35">
        <f t="shared" si="70"/>
        <v>94.85</v>
      </c>
      <c r="BB150" s="35">
        <f t="shared" si="71"/>
        <v>94.85</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t="s">
        <v>3203</v>
      </c>
      <c r="D151" s="2207" t="s">
        <v>3049</v>
      </c>
      <c r="E151" s="35">
        <f t="shared" si="90"/>
        <v>12.16</v>
      </c>
      <c r="F151" s="36"/>
      <c r="G151" s="37">
        <f t="shared" si="65"/>
        <v>68.47</v>
      </c>
      <c r="H151" s="38">
        <f t="shared" si="66"/>
        <v>68.47</v>
      </c>
      <c r="I151" s="39">
        <v>68.47</v>
      </c>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t="str">
        <f t="shared" si="93"/>
        <v>2-64</v>
      </c>
      <c r="AY151" s="42">
        <f t="shared" si="68"/>
        <v>12.16</v>
      </c>
      <c r="AZ151" s="35">
        <f t="shared" si="69"/>
        <v>68.47</v>
      </c>
      <c r="BA151" s="35">
        <f t="shared" si="70"/>
        <v>68.47</v>
      </c>
      <c r="BB151" s="35">
        <f t="shared" si="71"/>
        <v>68.47</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t="s">
        <v>3204</v>
      </c>
      <c r="D152" s="2207" t="s">
        <v>3049</v>
      </c>
      <c r="E152" s="35">
        <f t="shared" si="90"/>
        <v>12.12</v>
      </c>
      <c r="F152" s="36"/>
      <c r="G152" s="37">
        <f t="shared" si="65"/>
        <v>68.27</v>
      </c>
      <c r="H152" s="38">
        <f t="shared" si="66"/>
        <v>68.27</v>
      </c>
      <c r="I152" s="39">
        <v>68.27</v>
      </c>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t="str">
        <f t="shared" si="93"/>
        <v>2-65</v>
      </c>
      <c r="AY152" s="42">
        <f t="shared" si="68"/>
        <v>12.12</v>
      </c>
      <c r="AZ152" s="35">
        <f t="shared" si="69"/>
        <v>68.27</v>
      </c>
      <c r="BA152" s="35">
        <f t="shared" si="70"/>
        <v>68.27</v>
      </c>
      <c r="BB152" s="35">
        <f t="shared" si="71"/>
        <v>68.27</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t="s">
        <v>3205</v>
      </c>
      <c r="D153" s="2207" t="s">
        <v>3049</v>
      </c>
      <c r="E153" s="35">
        <f t="shared" si="90"/>
        <v>12.14</v>
      </c>
      <c r="F153" s="36"/>
      <c r="G153" s="37">
        <f t="shared" si="65"/>
        <v>68.400000000000006</v>
      </c>
      <c r="H153" s="38">
        <f t="shared" si="66"/>
        <v>68.400000000000006</v>
      </c>
      <c r="I153" s="39">
        <v>68.400000000000006</v>
      </c>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t="str">
        <f t="shared" si="93"/>
        <v>2-66</v>
      </c>
      <c r="AY153" s="42">
        <f t="shared" si="68"/>
        <v>12.14</v>
      </c>
      <c r="AZ153" s="35">
        <f t="shared" si="69"/>
        <v>68.400000000000006</v>
      </c>
      <c r="BA153" s="35">
        <f t="shared" si="70"/>
        <v>68.400000000000006</v>
      </c>
      <c r="BB153" s="35">
        <f t="shared" si="71"/>
        <v>68.400000000000006</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t="s">
        <v>3206</v>
      </c>
      <c r="D154" s="2207" t="s">
        <v>3049</v>
      </c>
      <c r="E154" s="35">
        <f t="shared" si="90"/>
        <v>12.12</v>
      </c>
      <c r="F154" s="36"/>
      <c r="G154" s="37">
        <f t="shared" si="65"/>
        <v>68.27</v>
      </c>
      <c r="H154" s="38">
        <f t="shared" si="66"/>
        <v>68.27</v>
      </c>
      <c r="I154" s="39">
        <v>68.27</v>
      </c>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t="str">
        <f t="shared" si="93"/>
        <v>2-67</v>
      </c>
      <c r="AY154" s="42">
        <f t="shared" si="68"/>
        <v>12.12</v>
      </c>
      <c r="AZ154" s="35">
        <f t="shared" si="69"/>
        <v>68.27</v>
      </c>
      <c r="BA154" s="35">
        <f t="shared" si="70"/>
        <v>68.27</v>
      </c>
      <c r="BB154" s="35">
        <f t="shared" si="71"/>
        <v>68.27</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t="s">
        <v>3207</v>
      </c>
      <c r="D155" s="2207" t="s">
        <v>3049</v>
      </c>
      <c r="E155" s="35">
        <f t="shared" si="90"/>
        <v>9.11</v>
      </c>
      <c r="F155" s="36"/>
      <c r="G155" s="37">
        <f t="shared" si="65"/>
        <v>51.3</v>
      </c>
      <c r="H155" s="38">
        <f t="shared" si="66"/>
        <v>51.3</v>
      </c>
      <c r="I155" s="39">
        <v>51.3</v>
      </c>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t="str">
        <f t="shared" si="93"/>
        <v>2-68</v>
      </c>
      <c r="AY155" s="42">
        <f t="shared" si="68"/>
        <v>9.11</v>
      </c>
      <c r="AZ155" s="35">
        <f t="shared" si="69"/>
        <v>51.3</v>
      </c>
      <c r="BA155" s="35">
        <f t="shared" si="70"/>
        <v>51.3</v>
      </c>
      <c r="BB155" s="35">
        <f t="shared" si="71"/>
        <v>51.3</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t="s">
        <v>3208</v>
      </c>
      <c r="D156" s="2207" t="s">
        <v>3049</v>
      </c>
      <c r="E156" s="35">
        <f t="shared" si="90"/>
        <v>14.03</v>
      </c>
      <c r="F156" s="36"/>
      <c r="G156" s="37">
        <f t="shared" si="65"/>
        <v>79.05</v>
      </c>
      <c r="H156" s="38">
        <f t="shared" si="66"/>
        <v>79.05</v>
      </c>
      <c r="I156" s="39">
        <v>79.05</v>
      </c>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t="str">
        <f t="shared" si="93"/>
        <v>2-72</v>
      </c>
      <c r="AY156" s="42">
        <f t="shared" si="68"/>
        <v>14.03</v>
      </c>
      <c r="AZ156" s="35">
        <f t="shared" si="69"/>
        <v>79.05</v>
      </c>
      <c r="BA156" s="35">
        <f t="shared" si="70"/>
        <v>79.05</v>
      </c>
      <c r="BB156" s="35">
        <f t="shared" si="71"/>
        <v>79.05</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t="s">
        <v>3209</v>
      </c>
      <c r="D157" s="2207" t="s">
        <v>3049</v>
      </c>
      <c r="E157" s="35">
        <f t="shared" si="90"/>
        <v>12.49</v>
      </c>
      <c r="F157" s="36"/>
      <c r="G157" s="37">
        <f t="shared" si="65"/>
        <v>70.34</v>
      </c>
      <c r="H157" s="38">
        <f t="shared" si="66"/>
        <v>70.34</v>
      </c>
      <c r="I157" s="39">
        <v>70.34</v>
      </c>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t="str">
        <f t="shared" si="93"/>
        <v>2-73</v>
      </c>
      <c r="AY157" s="42">
        <f t="shared" si="68"/>
        <v>12.49</v>
      </c>
      <c r="AZ157" s="35">
        <f t="shared" si="69"/>
        <v>70.34</v>
      </c>
      <c r="BA157" s="35">
        <f t="shared" si="70"/>
        <v>70.34</v>
      </c>
      <c r="BB157" s="35">
        <f t="shared" si="71"/>
        <v>70.34</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t="s">
        <v>3210</v>
      </c>
      <c r="D158" s="2207" t="s">
        <v>3049</v>
      </c>
      <c r="E158" s="35">
        <f t="shared" si="90"/>
        <v>10.039999999999999</v>
      </c>
      <c r="F158" s="36"/>
      <c r="G158" s="37">
        <f t="shared" si="65"/>
        <v>56.57</v>
      </c>
      <c r="H158" s="38">
        <f t="shared" si="66"/>
        <v>56.57</v>
      </c>
      <c r="I158" s="39">
        <v>56.57</v>
      </c>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t="str">
        <f t="shared" si="93"/>
        <v>2-75</v>
      </c>
      <c r="AY158" s="42">
        <f t="shared" si="68"/>
        <v>10.039999999999999</v>
      </c>
      <c r="AZ158" s="35">
        <f t="shared" si="69"/>
        <v>56.57</v>
      </c>
      <c r="BA158" s="35">
        <f t="shared" si="70"/>
        <v>56.57</v>
      </c>
      <c r="BB158" s="35">
        <f t="shared" si="71"/>
        <v>56.57</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t="s">
        <v>3211</v>
      </c>
      <c r="D159" s="2207" t="s">
        <v>3049</v>
      </c>
      <c r="E159" s="35">
        <f t="shared" si="90"/>
        <v>14.04</v>
      </c>
      <c r="F159" s="36"/>
      <c r="G159" s="37">
        <f t="shared" si="65"/>
        <v>79.09</v>
      </c>
      <c r="H159" s="38">
        <f t="shared" si="66"/>
        <v>79.09</v>
      </c>
      <c r="I159" s="39">
        <v>79.09</v>
      </c>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t="str">
        <f t="shared" si="93"/>
        <v>2-76</v>
      </c>
      <c r="AY159" s="42">
        <f t="shared" si="68"/>
        <v>14.04</v>
      </c>
      <c r="AZ159" s="35">
        <f t="shared" si="69"/>
        <v>79.09</v>
      </c>
      <c r="BA159" s="35">
        <f t="shared" si="70"/>
        <v>79.09</v>
      </c>
      <c r="BB159" s="35">
        <f t="shared" si="71"/>
        <v>79.09</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t="s">
        <v>3212</v>
      </c>
      <c r="D160" s="2207" t="s">
        <v>3049</v>
      </c>
      <c r="E160" s="35">
        <f t="shared" si="90"/>
        <v>14.05</v>
      </c>
      <c r="F160" s="36"/>
      <c r="G160" s="37">
        <f t="shared" si="65"/>
        <v>79.12</v>
      </c>
      <c r="H160" s="38">
        <f t="shared" si="66"/>
        <v>79.12</v>
      </c>
      <c r="I160" s="39">
        <v>79.12</v>
      </c>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t="str">
        <f t="shared" si="93"/>
        <v>2-77</v>
      </c>
      <c r="AY160" s="42">
        <f t="shared" si="68"/>
        <v>14.05</v>
      </c>
      <c r="AZ160" s="35">
        <f t="shared" si="69"/>
        <v>79.12</v>
      </c>
      <c r="BA160" s="35">
        <f t="shared" si="70"/>
        <v>79.12</v>
      </c>
      <c r="BB160" s="35">
        <f t="shared" si="71"/>
        <v>79.12</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t="s">
        <v>3213</v>
      </c>
      <c r="D161" s="2207" t="s">
        <v>3049</v>
      </c>
      <c r="E161" s="35">
        <f t="shared" si="90"/>
        <v>13.1</v>
      </c>
      <c r="F161" s="36"/>
      <c r="G161" s="37">
        <f t="shared" si="65"/>
        <v>73.77</v>
      </c>
      <c r="H161" s="38">
        <f t="shared" si="66"/>
        <v>73.77</v>
      </c>
      <c r="I161" s="39">
        <v>73.77</v>
      </c>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t="str">
        <f t="shared" si="93"/>
        <v>2-79</v>
      </c>
      <c r="AY161" s="42">
        <f t="shared" si="68"/>
        <v>13.1</v>
      </c>
      <c r="AZ161" s="35">
        <f t="shared" si="69"/>
        <v>73.77</v>
      </c>
      <c r="BA161" s="35">
        <f t="shared" si="70"/>
        <v>73.77</v>
      </c>
      <c r="BB161" s="35">
        <f t="shared" si="71"/>
        <v>73.77</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t="s">
        <v>3214</v>
      </c>
      <c r="D162" s="2207" t="s">
        <v>3049</v>
      </c>
      <c r="E162" s="35">
        <f t="shared" si="90"/>
        <v>13.1</v>
      </c>
      <c r="F162" s="36"/>
      <c r="G162" s="37">
        <f t="shared" si="65"/>
        <v>73.77</v>
      </c>
      <c r="H162" s="38">
        <f t="shared" si="66"/>
        <v>73.77</v>
      </c>
      <c r="I162" s="39">
        <v>73.77</v>
      </c>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t="str">
        <f t="shared" si="93"/>
        <v>2-80</v>
      </c>
      <c r="AY162" s="42">
        <f t="shared" si="68"/>
        <v>13.1</v>
      </c>
      <c r="AZ162" s="35">
        <f t="shared" si="69"/>
        <v>73.77</v>
      </c>
      <c r="BA162" s="35">
        <f t="shared" si="70"/>
        <v>73.77</v>
      </c>
      <c r="BB162" s="35">
        <f t="shared" si="71"/>
        <v>73.77</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t="s">
        <v>3215</v>
      </c>
      <c r="D163" s="2207" t="s">
        <v>3049</v>
      </c>
      <c r="E163" s="35">
        <f t="shared" si="90"/>
        <v>18.84</v>
      </c>
      <c r="F163" s="36"/>
      <c r="G163" s="37">
        <f t="shared" si="65"/>
        <v>106.11</v>
      </c>
      <c r="H163" s="38">
        <f t="shared" si="66"/>
        <v>106.11</v>
      </c>
      <c r="I163" s="39">
        <v>106.11</v>
      </c>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t="str">
        <f t="shared" si="93"/>
        <v>2-81</v>
      </c>
      <c r="AY163" s="42">
        <f t="shared" si="68"/>
        <v>18.84</v>
      </c>
      <c r="AZ163" s="35">
        <f t="shared" si="69"/>
        <v>106.11</v>
      </c>
      <c r="BA163" s="35">
        <f t="shared" si="70"/>
        <v>106.11</v>
      </c>
      <c r="BB163" s="35">
        <f t="shared" si="71"/>
        <v>106.11</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t="s">
        <v>3216</v>
      </c>
      <c r="D164" s="2207" t="s">
        <v>3049</v>
      </c>
      <c r="E164" s="35">
        <f t="shared" si="90"/>
        <v>18.809999999999999</v>
      </c>
      <c r="F164" s="36"/>
      <c r="G164" s="37">
        <f t="shared" si="65"/>
        <v>105.93</v>
      </c>
      <c r="H164" s="38">
        <f t="shared" si="66"/>
        <v>105.93</v>
      </c>
      <c r="I164" s="39">
        <v>105.93</v>
      </c>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t="str">
        <f t="shared" si="93"/>
        <v>2-82</v>
      </c>
      <c r="AY164" s="42">
        <f t="shared" si="68"/>
        <v>18.809999999999999</v>
      </c>
      <c r="AZ164" s="35">
        <f t="shared" si="69"/>
        <v>105.93</v>
      </c>
      <c r="BA164" s="35">
        <f t="shared" si="70"/>
        <v>105.93</v>
      </c>
      <c r="BB164" s="35">
        <f t="shared" si="71"/>
        <v>105.93</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t="s">
        <v>3217</v>
      </c>
      <c r="D165" s="2207" t="s">
        <v>3049</v>
      </c>
      <c r="E165" s="35">
        <f t="shared" si="90"/>
        <v>18.829999999999998</v>
      </c>
      <c r="F165" s="36"/>
      <c r="G165" s="37">
        <f t="shared" si="65"/>
        <v>106.05</v>
      </c>
      <c r="H165" s="38">
        <f t="shared" si="66"/>
        <v>106.05</v>
      </c>
      <c r="I165" s="39">
        <v>106.05</v>
      </c>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t="str">
        <f t="shared" si="93"/>
        <v>2-83</v>
      </c>
      <c r="AY165" s="42">
        <f t="shared" si="68"/>
        <v>18.829999999999998</v>
      </c>
      <c r="AZ165" s="35">
        <f t="shared" si="69"/>
        <v>106.05</v>
      </c>
      <c r="BA165" s="35">
        <f t="shared" si="70"/>
        <v>106.05</v>
      </c>
      <c r="BB165" s="35">
        <f t="shared" si="71"/>
        <v>106.05</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t="s">
        <v>3218</v>
      </c>
      <c r="D166" s="2207" t="s">
        <v>3049</v>
      </c>
      <c r="E166" s="35">
        <f t="shared" si="90"/>
        <v>2.98</v>
      </c>
      <c r="F166" s="36"/>
      <c r="G166" s="37">
        <f t="shared" si="65"/>
        <v>16.760000000000002</v>
      </c>
      <c r="H166" s="38">
        <f t="shared" si="66"/>
        <v>16.760000000000002</v>
      </c>
      <c r="I166" s="39">
        <v>16.760000000000002</v>
      </c>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t="str">
        <f t="shared" si="93"/>
        <v>2-88</v>
      </c>
      <c r="AY166" s="42">
        <f t="shared" si="68"/>
        <v>2.98</v>
      </c>
      <c r="AZ166" s="35">
        <f t="shared" si="69"/>
        <v>16.760000000000002</v>
      </c>
      <c r="BA166" s="35">
        <f t="shared" si="70"/>
        <v>16.760000000000002</v>
      </c>
      <c r="BB166" s="35">
        <f t="shared" si="71"/>
        <v>16.760000000000002</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t="s">
        <v>3219</v>
      </c>
      <c r="D167" s="2207" t="s">
        <v>3049</v>
      </c>
      <c r="E167" s="35">
        <f t="shared" si="90"/>
        <v>11.82</v>
      </c>
      <c r="F167" s="36"/>
      <c r="G167" s="37">
        <f t="shared" si="65"/>
        <v>66.56</v>
      </c>
      <c r="H167" s="38">
        <f t="shared" si="66"/>
        <v>66.56</v>
      </c>
      <c r="I167" s="39">
        <v>66.56</v>
      </c>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t="str">
        <f t="shared" si="93"/>
        <v>2-91</v>
      </c>
      <c r="AY167" s="42">
        <f t="shared" si="68"/>
        <v>11.82</v>
      </c>
      <c r="AZ167" s="35">
        <f t="shared" si="69"/>
        <v>66.56</v>
      </c>
      <c r="BA167" s="35">
        <f t="shared" si="70"/>
        <v>66.56</v>
      </c>
      <c r="BB167" s="35">
        <f t="shared" si="71"/>
        <v>66.56</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t="s">
        <v>3220</v>
      </c>
      <c r="D168" s="2207" t="s">
        <v>3049</v>
      </c>
      <c r="E168" s="35">
        <f t="shared" si="90"/>
        <v>21.83</v>
      </c>
      <c r="F168" s="36"/>
      <c r="G168" s="37">
        <f t="shared" si="65"/>
        <v>122.93</v>
      </c>
      <c r="H168" s="38">
        <f t="shared" si="66"/>
        <v>122.93</v>
      </c>
      <c r="I168" s="39">
        <v>122.93</v>
      </c>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t="str">
        <f t="shared" si="93"/>
        <v>2-92</v>
      </c>
      <c r="AY168" s="42">
        <f t="shared" si="68"/>
        <v>21.83</v>
      </c>
      <c r="AZ168" s="35">
        <f t="shared" si="69"/>
        <v>122.93</v>
      </c>
      <c r="BA168" s="35">
        <f t="shared" si="70"/>
        <v>122.93</v>
      </c>
      <c r="BB168" s="35">
        <f t="shared" si="71"/>
        <v>122.93</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t="s">
        <v>3221</v>
      </c>
      <c r="D169" s="2207" t="s">
        <v>3049</v>
      </c>
      <c r="E169" s="35">
        <f t="shared" si="90"/>
        <v>11.22</v>
      </c>
      <c r="F169" s="36"/>
      <c r="G169" s="37">
        <f t="shared" si="65"/>
        <v>63.17</v>
      </c>
      <c r="H169" s="38">
        <f t="shared" si="66"/>
        <v>63.17</v>
      </c>
      <c r="I169" s="39">
        <v>63.17</v>
      </c>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t="str">
        <f t="shared" si="93"/>
        <v>2-93</v>
      </c>
      <c r="AY169" s="42">
        <f t="shared" si="68"/>
        <v>11.22</v>
      </c>
      <c r="AZ169" s="35">
        <f t="shared" si="69"/>
        <v>63.17</v>
      </c>
      <c r="BA169" s="35">
        <f t="shared" si="70"/>
        <v>63.17</v>
      </c>
      <c r="BB169" s="35">
        <f t="shared" si="71"/>
        <v>63.17</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t="s">
        <v>3222</v>
      </c>
      <c r="D170" s="2207" t="s">
        <v>3049</v>
      </c>
      <c r="E170" s="35">
        <f t="shared" si="90"/>
        <v>11.22</v>
      </c>
      <c r="F170" s="36"/>
      <c r="G170" s="37">
        <f t="shared" si="65"/>
        <v>63.17</v>
      </c>
      <c r="H170" s="38">
        <f t="shared" si="66"/>
        <v>63.17</v>
      </c>
      <c r="I170" s="39">
        <v>63.17</v>
      </c>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t="str">
        <f t="shared" si="93"/>
        <v>2-94</v>
      </c>
      <c r="AY170" s="42">
        <f t="shared" si="68"/>
        <v>11.22</v>
      </c>
      <c r="AZ170" s="35">
        <f t="shared" si="69"/>
        <v>63.17</v>
      </c>
      <c r="BA170" s="35">
        <f t="shared" si="70"/>
        <v>63.17</v>
      </c>
      <c r="BB170" s="35">
        <f t="shared" si="71"/>
        <v>63.17</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t="s">
        <v>3223</v>
      </c>
      <c r="D171" s="2207" t="s">
        <v>3049</v>
      </c>
      <c r="E171" s="35">
        <f t="shared" si="90"/>
        <v>11.22</v>
      </c>
      <c r="F171" s="36"/>
      <c r="G171" s="37">
        <f t="shared" si="65"/>
        <v>63.17</v>
      </c>
      <c r="H171" s="38">
        <f t="shared" si="66"/>
        <v>63.17</v>
      </c>
      <c r="I171" s="39">
        <v>63.17</v>
      </c>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t="str">
        <f t="shared" si="93"/>
        <v>2-95</v>
      </c>
      <c r="AY171" s="42">
        <f t="shared" si="68"/>
        <v>11.22</v>
      </c>
      <c r="AZ171" s="35">
        <f t="shared" si="69"/>
        <v>63.17</v>
      </c>
      <c r="BA171" s="35">
        <f t="shared" si="70"/>
        <v>63.17</v>
      </c>
      <c r="BB171" s="35">
        <f t="shared" si="71"/>
        <v>63.17</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t="s">
        <v>3224</v>
      </c>
      <c r="D172" s="2207" t="s">
        <v>3049</v>
      </c>
      <c r="E172" s="35">
        <f t="shared" si="90"/>
        <v>11.22</v>
      </c>
      <c r="F172" s="36"/>
      <c r="G172" s="37">
        <f t="shared" si="65"/>
        <v>63.17</v>
      </c>
      <c r="H172" s="38">
        <f t="shared" si="66"/>
        <v>63.17</v>
      </c>
      <c r="I172" s="39">
        <v>63.17</v>
      </c>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t="str">
        <f t="shared" si="93"/>
        <v>2-96</v>
      </c>
      <c r="AY172" s="42">
        <f t="shared" si="68"/>
        <v>11.22</v>
      </c>
      <c r="AZ172" s="35">
        <f t="shared" si="69"/>
        <v>63.17</v>
      </c>
      <c r="BA172" s="35">
        <f t="shared" si="70"/>
        <v>63.17</v>
      </c>
      <c r="BB172" s="35">
        <f t="shared" si="71"/>
        <v>63.17</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t="s">
        <v>3225</v>
      </c>
      <c r="D173" s="2207" t="s">
        <v>3049</v>
      </c>
      <c r="E173" s="35">
        <f t="shared" si="90"/>
        <v>11.22</v>
      </c>
      <c r="F173" s="36"/>
      <c r="G173" s="37">
        <f t="shared" si="65"/>
        <v>63.17</v>
      </c>
      <c r="H173" s="38">
        <f t="shared" si="66"/>
        <v>63.17</v>
      </c>
      <c r="I173" s="39">
        <v>63.17</v>
      </c>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t="str">
        <f t="shared" si="93"/>
        <v>2-97</v>
      </c>
      <c r="AY173" s="42">
        <f t="shared" si="68"/>
        <v>11.22</v>
      </c>
      <c r="AZ173" s="35">
        <f t="shared" si="69"/>
        <v>63.17</v>
      </c>
      <c r="BA173" s="35">
        <f t="shared" si="70"/>
        <v>63.17</v>
      </c>
      <c r="BB173" s="35">
        <f t="shared" si="71"/>
        <v>63.17</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t="s">
        <v>3226</v>
      </c>
      <c r="D174" s="2207" t="s">
        <v>3049</v>
      </c>
      <c r="E174" s="35">
        <f t="shared" si="90"/>
        <v>11.22</v>
      </c>
      <c r="F174" s="36"/>
      <c r="G174" s="37">
        <f t="shared" ref="G174:G205" si="94">H174+AC174+AT174</f>
        <v>63.17</v>
      </c>
      <c r="H174" s="38">
        <f t="shared" ref="H174:H205" si="95">SUMIF(I$12:AB$12,"总值",I174:AB174)</f>
        <v>63.17</v>
      </c>
      <c r="I174" s="39">
        <v>63.17</v>
      </c>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t="str">
        <f t="shared" si="93"/>
        <v>2-98</v>
      </c>
      <c r="AY174" s="42">
        <f t="shared" ref="AY174:AY205" si="97">ROUND($AY$6*AZ174/$AZ$5,2)</f>
        <v>11.22</v>
      </c>
      <c r="AZ174" s="35">
        <f t="shared" ref="AZ174:AZ205" si="98">BA174+BL174</f>
        <v>63.17</v>
      </c>
      <c r="BA174" s="35">
        <f t="shared" ref="BA174:BA205" si="99">SUM(BB174:BK174)</f>
        <v>63.17</v>
      </c>
      <c r="BB174" s="35">
        <f t="shared" ref="BB174:BB207" si="100">IF($D174="是",I174-J174,0)</f>
        <v>63.17</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t="s">
        <v>3227</v>
      </c>
      <c r="D175" s="2207" t="s">
        <v>3049</v>
      </c>
      <c r="E175" s="35">
        <f t="shared" si="90"/>
        <v>11.22</v>
      </c>
      <c r="F175" s="36"/>
      <c r="G175" s="37">
        <f t="shared" si="94"/>
        <v>63.17</v>
      </c>
      <c r="H175" s="38">
        <f t="shared" si="95"/>
        <v>63.17</v>
      </c>
      <c r="I175" s="39">
        <v>63.17</v>
      </c>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t="str">
        <f t="shared" si="93"/>
        <v>2-99</v>
      </c>
      <c r="AY175" s="42">
        <f t="shared" si="97"/>
        <v>11.22</v>
      </c>
      <c r="AZ175" s="35">
        <f t="shared" si="98"/>
        <v>63.17</v>
      </c>
      <c r="BA175" s="35">
        <f t="shared" si="99"/>
        <v>63.17</v>
      </c>
      <c r="BB175" s="35">
        <f t="shared" si="100"/>
        <v>63.17</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t="s">
        <v>3228</v>
      </c>
      <c r="D176" s="2207" t="s">
        <v>3049</v>
      </c>
      <c r="E176" s="35">
        <f t="shared" si="90"/>
        <v>10.58</v>
      </c>
      <c r="F176" s="36"/>
      <c r="G176" s="37">
        <f t="shared" si="94"/>
        <v>59.6</v>
      </c>
      <c r="H176" s="38">
        <f t="shared" si="95"/>
        <v>59.6</v>
      </c>
      <c r="I176" s="39">
        <v>59.6</v>
      </c>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t="str">
        <f t="shared" si="93"/>
        <v>2-100</v>
      </c>
      <c r="AY176" s="42">
        <f t="shared" si="97"/>
        <v>10.58</v>
      </c>
      <c r="AZ176" s="35">
        <f t="shared" si="98"/>
        <v>59.6</v>
      </c>
      <c r="BA176" s="35">
        <f t="shared" si="99"/>
        <v>59.6</v>
      </c>
      <c r="BB176" s="35">
        <f t="shared" si="100"/>
        <v>59.6</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t="s">
        <v>3229</v>
      </c>
      <c r="D177" s="2207" t="s">
        <v>3049</v>
      </c>
      <c r="E177" s="35">
        <f t="shared" ref="E177:E207" si="119">IF($C$3="是",ROUND($A$3*G177/$B$3,2),ROUND($A$3*(G177-AT177)/$B$3,2))</f>
        <v>9.69</v>
      </c>
      <c r="F177" s="36"/>
      <c r="G177" s="37">
        <f t="shared" si="94"/>
        <v>54.57</v>
      </c>
      <c r="H177" s="38">
        <f t="shared" si="95"/>
        <v>54.57</v>
      </c>
      <c r="I177" s="39">
        <v>54.57</v>
      </c>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t="str">
        <f t="shared" ref="AX177:AX207" si="122">C177</f>
        <v>2-102</v>
      </c>
      <c r="AY177" s="42">
        <f t="shared" si="97"/>
        <v>9.69</v>
      </c>
      <c r="AZ177" s="35">
        <f t="shared" si="98"/>
        <v>54.57</v>
      </c>
      <c r="BA177" s="35">
        <f t="shared" si="99"/>
        <v>54.57</v>
      </c>
      <c r="BB177" s="35">
        <f t="shared" si="100"/>
        <v>54.57</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t="s">
        <v>3230</v>
      </c>
      <c r="D178" s="2207" t="s">
        <v>3049</v>
      </c>
      <c r="E178" s="35">
        <f t="shared" si="119"/>
        <v>10.4</v>
      </c>
      <c r="F178" s="36"/>
      <c r="G178" s="37">
        <f t="shared" si="94"/>
        <v>58.6</v>
      </c>
      <c r="H178" s="38">
        <f t="shared" si="95"/>
        <v>58.6</v>
      </c>
      <c r="I178" s="39">
        <v>58.6</v>
      </c>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t="str">
        <f t="shared" si="122"/>
        <v>2-104</v>
      </c>
      <c r="AY178" s="42">
        <f t="shared" si="97"/>
        <v>10.4</v>
      </c>
      <c r="AZ178" s="35">
        <f t="shared" si="98"/>
        <v>58.6</v>
      </c>
      <c r="BA178" s="35">
        <f t="shared" si="99"/>
        <v>58.6</v>
      </c>
      <c r="BB178" s="35">
        <f t="shared" si="100"/>
        <v>58.6</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t="s">
        <v>3231</v>
      </c>
      <c r="D179" s="2207" t="s">
        <v>3049</v>
      </c>
      <c r="E179" s="35">
        <f t="shared" si="119"/>
        <v>9</v>
      </c>
      <c r="F179" s="36"/>
      <c r="G179" s="37">
        <f t="shared" si="94"/>
        <v>50.67</v>
      </c>
      <c r="H179" s="38">
        <f t="shared" si="95"/>
        <v>50.67</v>
      </c>
      <c r="I179" s="39">
        <v>50.67</v>
      </c>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t="str">
        <f t="shared" si="122"/>
        <v>2-105</v>
      </c>
      <c r="AY179" s="42">
        <f t="shared" si="97"/>
        <v>9</v>
      </c>
      <c r="AZ179" s="35">
        <f t="shared" si="98"/>
        <v>50.67</v>
      </c>
      <c r="BA179" s="35">
        <f t="shared" si="99"/>
        <v>50.67</v>
      </c>
      <c r="BB179" s="35">
        <f t="shared" si="100"/>
        <v>50.67</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t="s">
        <v>3232</v>
      </c>
      <c r="D180" s="2207" t="s">
        <v>3049</v>
      </c>
      <c r="E180" s="35">
        <f t="shared" si="119"/>
        <v>9.57</v>
      </c>
      <c r="F180" s="36"/>
      <c r="G180" s="37">
        <f t="shared" si="94"/>
        <v>53.91</v>
      </c>
      <c r="H180" s="38">
        <f t="shared" si="95"/>
        <v>53.91</v>
      </c>
      <c r="I180" s="39">
        <v>53.91</v>
      </c>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t="str">
        <f t="shared" si="122"/>
        <v>2-106</v>
      </c>
      <c r="AY180" s="42">
        <f t="shared" si="97"/>
        <v>9.57</v>
      </c>
      <c r="AZ180" s="35">
        <f t="shared" si="98"/>
        <v>53.91</v>
      </c>
      <c r="BA180" s="35">
        <f t="shared" si="99"/>
        <v>53.91</v>
      </c>
      <c r="BB180" s="35">
        <f t="shared" si="100"/>
        <v>53.91</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t="s">
        <v>3233</v>
      </c>
      <c r="D181" s="2207" t="s">
        <v>3049</v>
      </c>
      <c r="E181" s="35">
        <f t="shared" si="119"/>
        <v>9.67</v>
      </c>
      <c r="F181" s="36"/>
      <c r="G181" s="37">
        <f t="shared" si="94"/>
        <v>54.45</v>
      </c>
      <c r="H181" s="38">
        <f t="shared" si="95"/>
        <v>54.45</v>
      </c>
      <c r="I181" s="39">
        <v>54.45</v>
      </c>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t="str">
        <f t="shared" si="122"/>
        <v>2-107</v>
      </c>
      <c r="AY181" s="42">
        <f t="shared" si="97"/>
        <v>9.67</v>
      </c>
      <c r="AZ181" s="35">
        <f t="shared" si="98"/>
        <v>54.45</v>
      </c>
      <c r="BA181" s="35">
        <f t="shared" si="99"/>
        <v>54.45</v>
      </c>
      <c r="BB181" s="35">
        <f t="shared" si="100"/>
        <v>54.45</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t="s">
        <v>3234</v>
      </c>
      <c r="D182" s="2207" t="s">
        <v>3049</v>
      </c>
      <c r="E182" s="35">
        <f t="shared" si="119"/>
        <v>21.22</v>
      </c>
      <c r="F182" s="36"/>
      <c r="G182" s="37">
        <f t="shared" si="94"/>
        <v>119.54</v>
      </c>
      <c r="H182" s="38">
        <f t="shared" si="95"/>
        <v>119.54</v>
      </c>
      <c r="I182" s="39">
        <v>119.54</v>
      </c>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t="str">
        <f t="shared" si="122"/>
        <v>3-1</v>
      </c>
      <c r="AY182" s="42">
        <f t="shared" si="97"/>
        <v>21.22</v>
      </c>
      <c r="AZ182" s="35">
        <f t="shared" si="98"/>
        <v>119.54</v>
      </c>
      <c r="BA182" s="35">
        <f t="shared" si="99"/>
        <v>119.54</v>
      </c>
      <c r="BB182" s="35">
        <f t="shared" si="100"/>
        <v>119.54</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t="s">
        <v>3235</v>
      </c>
      <c r="D183" s="2207" t="s">
        <v>3049</v>
      </c>
      <c r="E183" s="35">
        <f t="shared" si="119"/>
        <v>18.45</v>
      </c>
      <c r="F183" s="36"/>
      <c r="G183" s="37">
        <f t="shared" si="94"/>
        <v>103.92</v>
      </c>
      <c r="H183" s="38">
        <f t="shared" si="95"/>
        <v>103.92</v>
      </c>
      <c r="I183" s="39">
        <v>103.92</v>
      </c>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t="str">
        <f t="shared" si="122"/>
        <v>3-2</v>
      </c>
      <c r="AY183" s="42">
        <f t="shared" si="97"/>
        <v>18.45</v>
      </c>
      <c r="AZ183" s="35">
        <f t="shared" si="98"/>
        <v>103.92</v>
      </c>
      <c r="BA183" s="35">
        <f t="shared" si="99"/>
        <v>103.92</v>
      </c>
      <c r="BB183" s="35">
        <f t="shared" si="100"/>
        <v>103.92</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t="s">
        <v>3236</v>
      </c>
      <c r="D184" s="2207" t="s">
        <v>3049</v>
      </c>
      <c r="E184" s="35">
        <f t="shared" si="119"/>
        <v>17.18</v>
      </c>
      <c r="F184" s="36"/>
      <c r="G184" s="37">
        <f t="shared" si="94"/>
        <v>96.76</v>
      </c>
      <c r="H184" s="38">
        <f t="shared" si="95"/>
        <v>96.76</v>
      </c>
      <c r="I184" s="39">
        <v>96.76</v>
      </c>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t="str">
        <f t="shared" si="122"/>
        <v>3-3</v>
      </c>
      <c r="AY184" s="42">
        <f t="shared" si="97"/>
        <v>17.18</v>
      </c>
      <c r="AZ184" s="35">
        <f t="shared" si="98"/>
        <v>96.76</v>
      </c>
      <c r="BA184" s="35">
        <f t="shared" si="99"/>
        <v>96.76</v>
      </c>
      <c r="BB184" s="35">
        <f t="shared" si="100"/>
        <v>96.76</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t="s">
        <v>3237</v>
      </c>
      <c r="D185" s="2207" t="s">
        <v>3049</v>
      </c>
      <c r="E185" s="35">
        <f t="shared" si="119"/>
        <v>22.94</v>
      </c>
      <c r="F185" s="36"/>
      <c r="G185" s="37">
        <f t="shared" si="94"/>
        <v>129.21</v>
      </c>
      <c r="H185" s="38">
        <f t="shared" si="95"/>
        <v>129.21</v>
      </c>
      <c r="I185" s="39">
        <v>129.21</v>
      </c>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t="str">
        <f t="shared" si="122"/>
        <v>3-4</v>
      </c>
      <c r="AY185" s="42">
        <f t="shared" si="97"/>
        <v>22.94</v>
      </c>
      <c r="AZ185" s="35">
        <f t="shared" si="98"/>
        <v>129.21</v>
      </c>
      <c r="BA185" s="35">
        <f t="shared" si="99"/>
        <v>129.21</v>
      </c>
      <c r="BB185" s="35">
        <f t="shared" si="100"/>
        <v>129.21</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t="s">
        <v>3238</v>
      </c>
      <c r="D186" s="2207" t="s">
        <v>3049</v>
      </c>
      <c r="E186" s="35">
        <f t="shared" si="119"/>
        <v>10.85</v>
      </c>
      <c r="F186" s="36"/>
      <c r="G186" s="37">
        <f t="shared" si="94"/>
        <v>61.12</v>
      </c>
      <c r="H186" s="38">
        <f t="shared" si="95"/>
        <v>61.12</v>
      </c>
      <c r="I186" s="39">
        <v>61.12</v>
      </c>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t="str">
        <f t="shared" si="122"/>
        <v>3-5</v>
      </c>
      <c r="AY186" s="42">
        <f t="shared" si="97"/>
        <v>10.85</v>
      </c>
      <c r="AZ186" s="35">
        <f t="shared" si="98"/>
        <v>61.12</v>
      </c>
      <c r="BA186" s="35">
        <f t="shared" si="99"/>
        <v>61.12</v>
      </c>
      <c r="BB186" s="35">
        <f t="shared" si="100"/>
        <v>61.12</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t="s">
        <v>3239</v>
      </c>
      <c r="D187" s="2207" t="s">
        <v>3049</v>
      </c>
      <c r="E187" s="35">
        <f t="shared" si="119"/>
        <v>9.73</v>
      </c>
      <c r="F187" s="36"/>
      <c r="G187" s="37">
        <f t="shared" si="94"/>
        <v>54.82</v>
      </c>
      <c r="H187" s="38">
        <f t="shared" si="95"/>
        <v>54.82</v>
      </c>
      <c r="I187" s="39">
        <v>54.82</v>
      </c>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t="str">
        <f t="shared" si="122"/>
        <v>3-6</v>
      </c>
      <c r="AY187" s="42">
        <f t="shared" si="97"/>
        <v>9.73</v>
      </c>
      <c r="AZ187" s="35">
        <f t="shared" si="98"/>
        <v>54.82</v>
      </c>
      <c r="BA187" s="35">
        <f t="shared" si="99"/>
        <v>54.82</v>
      </c>
      <c r="BB187" s="35">
        <f t="shared" si="100"/>
        <v>54.82</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t="s">
        <v>3240</v>
      </c>
      <c r="D188" s="2207" t="s">
        <v>3049</v>
      </c>
      <c r="E188" s="35">
        <f t="shared" si="119"/>
        <v>8.61</v>
      </c>
      <c r="F188" s="36"/>
      <c r="G188" s="37">
        <f t="shared" si="94"/>
        <v>48.52</v>
      </c>
      <c r="H188" s="38">
        <f t="shared" si="95"/>
        <v>48.52</v>
      </c>
      <c r="I188" s="39">
        <v>48.52</v>
      </c>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t="str">
        <f t="shared" si="122"/>
        <v>3-7</v>
      </c>
      <c r="AY188" s="42">
        <f t="shared" si="97"/>
        <v>8.61</v>
      </c>
      <c r="AZ188" s="35">
        <f t="shared" si="98"/>
        <v>48.52</v>
      </c>
      <c r="BA188" s="35">
        <f t="shared" si="99"/>
        <v>48.52</v>
      </c>
      <c r="BB188" s="35">
        <f t="shared" si="100"/>
        <v>48.52</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t="s">
        <v>3241</v>
      </c>
      <c r="D189" s="2207" t="s">
        <v>3049</v>
      </c>
      <c r="E189" s="35">
        <f t="shared" si="119"/>
        <v>16.989999999999998</v>
      </c>
      <c r="F189" s="36"/>
      <c r="G189" s="37">
        <f t="shared" si="94"/>
        <v>95.67</v>
      </c>
      <c r="H189" s="38">
        <f t="shared" si="95"/>
        <v>95.67</v>
      </c>
      <c r="I189" s="39">
        <v>95.67</v>
      </c>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t="str">
        <f t="shared" si="122"/>
        <v>3-8</v>
      </c>
      <c r="AY189" s="42">
        <f t="shared" si="97"/>
        <v>16.989999999999998</v>
      </c>
      <c r="AZ189" s="35">
        <f t="shared" si="98"/>
        <v>95.67</v>
      </c>
      <c r="BA189" s="35">
        <f t="shared" si="99"/>
        <v>95.67</v>
      </c>
      <c r="BB189" s="35">
        <f t="shared" si="100"/>
        <v>95.67</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t="s">
        <v>3242</v>
      </c>
      <c r="D190" s="2207" t="s">
        <v>3049</v>
      </c>
      <c r="E190" s="35">
        <f t="shared" si="119"/>
        <v>16.989999999999998</v>
      </c>
      <c r="F190" s="36"/>
      <c r="G190" s="37">
        <f t="shared" si="94"/>
        <v>95.67</v>
      </c>
      <c r="H190" s="38">
        <f t="shared" si="95"/>
        <v>95.67</v>
      </c>
      <c r="I190" s="39">
        <v>95.67</v>
      </c>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t="str">
        <f t="shared" si="122"/>
        <v>3-9</v>
      </c>
      <c r="AY190" s="42">
        <f t="shared" si="97"/>
        <v>16.989999999999998</v>
      </c>
      <c r="AZ190" s="35">
        <f t="shared" si="98"/>
        <v>95.67</v>
      </c>
      <c r="BA190" s="35">
        <f t="shared" si="99"/>
        <v>95.67</v>
      </c>
      <c r="BB190" s="35">
        <f t="shared" si="100"/>
        <v>95.67</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t="s">
        <v>3243</v>
      </c>
      <c r="D191" s="2207" t="s">
        <v>3049</v>
      </c>
      <c r="E191" s="35">
        <f t="shared" si="119"/>
        <v>16.7</v>
      </c>
      <c r="F191" s="36"/>
      <c r="G191" s="37">
        <f t="shared" si="94"/>
        <v>94.04</v>
      </c>
      <c r="H191" s="38">
        <f t="shared" si="95"/>
        <v>94.04</v>
      </c>
      <c r="I191" s="39">
        <v>94.04</v>
      </c>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t="str">
        <f t="shared" si="122"/>
        <v>3-10</v>
      </c>
      <c r="AY191" s="42">
        <f t="shared" si="97"/>
        <v>16.7</v>
      </c>
      <c r="AZ191" s="35">
        <f t="shared" si="98"/>
        <v>94.04</v>
      </c>
      <c r="BA191" s="35">
        <f t="shared" si="99"/>
        <v>94.04</v>
      </c>
      <c r="BB191" s="35">
        <f t="shared" si="100"/>
        <v>94.04</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t="s">
        <v>3244</v>
      </c>
      <c r="D192" s="2207" t="s">
        <v>3049</v>
      </c>
      <c r="E192" s="35">
        <f t="shared" si="119"/>
        <v>16.989999999999998</v>
      </c>
      <c r="F192" s="36"/>
      <c r="G192" s="37">
        <f t="shared" si="94"/>
        <v>95.67</v>
      </c>
      <c r="H192" s="38">
        <f t="shared" si="95"/>
        <v>95.67</v>
      </c>
      <c r="I192" s="39">
        <v>95.67</v>
      </c>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t="str">
        <f t="shared" si="122"/>
        <v>3-11</v>
      </c>
      <c r="AY192" s="42">
        <f t="shared" si="97"/>
        <v>16.989999999999998</v>
      </c>
      <c r="AZ192" s="35">
        <f t="shared" si="98"/>
        <v>95.67</v>
      </c>
      <c r="BA192" s="35">
        <f t="shared" si="99"/>
        <v>95.67</v>
      </c>
      <c r="BB192" s="35">
        <f t="shared" si="100"/>
        <v>95.67</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t="s">
        <v>3245</v>
      </c>
      <c r="D193" s="2207" t="s">
        <v>3049</v>
      </c>
      <c r="E193" s="35">
        <f t="shared" si="119"/>
        <v>16.989999999999998</v>
      </c>
      <c r="F193" s="36"/>
      <c r="G193" s="37">
        <f t="shared" si="94"/>
        <v>95.67</v>
      </c>
      <c r="H193" s="38">
        <f t="shared" si="95"/>
        <v>95.67</v>
      </c>
      <c r="I193" s="39">
        <v>95.67</v>
      </c>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t="str">
        <f t="shared" si="122"/>
        <v>3-12</v>
      </c>
      <c r="AY193" s="42">
        <f t="shared" si="97"/>
        <v>16.989999999999998</v>
      </c>
      <c r="AZ193" s="35">
        <f t="shared" si="98"/>
        <v>95.67</v>
      </c>
      <c r="BA193" s="35">
        <f t="shared" si="99"/>
        <v>95.67</v>
      </c>
      <c r="BB193" s="35">
        <f t="shared" si="100"/>
        <v>95.67</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t="s">
        <v>3246</v>
      </c>
      <c r="D194" s="2207" t="s">
        <v>3049</v>
      </c>
      <c r="E194" s="35">
        <f t="shared" si="119"/>
        <v>16.97</v>
      </c>
      <c r="F194" s="36"/>
      <c r="G194" s="37">
        <f t="shared" si="94"/>
        <v>95.56</v>
      </c>
      <c r="H194" s="38">
        <f t="shared" si="95"/>
        <v>95.56</v>
      </c>
      <c r="I194" s="39">
        <v>95.56</v>
      </c>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t="str">
        <f t="shared" si="122"/>
        <v>3-13</v>
      </c>
      <c r="AY194" s="42">
        <f t="shared" si="97"/>
        <v>16.97</v>
      </c>
      <c r="AZ194" s="35">
        <f t="shared" si="98"/>
        <v>95.56</v>
      </c>
      <c r="BA194" s="35">
        <f t="shared" si="99"/>
        <v>95.56</v>
      </c>
      <c r="BB194" s="35">
        <f t="shared" si="100"/>
        <v>95.56</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t="s">
        <v>3247</v>
      </c>
      <c r="D195" s="2207" t="s">
        <v>3049</v>
      </c>
      <c r="E195" s="35">
        <f t="shared" si="119"/>
        <v>16.72</v>
      </c>
      <c r="F195" s="36"/>
      <c r="G195" s="37">
        <f t="shared" si="94"/>
        <v>94.18</v>
      </c>
      <c r="H195" s="38">
        <f t="shared" si="95"/>
        <v>94.18</v>
      </c>
      <c r="I195" s="39">
        <v>94.18</v>
      </c>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t="str">
        <f t="shared" si="122"/>
        <v>3-14</v>
      </c>
      <c r="AY195" s="42">
        <f t="shared" si="97"/>
        <v>16.72</v>
      </c>
      <c r="AZ195" s="35">
        <f t="shared" si="98"/>
        <v>94.18</v>
      </c>
      <c r="BA195" s="35">
        <f t="shared" si="99"/>
        <v>94.18</v>
      </c>
      <c r="BB195" s="35">
        <f t="shared" si="100"/>
        <v>94.18</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t="s">
        <v>3248</v>
      </c>
      <c r="D196" s="2207" t="s">
        <v>3049</v>
      </c>
      <c r="E196" s="35">
        <f t="shared" si="119"/>
        <v>11.32</v>
      </c>
      <c r="F196" s="36"/>
      <c r="G196" s="37">
        <f t="shared" si="94"/>
        <v>63.78</v>
      </c>
      <c r="H196" s="38">
        <f t="shared" si="95"/>
        <v>63.78</v>
      </c>
      <c r="I196" s="39">
        <v>63.78</v>
      </c>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t="str">
        <f t="shared" si="122"/>
        <v>3-15</v>
      </c>
      <c r="AY196" s="42">
        <f t="shared" si="97"/>
        <v>11.32</v>
      </c>
      <c r="AZ196" s="35">
        <f t="shared" si="98"/>
        <v>63.78</v>
      </c>
      <c r="BA196" s="35">
        <f t="shared" si="99"/>
        <v>63.78</v>
      </c>
      <c r="BB196" s="35">
        <f t="shared" si="100"/>
        <v>63.78</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t="s">
        <v>3249</v>
      </c>
      <c r="D197" s="2207" t="s">
        <v>3049</v>
      </c>
      <c r="E197" s="35">
        <f t="shared" si="119"/>
        <v>11.32</v>
      </c>
      <c r="F197" s="36"/>
      <c r="G197" s="37">
        <f t="shared" si="94"/>
        <v>63.78</v>
      </c>
      <c r="H197" s="38">
        <f t="shared" si="95"/>
        <v>63.78</v>
      </c>
      <c r="I197" s="39">
        <v>63.78</v>
      </c>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t="str">
        <f t="shared" si="122"/>
        <v>3-16</v>
      </c>
      <c r="AY197" s="42">
        <f t="shared" si="97"/>
        <v>11.32</v>
      </c>
      <c r="AZ197" s="35">
        <f t="shared" si="98"/>
        <v>63.78</v>
      </c>
      <c r="BA197" s="35">
        <f t="shared" si="99"/>
        <v>63.78</v>
      </c>
      <c r="BB197" s="35">
        <f t="shared" si="100"/>
        <v>63.78</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t="s">
        <v>3250</v>
      </c>
      <c r="D198" s="2207" t="s">
        <v>3049</v>
      </c>
      <c r="E198" s="35">
        <f t="shared" si="119"/>
        <v>10.88</v>
      </c>
      <c r="F198" s="36"/>
      <c r="G198" s="37">
        <f t="shared" si="94"/>
        <v>61.3</v>
      </c>
      <c r="H198" s="38">
        <f t="shared" si="95"/>
        <v>61.3</v>
      </c>
      <c r="I198" s="39">
        <v>61.3</v>
      </c>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t="str">
        <f t="shared" si="122"/>
        <v>3-17</v>
      </c>
      <c r="AY198" s="42">
        <f t="shared" si="97"/>
        <v>10.88</v>
      </c>
      <c r="AZ198" s="35">
        <f t="shared" si="98"/>
        <v>61.3</v>
      </c>
      <c r="BA198" s="35">
        <f t="shared" si="99"/>
        <v>61.3</v>
      </c>
      <c r="BB198" s="35">
        <f t="shared" si="100"/>
        <v>61.3</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t="s">
        <v>3251</v>
      </c>
      <c r="D199" s="2207" t="s">
        <v>3049</v>
      </c>
      <c r="E199" s="35">
        <f t="shared" si="119"/>
        <v>20.56</v>
      </c>
      <c r="F199" s="36"/>
      <c r="G199" s="37">
        <f t="shared" si="94"/>
        <v>115.83</v>
      </c>
      <c r="H199" s="38">
        <f t="shared" si="95"/>
        <v>115.83</v>
      </c>
      <c r="I199" s="39">
        <v>115.83</v>
      </c>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t="str">
        <f t="shared" si="122"/>
        <v>3-18</v>
      </c>
      <c r="AY199" s="42">
        <f t="shared" si="97"/>
        <v>20.56</v>
      </c>
      <c r="AZ199" s="35">
        <f t="shared" si="98"/>
        <v>115.83</v>
      </c>
      <c r="BA199" s="35">
        <f t="shared" si="99"/>
        <v>115.83</v>
      </c>
      <c r="BB199" s="35">
        <f t="shared" si="100"/>
        <v>115.83</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t="s">
        <v>3252</v>
      </c>
      <c r="D200" s="2207" t="s">
        <v>3049</v>
      </c>
      <c r="E200" s="35">
        <f t="shared" si="119"/>
        <v>14</v>
      </c>
      <c r="F200" s="36"/>
      <c r="G200" s="37">
        <f t="shared" si="94"/>
        <v>78.86</v>
      </c>
      <c r="H200" s="38">
        <f t="shared" si="95"/>
        <v>78.86</v>
      </c>
      <c r="I200" s="39">
        <v>78.86</v>
      </c>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t="str">
        <f t="shared" si="122"/>
        <v>3-19</v>
      </c>
      <c r="AY200" s="42">
        <f t="shared" si="97"/>
        <v>14</v>
      </c>
      <c r="AZ200" s="35">
        <f t="shared" si="98"/>
        <v>78.86</v>
      </c>
      <c r="BA200" s="35">
        <f t="shared" si="99"/>
        <v>78.86</v>
      </c>
      <c r="BB200" s="35">
        <f t="shared" si="100"/>
        <v>78.86</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t="s">
        <v>3253</v>
      </c>
      <c r="D201" s="2207" t="s">
        <v>3049</v>
      </c>
      <c r="E201" s="35">
        <f t="shared" si="119"/>
        <v>10.82</v>
      </c>
      <c r="F201" s="36"/>
      <c r="G201" s="37">
        <f t="shared" si="94"/>
        <v>60.95</v>
      </c>
      <c r="H201" s="38">
        <f t="shared" si="95"/>
        <v>60.95</v>
      </c>
      <c r="I201" s="39">
        <v>60.95</v>
      </c>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t="str">
        <f t="shared" si="122"/>
        <v>3-20</v>
      </c>
      <c r="AY201" s="42">
        <f t="shared" si="97"/>
        <v>10.82</v>
      </c>
      <c r="AZ201" s="35">
        <f t="shared" si="98"/>
        <v>60.95</v>
      </c>
      <c r="BA201" s="35">
        <f t="shared" si="99"/>
        <v>60.95</v>
      </c>
      <c r="BB201" s="35">
        <f t="shared" si="100"/>
        <v>60.95</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t="s">
        <v>3254</v>
      </c>
      <c r="D202" s="2207" t="s">
        <v>3049</v>
      </c>
      <c r="E202" s="35">
        <f t="shared" si="119"/>
        <v>30.04</v>
      </c>
      <c r="F202" s="36"/>
      <c r="G202" s="37">
        <f t="shared" si="94"/>
        <v>169.17</v>
      </c>
      <c r="H202" s="38">
        <f t="shared" si="95"/>
        <v>169.17</v>
      </c>
      <c r="I202" s="39">
        <v>169.17</v>
      </c>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t="str">
        <f t="shared" si="122"/>
        <v>3-21</v>
      </c>
      <c r="AY202" s="42">
        <f t="shared" si="97"/>
        <v>30.04</v>
      </c>
      <c r="AZ202" s="35">
        <f t="shared" si="98"/>
        <v>169.17</v>
      </c>
      <c r="BA202" s="35">
        <f t="shared" si="99"/>
        <v>169.17</v>
      </c>
      <c r="BB202" s="35">
        <f t="shared" si="100"/>
        <v>169.17</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t="s">
        <v>3255</v>
      </c>
      <c r="D203" s="2207" t="s">
        <v>3049</v>
      </c>
      <c r="E203" s="35">
        <f t="shared" si="119"/>
        <v>7.45</v>
      </c>
      <c r="F203" s="36"/>
      <c r="G203" s="37">
        <f t="shared" si="94"/>
        <v>41.98</v>
      </c>
      <c r="H203" s="38">
        <f t="shared" si="95"/>
        <v>41.98</v>
      </c>
      <c r="I203" s="39">
        <v>41.98</v>
      </c>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t="str">
        <f t="shared" si="122"/>
        <v>3-22</v>
      </c>
      <c r="AY203" s="42">
        <f t="shared" si="97"/>
        <v>7.45</v>
      </c>
      <c r="AZ203" s="35">
        <f t="shared" si="98"/>
        <v>41.98</v>
      </c>
      <c r="BA203" s="35">
        <f t="shared" si="99"/>
        <v>41.98</v>
      </c>
      <c r="BB203" s="35">
        <f t="shared" si="100"/>
        <v>41.98</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t="s">
        <v>3256</v>
      </c>
      <c r="D204" s="2207" t="s">
        <v>3049</v>
      </c>
      <c r="E204" s="35">
        <f t="shared" si="119"/>
        <v>19.489999999999998</v>
      </c>
      <c r="F204" s="36"/>
      <c r="G204" s="37">
        <f t="shared" si="94"/>
        <v>109.8</v>
      </c>
      <c r="H204" s="38">
        <f t="shared" si="95"/>
        <v>109.8</v>
      </c>
      <c r="I204" s="39">
        <v>109.8</v>
      </c>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t="str">
        <f t="shared" si="122"/>
        <v>3-23</v>
      </c>
      <c r="AY204" s="42">
        <f t="shared" si="97"/>
        <v>19.489999999999998</v>
      </c>
      <c r="AZ204" s="35">
        <f t="shared" si="98"/>
        <v>109.8</v>
      </c>
      <c r="BA204" s="35">
        <f t="shared" si="99"/>
        <v>109.8</v>
      </c>
      <c r="BB204" s="35">
        <f t="shared" si="100"/>
        <v>109.8</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t="s">
        <v>3257</v>
      </c>
      <c r="D205" s="2207" t="s">
        <v>3049</v>
      </c>
      <c r="E205" s="35">
        <f t="shared" si="119"/>
        <v>14.22</v>
      </c>
      <c r="F205" s="44"/>
      <c r="G205" s="37">
        <f t="shared" si="94"/>
        <v>80.08</v>
      </c>
      <c r="H205" s="38">
        <f t="shared" si="95"/>
        <v>80.08</v>
      </c>
      <c r="I205" s="10">
        <v>80.08</v>
      </c>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t="str">
        <f t="shared" si="122"/>
        <v>3-25</v>
      </c>
      <c r="AY205" s="42">
        <f t="shared" si="97"/>
        <v>14.22</v>
      </c>
      <c r="AZ205" s="35">
        <f t="shared" si="98"/>
        <v>80.08</v>
      </c>
      <c r="BA205" s="35">
        <f t="shared" si="99"/>
        <v>80.08</v>
      </c>
      <c r="BB205" s="35">
        <f t="shared" si="100"/>
        <v>80.08</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t="s">
        <v>3258</v>
      </c>
      <c r="D206" s="2207" t="s">
        <v>3049</v>
      </c>
      <c r="E206" s="35">
        <f t="shared" si="119"/>
        <v>14.29</v>
      </c>
      <c r="F206" s="44"/>
      <c r="G206" s="37">
        <f>H206+AC206+AT206</f>
        <v>80.48</v>
      </c>
      <c r="H206" s="38">
        <f>SUMIF(I$12:AB$12,"总值",I206:AB206)</f>
        <v>80.48</v>
      </c>
      <c r="I206" s="39">
        <v>80.48</v>
      </c>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t="str">
        <f t="shared" si="122"/>
        <v>3-26</v>
      </c>
      <c r="AY206" s="42">
        <f>ROUND($AY$6*AZ206/$AZ$5,2)</f>
        <v>14.29</v>
      </c>
      <c r="AZ206" s="35">
        <f>BA206+BL206</f>
        <v>80.48</v>
      </c>
      <c r="BA206" s="35">
        <f>SUM(BB206:BK206)</f>
        <v>80.48</v>
      </c>
      <c r="BB206" s="35">
        <f t="shared" si="100"/>
        <v>80.48</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t="s">
        <v>3259</v>
      </c>
      <c r="D207" s="2207" t="s">
        <v>3049</v>
      </c>
      <c r="E207" s="35">
        <f t="shared" si="119"/>
        <v>14.27</v>
      </c>
      <c r="F207" s="44"/>
      <c r="G207" s="37">
        <f>H207+AC207+AT207</f>
        <v>80.37</v>
      </c>
      <c r="H207" s="38">
        <f>SUMIF(I$12:AB$12,"总值",I207:AB207)</f>
        <v>80.37</v>
      </c>
      <c r="I207" s="39">
        <v>80.37</v>
      </c>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t="str">
        <f t="shared" si="122"/>
        <v>3-27</v>
      </c>
      <c r="AY207" s="42">
        <f>ROUND($AY$6*AZ207/$AZ$5,2)</f>
        <v>14.27</v>
      </c>
      <c r="AZ207" s="35">
        <f>BA207+BL207</f>
        <v>80.37</v>
      </c>
      <c r="BA207" s="35">
        <f>SUM(BB207:BK207)</f>
        <v>80.37</v>
      </c>
      <c r="BB207" s="35">
        <f t="shared" si="100"/>
        <v>80.37</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t="s">
        <v>3260</v>
      </c>
      <c r="D208" s="2207" t="s">
        <v>3049</v>
      </c>
      <c r="E208" s="35">
        <f t="shared" ref="E208:E302" si="123">IF($C$3="是",ROUND($A$3*G208/$B$3,2),ROUND($A$3*(G208-AT208)/$B$3,2))</f>
        <v>14.29</v>
      </c>
      <c r="F208" s="36"/>
      <c r="G208" s="37">
        <f t="shared" ref="G208:G299" si="124">H208+AC208+AT208</f>
        <v>80.48</v>
      </c>
      <c r="H208" s="38">
        <f t="shared" ref="H208:H299" si="125">SUMIF(I$12:AB$12,"总值",I208:AB208)</f>
        <v>80.48</v>
      </c>
      <c r="I208" s="39">
        <v>80.48</v>
      </c>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t="str">
        <f t="shared" ref="AX208:AX302" si="129">C208</f>
        <v>3-28</v>
      </c>
      <c r="AY208" s="42">
        <f t="shared" ref="AY208:AY299" si="130">ROUND($AY$6*AZ208/$AZ$5,2)</f>
        <v>14.29</v>
      </c>
      <c r="AZ208" s="35">
        <f t="shared" ref="AZ208:AZ299" si="131">BA208+BL208</f>
        <v>80.48</v>
      </c>
      <c r="BA208" s="35">
        <f t="shared" ref="BA208:BA299" si="132">SUM(BB208:BK208)</f>
        <v>80.48</v>
      </c>
      <c r="BB208" s="35">
        <f t="shared" ref="BB208:BB299" si="133">IF($D208="是",I208-J208,0)</f>
        <v>80.48</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t="s">
        <v>3261</v>
      </c>
      <c r="D209" s="2207" t="s">
        <v>3049</v>
      </c>
      <c r="E209" s="35">
        <f t="shared" si="123"/>
        <v>14.29</v>
      </c>
      <c r="F209" s="36"/>
      <c r="G209" s="37">
        <f t="shared" si="124"/>
        <v>80.48</v>
      </c>
      <c r="H209" s="38">
        <f t="shared" si="125"/>
        <v>80.48</v>
      </c>
      <c r="I209" s="39">
        <v>80.48</v>
      </c>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t="str">
        <f t="shared" si="129"/>
        <v>3-29</v>
      </c>
      <c r="AY209" s="42">
        <f t="shared" si="130"/>
        <v>14.29</v>
      </c>
      <c r="AZ209" s="35">
        <f t="shared" si="131"/>
        <v>80.48</v>
      </c>
      <c r="BA209" s="35">
        <f t="shared" si="132"/>
        <v>80.48</v>
      </c>
      <c r="BB209" s="35">
        <f t="shared" si="133"/>
        <v>80.48</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t="s">
        <v>3262</v>
      </c>
      <c r="D210" s="2207" t="s">
        <v>3049</v>
      </c>
      <c r="E210" s="35">
        <f t="shared" si="123"/>
        <v>14.27</v>
      </c>
      <c r="F210" s="36"/>
      <c r="G210" s="37">
        <f t="shared" si="124"/>
        <v>80.37</v>
      </c>
      <c r="H210" s="38">
        <f t="shared" si="125"/>
        <v>80.37</v>
      </c>
      <c r="I210" s="39">
        <v>80.37</v>
      </c>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t="str">
        <f t="shared" si="129"/>
        <v>3-30</v>
      </c>
      <c r="AY210" s="42">
        <f t="shared" si="130"/>
        <v>14.27</v>
      </c>
      <c r="AZ210" s="35">
        <f t="shared" si="131"/>
        <v>80.37</v>
      </c>
      <c r="BA210" s="35">
        <f t="shared" si="132"/>
        <v>80.37</v>
      </c>
      <c r="BB210" s="35">
        <f t="shared" si="133"/>
        <v>80.37</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t="s">
        <v>3263</v>
      </c>
      <c r="D211" s="2207" t="s">
        <v>3049</v>
      </c>
      <c r="E211" s="35">
        <f t="shared" si="123"/>
        <v>14.29</v>
      </c>
      <c r="F211" s="36"/>
      <c r="G211" s="37">
        <f t="shared" si="124"/>
        <v>80.48</v>
      </c>
      <c r="H211" s="38">
        <f t="shared" si="125"/>
        <v>80.48</v>
      </c>
      <c r="I211" s="39">
        <v>80.48</v>
      </c>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t="str">
        <f t="shared" si="129"/>
        <v>3-31</v>
      </c>
      <c r="AY211" s="42">
        <f t="shared" si="130"/>
        <v>14.29</v>
      </c>
      <c r="AZ211" s="35">
        <f t="shared" si="131"/>
        <v>80.48</v>
      </c>
      <c r="BA211" s="35">
        <f t="shared" si="132"/>
        <v>80.48</v>
      </c>
      <c r="BB211" s="35">
        <f t="shared" si="133"/>
        <v>80.48</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t="s">
        <v>3264</v>
      </c>
      <c r="D212" s="2207" t="s">
        <v>3049</v>
      </c>
      <c r="E212" s="35">
        <f t="shared" si="123"/>
        <v>14.29</v>
      </c>
      <c r="F212" s="36"/>
      <c r="G212" s="37">
        <f t="shared" si="124"/>
        <v>80.48</v>
      </c>
      <c r="H212" s="38">
        <f t="shared" si="125"/>
        <v>80.48</v>
      </c>
      <c r="I212" s="39">
        <v>80.48</v>
      </c>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t="str">
        <f t="shared" si="129"/>
        <v>3-32</v>
      </c>
      <c r="AY212" s="42">
        <f t="shared" si="130"/>
        <v>14.29</v>
      </c>
      <c r="AZ212" s="35">
        <f t="shared" si="131"/>
        <v>80.48</v>
      </c>
      <c r="BA212" s="35">
        <f t="shared" si="132"/>
        <v>80.48</v>
      </c>
      <c r="BB212" s="35">
        <f t="shared" si="133"/>
        <v>80.48</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t="s">
        <v>3265</v>
      </c>
      <c r="D213" s="2207" t="s">
        <v>3049</v>
      </c>
      <c r="E213" s="35">
        <f t="shared" si="123"/>
        <v>14.31</v>
      </c>
      <c r="F213" s="36"/>
      <c r="G213" s="37">
        <f t="shared" si="124"/>
        <v>80.61</v>
      </c>
      <c r="H213" s="38">
        <f t="shared" si="125"/>
        <v>80.61</v>
      </c>
      <c r="I213" s="39">
        <v>80.61</v>
      </c>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t="str">
        <f t="shared" si="129"/>
        <v>3-33</v>
      </c>
      <c r="AY213" s="42">
        <f t="shared" si="130"/>
        <v>14.31</v>
      </c>
      <c r="AZ213" s="35">
        <f t="shared" si="131"/>
        <v>80.61</v>
      </c>
      <c r="BA213" s="35">
        <f t="shared" si="132"/>
        <v>80.61</v>
      </c>
      <c r="BB213" s="35">
        <f t="shared" si="133"/>
        <v>80.61</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t="s">
        <v>3266</v>
      </c>
      <c r="D214" s="2207" t="s">
        <v>3049</v>
      </c>
      <c r="E214" s="35">
        <f t="shared" si="123"/>
        <v>11.44</v>
      </c>
      <c r="F214" s="36"/>
      <c r="G214" s="37">
        <f t="shared" si="124"/>
        <v>64.459999999999994</v>
      </c>
      <c r="H214" s="38">
        <f t="shared" si="125"/>
        <v>64.459999999999994</v>
      </c>
      <c r="I214" s="39">
        <v>64.459999999999994</v>
      </c>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t="str">
        <f t="shared" si="129"/>
        <v>3-34</v>
      </c>
      <c r="AY214" s="42">
        <f t="shared" si="130"/>
        <v>11.44</v>
      </c>
      <c r="AZ214" s="35">
        <f t="shared" si="131"/>
        <v>64.459999999999994</v>
      </c>
      <c r="BA214" s="35">
        <f t="shared" si="132"/>
        <v>64.459999999999994</v>
      </c>
      <c r="BB214" s="35">
        <f t="shared" si="133"/>
        <v>64.459999999999994</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t="s">
        <v>3267</v>
      </c>
      <c r="D215" s="2207" t="s">
        <v>3049</v>
      </c>
      <c r="E215" s="35">
        <f t="shared" si="123"/>
        <v>7.42</v>
      </c>
      <c r="F215" s="36"/>
      <c r="G215" s="37">
        <f t="shared" si="124"/>
        <v>41.79</v>
      </c>
      <c r="H215" s="38">
        <f t="shared" si="125"/>
        <v>41.79</v>
      </c>
      <c r="I215" s="39">
        <v>41.79</v>
      </c>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t="str">
        <f t="shared" si="129"/>
        <v>3-36</v>
      </c>
      <c r="AY215" s="42">
        <f t="shared" si="130"/>
        <v>7.42</v>
      </c>
      <c r="AZ215" s="35">
        <f t="shared" si="131"/>
        <v>41.79</v>
      </c>
      <c r="BA215" s="35">
        <f t="shared" si="132"/>
        <v>41.79</v>
      </c>
      <c r="BB215" s="35">
        <f t="shared" si="133"/>
        <v>41.79</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t="s">
        <v>3268</v>
      </c>
      <c r="D216" s="2207" t="s">
        <v>3049</v>
      </c>
      <c r="E216" s="35">
        <f t="shared" si="123"/>
        <v>5.38</v>
      </c>
      <c r="F216" s="36"/>
      <c r="G216" s="37">
        <f t="shared" si="124"/>
        <v>30.28</v>
      </c>
      <c r="H216" s="38">
        <f t="shared" si="125"/>
        <v>30.28</v>
      </c>
      <c r="I216" s="39">
        <v>30.28</v>
      </c>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t="str">
        <f t="shared" si="129"/>
        <v>3-37</v>
      </c>
      <c r="AY216" s="42">
        <f t="shared" si="130"/>
        <v>5.38</v>
      </c>
      <c r="AZ216" s="35">
        <f t="shared" si="131"/>
        <v>30.28</v>
      </c>
      <c r="BA216" s="35">
        <f t="shared" si="132"/>
        <v>30.28</v>
      </c>
      <c r="BB216" s="35">
        <f t="shared" si="133"/>
        <v>30.28</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t="s">
        <v>3269</v>
      </c>
      <c r="D217" s="2207" t="s">
        <v>3049</v>
      </c>
      <c r="E217" s="35">
        <f t="shared" si="123"/>
        <v>22.74</v>
      </c>
      <c r="F217" s="36"/>
      <c r="G217" s="37">
        <f t="shared" si="124"/>
        <v>128.06</v>
      </c>
      <c r="H217" s="38">
        <f t="shared" si="125"/>
        <v>128.06</v>
      </c>
      <c r="I217" s="39">
        <v>128.06</v>
      </c>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t="str">
        <f t="shared" si="129"/>
        <v>3-38</v>
      </c>
      <c r="AY217" s="42">
        <f t="shared" si="130"/>
        <v>22.74</v>
      </c>
      <c r="AZ217" s="35">
        <f t="shared" si="131"/>
        <v>128.06</v>
      </c>
      <c r="BA217" s="35">
        <f t="shared" si="132"/>
        <v>128.06</v>
      </c>
      <c r="BB217" s="35">
        <f t="shared" si="133"/>
        <v>128.06</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t="s">
        <v>3270</v>
      </c>
      <c r="D218" s="2207" t="s">
        <v>3049</v>
      </c>
      <c r="E218" s="35">
        <f t="shared" si="123"/>
        <v>14.66</v>
      </c>
      <c r="F218" s="36"/>
      <c r="G218" s="37">
        <f t="shared" si="124"/>
        <v>82.58</v>
      </c>
      <c r="H218" s="38">
        <f t="shared" si="125"/>
        <v>82.58</v>
      </c>
      <c r="I218" s="39">
        <v>82.58</v>
      </c>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t="str">
        <f t="shared" si="129"/>
        <v>3-39</v>
      </c>
      <c r="AY218" s="42">
        <f t="shared" si="130"/>
        <v>14.66</v>
      </c>
      <c r="AZ218" s="35">
        <f t="shared" si="131"/>
        <v>82.58</v>
      </c>
      <c r="BA218" s="35">
        <f t="shared" si="132"/>
        <v>82.58</v>
      </c>
      <c r="BB218" s="35">
        <f t="shared" si="133"/>
        <v>82.58</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t="s">
        <v>3271</v>
      </c>
      <c r="D219" s="2207" t="s">
        <v>3049</v>
      </c>
      <c r="E219" s="35">
        <f t="shared" si="123"/>
        <v>15.99</v>
      </c>
      <c r="F219" s="36"/>
      <c r="G219" s="37">
        <f t="shared" si="124"/>
        <v>90.04</v>
      </c>
      <c r="H219" s="38">
        <f t="shared" si="125"/>
        <v>90.04</v>
      </c>
      <c r="I219" s="39">
        <v>90.04</v>
      </c>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t="str">
        <f t="shared" si="129"/>
        <v>3-40</v>
      </c>
      <c r="AY219" s="42">
        <f t="shared" si="130"/>
        <v>15.99</v>
      </c>
      <c r="AZ219" s="35">
        <f t="shared" si="131"/>
        <v>90.04</v>
      </c>
      <c r="BA219" s="35">
        <f t="shared" si="132"/>
        <v>90.04</v>
      </c>
      <c r="BB219" s="35">
        <f t="shared" si="133"/>
        <v>90.04</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t="s">
        <v>3272</v>
      </c>
      <c r="D220" s="2207" t="s">
        <v>3049</v>
      </c>
      <c r="E220" s="35">
        <f t="shared" si="123"/>
        <v>15.14</v>
      </c>
      <c r="F220" s="36"/>
      <c r="G220" s="37">
        <f t="shared" si="124"/>
        <v>85.25</v>
      </c>
      <c r="H220" s="38">
        <f t="shared" si="125"/>
        <v>85.25</v>
      </c>
      <c r="I220" s="39">
        <v>85.25</v>
      </c>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t="str">
        <f t="shared" si="129"/>
        <v>3-41</v>
      </c>
      <c r="AY220" s="42">
        <f t="shared" si="130"/>
        <v>15.14</v>
      </c>
      <c r="AZ220" s="35">
        <f t="shared" si="131"/>
        <v>85.25</v>
      </c>
      <c r="BA220" s="35">
        <f t="shared" si="132"/>
        <v>85.25</v>
      </c>
      <c r="BB220" s="35">
        <f t="shared" si="133"/>
        <v>85.25</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t="s">
        <v>3273</v>
      </c>
      <c r="D221" s="2207" t="s">
        <v>3049</v>
      </c>
      <c r="E221" s="35">
        <f t="shared" si="123"/>
        <v>14.31</v>
      </c>
      <c r="F221" s="36"/>
      <c r="G221" s="37">
        <f t="shared" si="124"/>
        <v>80.59</v>
      </c>
      <c r="H221" s="38">
        <f t="shared" si="125"/>
        <v>80.59</v>
      </c>
      <c r="I221" s="39">
        <v>80.59</v>
      </c>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t="str">
        <f t="shared" si="129"/>
        <v>3-42</v>
      </c>
      <c r="AY221" s="42">
        <f t="shared" si="130"/>
        <v>14.31</v>
      </c>
      <c r="AZ221" s="35">
        <f t="shared" si="131"/>
        <v>80.59</v>
      </c>
      <c r="BA221" s="35">
        <f t="shared" si="132"/>
        <v>80.59</v>
      </c>
      <c r="BB221" s="35">
        <f t="shared" si="133"/>
        <v>80.59</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t="s">
        <v>3274</v>
      </c>
      <c r="D222" s="2207" t="s">
        <v>3049</v>
      </c>
      <c r="E222" s="35">
        <f t="shared" si="123"/>
        <v>16.72</v>
      </c>
      <c r="F222" s="36"/>
      <c r="G222" s="37">
        <f t="shared" si="124"/>
        <v>94.2</v>
      </c>
      <c r="H222" s="38">
        <f t="shared" si="125"/>
        <v>94.2</v>
      </c>
      <c r="I222" s="39">
        <v>94.2</v>
      </c>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t="str">
        <f t="shared" si="129"/>
        <v>3-44</v>
      </c>
      <c r="AY222" s="42">
        <f t="shared" si="130"/>
        <v>16.72</v>
      </c>
      <c r="AZ222" s="35">
        <f t="shared" si="131"/>
        <v>94.2</v>
      </c>
      <c r="BA222" s="35">
        <f t="shared" si="132"/>
        <v>94.2</v>
      </c>
      <c r="BB222" s="35">
        <f t="shared" si="133"/>
        <v>94.2</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t="s">
        <v>3275</v>
      </c>
      <c r="D223" s="2207" t="s">
        <v>3049</v>
      </c>
      <c r="E223" s="35">
        <f t="shared" si="123"/>
        <v>16</v>
      </c>
      <c r="F223" s="36"/>
      <c r="G223" s="37">
        <f t="shared" si="124"/>
        <v>90.14</v>
      </c>
      <c r="H223" s="38">
        <f t="shared" si="125"/>
        <v>90.14</v>
      </c>
      <c r="I223" s="39">
        <v>90.14</v>
      </c>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t="str">
        <f t="shared" si="129"/>
        <v>3-45</v>
      </c>
      <c r="AY223" s="42">
        <f t="shared" si="130"/>
        <v>16</v>
      </c>
      <c r="AZ223" s="35">
        <f t="shared" si="131"/>
        <v>90.14</v>
      </c>
      <c r="BA223" s="35">
        <f t="shared" si="132"/>
        <v>90.14</v>
      </c>
      <c r="BB223" s="35">
        <f t="shared" si="133"/>
        <v>90.14</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t="s">
        <v>3276</v>
      </c>
      <c r="D224" s="2207" t="s">
        <v>3049</v>
      </c>
      <c r="E224" s="35">
        <f t="shared" si="123"/>
        <v>19.14</v>
      </c>
      <c r="F224" s="36"/>
      <c r="G224" s="37">
        <f t="shared" si="124"/>
        <v>107.81</v>
      </c>
      <c r="H224" s="38">
        <f t="shared" si="125"/>
        <v>107.81</v>
      </c>
      <c r="I224" s="39">
        <v>107.81</v>
      </c>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t="str">
        <f t="shared" si="129"/>
        <v>3-46</v>
      </c>
      <c r="AY224" s="42">
        <f t="shared" si="130"/>
        <v>19.14</v>
      </c>
      <c r="AZ224" s="35">
        <f t="shared" si="131"/>
        <v>107.81</v>
      </c>
      <c r="BA224" s="35">
        <f t="shared" si="132"/>
        <v>107.81</v>
      </c>
      <c r="BB224" s="35">
        <f t="shared" si="133"/>
        <v>107.81</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t="s">
        <v>3277</v>
      </c>
      <c r="D225" s="2207" t="s">
        <v>3049</v>
      </c>
      <c r="E225" s="35">
        <f t="shared" si="123"/>
        <v>17.39</v>
      </c>
      <c r="F225" s="36"/>
      <c r="G225" s="37">
        <f t="shared" si="124"/>
        <v>97.92</v>
      </c>
      <c r="H225" s="38">
        <f t="shared" si="125"/>
        <v>97.92</v>
      </c>
      <c r="I225" s="39">
        <v>97.92</v>
      </c>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t="str">
        <f t="shared" si="129"/>
        <v>3-47</v>
      </c>
      <c r="AY225" s="42">
        <f t="shared" si="130"/>
        <v>17.39</v>
      </c>
      <c r="AZ225" s="35">
        <f t="shared" si="131"/>
        <v>97.92</v>
      </c>
      <c r="BA225" s="35">
        <f t="shared" si="132"/>
        <v>97.92</v>
      </c>
      <c r="BB225" s="35">
        <f t="shared" si="133"/>
        <v>97.92</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t="s">
        <v>3278</v>
      </c>
      <c r="D226" s="2207" t="s">
        <v>3049</v>
      </c>
      <c r="E226" s="35">
        <f t="shared" si="123"/>
        <v>14.18</v>
      </c>
      <c r="F226" s="36"/>
      <c r="G226" s="37">
        <f t="shared" si="124"/>
        <v>79.849999999999994</v>
      </c>
      <c r="H226" s="38">
        <f t="shared" si="125"/>
        <v>79.849999999999994</v>
      </c>
      <c r="I226" s="39">
        <v>79.849999999999994</v>
      </c>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t="str">
        <f t="shared" si="129"/>
        <v>3-48</v>
      </c>
      <c r="AY226" s="42">
        <f t="shared" si="130"/>
        <v>14.18</v>
      </c>
      <c r="AZ226" s="35">
        <f t="shared" si="131"/>
        <v>79.849999999999994</v>
      </c>
      <c r="BA226" s="35">
        <f t="shared" si="132"/>
        <v>79.849999999999994</v>
      </c>
      <c r="BB226" s="35">
        <f t="shared" si="133"/>
        <v>79.849999999999994</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t="s">
        <v>3279</v>
      </c>
      <c r="D227" s="2207" t="s">
        <v>3049</v>
      </c>
      <c r="E227" s="35">
        <f t="shared" si="123"/>
        <v>15.58</v>
      </c>
      <c r="F227" s="36"/>
      <c r="G227" s="37">
        <f t="shared" si="124"/>
        <v>87.76</v>
      </c>
      <c r="H227" s="38">
        <f t="shared" si="125"/>
        <v>87.76</v>
      </c>
      <c r="I227" s="39">
        <v>87.76</v>
      </c>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t="str">
        <f t="shared" si="129"/>
        <v>3-49</v>
      </c>
      <c r="AY227" s="42">
        <f t="shared" si="130"/>
        <v>15.58</v>
      </c>
      <c r="AZ227" s="35">
        <f t="shared" si="131"/>
        <v>87.76</v>
      </c>
      <c r="BA227" s="35">
        <f t="shared" si="132"/>
        <v>87.76</v>
      </c>
      <c r="BB227" s="35">
        <f t="shared" si="133"/>
        <v>87.76</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t="s">
        <v>3280</v>
      </c>
      <c r="D228" s="2207" t="s">
        <v>3049</v>
      </c>
      <c r="E228" s="35">
        <f t="shared" si="123"/>
        <v>9.56</v>
      </c>
      <c r="F228" s="36"/>
      <c r="G228" s="37">
        <f t="shared" si="124"/>
        <v>53.87</v>
      </c>
      <c r="H228" s="38">
        <f t="shared" si="125"/>
        <v>53.87</v>
      </c>
      <c r="I228" s="39">
        <v>53.87</v>
      </c>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t="str">
        <f t="shared" si="129"/>
        <v>3-51</v>
      </c>
      <c r="AY228" s="42">
        <f t="shared" si="130"/>
        <v>9.56</v>
      </c>
      <c r="AZ228" s="35">
        <f t="shared" si="131"/>
        <v>53.87</v>
      </c>
      <c r="BA228" s="35">
        <f t="shared" si="132"/>
        <v>53.87</v>
      </c>
      <c r="BB228" s="35">
        <f t="shared" si="133"/>
        <v>53.87</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t="s">
        <v>3281</v>
      </c>
      <c r="D229" s="2207" t="s">
        <v>3049</v>
      </c>
      <c r="E229" s="35">
        <f t="shared" si="123"/>
        <v>12.11</v>
      </c>
      <c r="F229" s="36"/>
      <c r="G229" s="37">
        <f t="shared" si="124"/>
        <v>68.209999999999994</v>
      </c>
      <c r="H229" s="38">
        <f t="shared" si="125"/>
        <v>68.209999999999994</v>
      </c>
      <c r="I229" s="39">
        <v>68.209999999999994</v>
      </c>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t="str">
        <f t="shared" si="129"/>
        <v>3-52</v>
      </c>
      <c r="AY229" s="42">
        <f t="shared" si="130"/>
        <v>12.11</v>
      </c>
      <c r="AZ229" s="35">
        <f t="shared" si="131"/>
        <v>68.209999999999994</v>
      </c>
      <c r="BA229" s="35">
        <f t="shared" si="132"/>
        <v>68.209999999999994</v>
      </c>
      <c r="BB229" s="35">
        <f t="shared" si="133"/>
        <v>68.209999999999994</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t="s">
        <v>3282</v>
      </c>
      <c r="D230" s="2207" t="s">
        <v>3049</v>
      </c>
      <c r="E230" s="35">
        <f t="shared" si="123"/>
        <v>16.64</v>
      </c>
      <c r="F230" s="36"/>
      <c r="G230" s="37">
        <f t="shared" si="124"/>
        <v>93.72</v>
      </c>
      <c r="H230" s="38">
        <f t="shared" si="125"/>
        <v>93.72</v>
      </c>
      <c r="I230" s="39">
        <v>93.72</v>
      </c>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t="str">
        <f t="shared" si="129"/>
        <v>3-60</v>
      </c>
      <c r="AY230" s="42">
        <f t="shared" si="130"/>
        <v>16.64</v>
      </c>
      <c r="AZ230" s="35">
        <f t="shared" si="131"/>
        <v>93.72</v>
      </c>
      <c r="BA230" s="35">
        <f t="shared" si="132"/>
        <v>93.72</v>
      </c>
      <c r="BB230" s="35">
        <f t="shared" si="133"/>
        <v>93.72</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t="s">
        <v>3283</v>
      </c>
      <c r="D231" s="2207" t="s">
        <v>3049</v>
      </c>
      <c r="E231" s="35">
        <f t="shared" si="123"/>
        <v>11.88</v>
      </c>
      <c r="F231" s="36"/>
      <c r="G231" s="37">
        <f t="shared" si="124"/>
        <v>66.92</v>
      </c>
      <c r="H231" s="38">
        <f t="shared" si="125"/>
        <v>66.92</v>
      </c>
      <c r="I231" s="39">
        <v>66.92</v>
      </c>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t="str">
        <f t="shared" si="129"/>
        <v>3-61</v>
      </c>
      <c r="AY231" s="42">
        <f t="shared" si="130"/>
        <v>11.88</v>
      </c>
      <c r="AZ231" s="35">
        <f t="shared" si="131"/>
        <v>66.92</v>
      </c>
      <c r="BA231" s="35">
        <f t="shared" si="132"/>
        <v>66.92</v>
      </c>
      <c r="BB231" s="35">
        <f t="shared" si="133"/>
        <v>66.92</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t="s">
        <v>3284</v>
      </c>
      <c r="D232" s="2207" t="s">
        <v>3049</v>
      </c>
      <c r="E232" s="35">
        <f t="shared" si="123"/>
        <v>11.98</v>
      </c>
      <c r="F232" s="36"/>
      <c r="G232" s="37">
        <f t="shared" si="124"/>
        <v>67.459999999999994</v>
      </c>
      <c r="H232" s="38">
        <f t="shared" si="125"/>
        <v>67.459999999999994</v>
      </c>
      <c r="I232" s="39">
        <v>67.459999999999994</v>
      </c>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t="str">
        <f t="shared" si="129"/>
        <v>3-62</v>
      </c>
      <c r="AY232" s="42">
        <f t="shared" si="130"/>
        <v>11.98</v>
      </c>
      <c r="AZ232" s="35">
        <f t="shared" si="131"/>
        <v>67.459999999999994</v>
      </c>
      <c r="BA232" s="35">
        <f t="shared" si="132"/>
        <v>67.459999999999994</v>
      </c>
      <c r="BB232" s="35">
        <f t="shared" si="133"/>
        <v>67.459999999999994</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t="s">
        <v>3285</v>
      </c>
      <c r="D233" s="2207" t="s">
        <v>3049</v>
      </c>
      <c r="E233" s="35">
        <f t="shared" si="123"/>
        <v>11.98</v>
      </c>
      <c r="F233" s="36"/>
      <c r="G233" s="37">
        <f t="shared" si="124"/>
        <v>67.459999999999994</v>
      </c>
      <c r="H233" s="38">
        <f t="shared" si="125"/>
        <v>67.459999999999994</v>
      </c>
      <c r="I233" s="39">
        <v>67.459999999999994</v>
      </c>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t="str">
        <f t="shared" si="129"/>
        <v>3-64</v>
      </c>
      <c r="AY233" s="42">
        <f t="shared" si="130"/>
        <v>11.98</v>
      </c>
      <c r="AZ233" s="35">
        <f t="shared" si="131"/>
        <v>67.459999999999994</v>
      </c>
      <c r="BA233" s="35">
        <f t="shared" si="132"/>
        <v>67.459999999999994</v>
      </c>
      <c r="BB233" s="35">
        <f t="shared" si="133"/>
        <v>67.459999999999994</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t="s">
        <v>3286</v>
      </c>
      <c r="D234" s="2207" t="s">
        <v>3049</v>
      </c>
      <c r="E234" s="35">
        <f t="shared" si="123"/>
        <v>9</v>
      </c>
      <c r="F234" s="36"/>
      <c r="G234" s="37">
        <f t="shared" si="124"/>
        <v>50.69</v>
      </c>
      <c r="H234" s="38">
        <f t="shared" si="125"/>
        <v>50.69</v>
      </c>
      <c r="I234" s="39">
        <v>50.69</v>
      </c>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t="str">
        <f t="shared" si="129"/>
        <v>3-65</v>
      </c>
      <c r="AY234" s="42">
        <f t="shared" si="130"/>
        <v>9</v>
      </c>
      <c r="AZ234" s="35">
        <f t="shared" si="131"/>
        <v>50.69</v>
      </c>
      <c r="BA234" s="35">
        <f t="shared" si="132"/>
        <v>50.69</v>
      </c>
      <c r="BB234" s="35">
        <f t="shared" si="133"/>
        <v>50.69</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t="s">
        <v>3287</v>
      </c>
      <c r="D235" s="2207" t="s">
        <v>3049</v>
      </c>
      <c r="E235" s="35">
        <f t="shared" si="123"/>
        <v>13.87</v>
      </c>
      <c r="F235" s="36"/>
      <c r="G235" s="37">
        <f t="shared" si="124"/>
        <v>78.11</v>
      </c>
      <c r="H235" s="38">
        <f t="shared" si="125"/>
        <v>78.11</v>
      </c>
      <c r="I235" s="39">
        <v>78.11</v>
      </c>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t="str">
        <f t="shared" si="129"/>
        <v>3-69</v>
      </c>
      <c r="AY235" s="42">
        <f t="shared" si="130"/>
        <v>13.87</v>
      </c>
      <c r="AZ235" s="35">
        <f t="shared" si="131"/>
        <v>78.11</v>
      </c>
      <c r="BA235" s="35">
        <f t="shared" si="132"/>
        <v>78.11</v>
      </c>
      <c r="BB235" s="35">
        <f t="shared" si="133"/>
        <v>78.11</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t="s">
        <v>3288</v>
      </c>
      <c r="D236" s="2207" t="s">
        <v>3049</v>
      </c>
      <c r="E236" s="35">
        <f t="shared" si="123"/>
        <v>16.41</v>
      </c>
      <c r="F236" s="36"/>
      <c r="G236" s="37">
        <f t="shared" si="124"/>
        <v>92.43</v>
      </c>
      <c r="H236" s="38">
        <f t="shared" si="125"/>
        <v>92.43</v>
      </c>
      <c r="I236" s="39">
        <v>92.43</v>
      </c>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t="str">
        <f t="shared" si="129"/>
        <v>3-70</v>
      </c>
      <c r="AY236" s="42">
        <f t="shared" si="130"/>
        <v>16.41</v>
      </c>
      <c r="AZ236" s="35">
        <f t="shared" si="131"/>
        <v>92.43</v>
      </c>
      <c r="BA236" s="35">
        <f t="shared" si="132"/>
        <v>92.43</v>
      </c>
      <c r="BB236" s="35">
        <f t="shared" si="133"/>
        <v>92.43</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t="s">
        <v>3289</v>
      </c>
      <c r="D237" s="2207" t="s">
        <v>3049</v>
      </c>
      <c r="E237" s="35">
        <f t="shared" si="123"/>
        <v>14.06</v>
      </c>
      <c r="F237" s="36"/>
      <c r="G237" s="37">
        <f t="shared" si="124"/>
        <v>79.19</v>
      </c>
      <c r="H237" s="38">
        <f t="shared" si="125"/>
        <v>79.19</v>
      </c>
      <c r="I237" s="39">
        <v>79.19</v>
      </c>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t="str">
        <f t="shared" si="129"/>
        <v>3-71</v>
      </c>
      <c r="AY237" s="42">
        <f t="shared" si="130"/>
        <v>14.06</v>
      </c>
      <c r="AZ237" s="35">
        <f t="shared" si="131"/>
        <v>79.19</v>
      </c>
      <c r="BA237" s="35">
        <f t="shared" si="132"/>
        <v>79.19</v>
      </c>
      <c r="BB237" s="35">
        <f t="shared" si="133"/>
        <v>79.19</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t="s">
        <v>3290</v>
      </c>
      <c r="D238" s="2207" t="s">
        <v>3049</v>
      </c>
      <c r="E238" s="35">
        <f t="shared" si="123"/>
        <v>13.87</v>
      </c>
      <c r="F238" s="36"/>
      <c r="G238" s="37">
        <f t="shared" si="124"/>
        <v>78.14</v>
      </c>
      <c r="H238" s="38">
        <f t="shared" si="125"/>
        <v>78.14</v>
      </c>
      <c r="I238" s="39">
        <v>78.14</v>
      </c>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t="str">
        <f t="shared" si="129"/>
        <v>3-72</v>
      </c>
      <c r="AY238" s="42">
        <f t="shared" si="130"/>
        <v>13.87</v>
      </c>
      <c r="AZ238" s="35">
        <f t="shared" si="131"/>
        <v>78.14</v>
      </c>
      <c r="BA238" s="35">
        <f t="shared" si="132"/>
        <v>78.14</v>
      </c>
      <c r="BB238" s="35">
        <f t="shared" si="133"/>
        <v>78.14</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t="s">
        <v>3291</v>
      </c>
      <c r="D239" s="2207" t="s">
        <v>3049</v>
      </c>
      <c r="E239" s="35">
        <f t="shared" si="123"/>
        <v>18.48</v>
      </c>
      <c r="F239" s="36"/>
      <c r="G239" s="37">
        <f t="shared" si="124"/>
        <v>104.11</v>
      </c>
      <c r="H239" s="38">
        <f t="shared" si="125"/>
        <v>104.11</v>
      </c>
      <c r="I239" s="39">
        <v>104.11</v>
      </c>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t="str">
        <f t="shared" si="129"/>
        <v>3-77</v>
      </c>
      <c r="AY239" s="42">
        <f t="shared" si="130"/>
        <v>18.48</v>
      </c>
      <c r="AZ239" s="35">
        <f t="shared" si="131"/>
        <v>104.11</v>
      </c>
      <c r="BA239" s="35">
        <f t="shared" si="132"/>
        <v>104.11</v>
      </c>
      <c r="BB239" s="35">
        <f t="shared" si="133"/>
        <v>104.11</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t="s">
        <v>3292</v>
      </c>
      <c r="D240" s="2207" t="s">
        <v>3049</v>
      </c>
      <c r="E240" s="35">
        <f t="shared" si="123"/>
        <v>18.579999999999998</v>
      </c>
      <c r="F240" s="36"/>
      <c r="G240" s="37">
        <f t="shared" si="124"/>
        <v>104.67</v>
      </c>
      <c r="H240" s="38">
        <f t="shared" si="125"/>
        <v>104.67</v>
      </c>
      <c r="I240" s="39">
        <v>104.67</v>
      </c>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t="str">
        <f t="shared" si="129"/>
        <v>3-78</v>
      </c>
      <c r="AY240" s="42">
        <f t="shared" si="130"/>
        <v>18.579999999999998</v>
      </c>
      <c r="AZ240" s="35">
        <f t="shared" si="131"/>
        <v>104.67</v>
      </c>
      <c r="BA240" s="35">
        <f t="shared" si="132"/>
        <v>104.67</v>
      </c>
      <c r="BB240" s="35">
        <f t="shared" si="133"/>
        <v>104.67</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t="s">
        <v>3293</v>
      </c>
      <c r="D241" s="2207" t="s">
        <v>3049</v>
      </c>
      <c r="E241" s="35">
        <f t="shared" si="123"/>
        <v>18.600000000000001</v>
      </c>
      <c r="F241" s="36"/>
      <c r="G241" s="37">
        <f t="shared" si="124"/>
        <v>104.78</v>
      </c>
      <c r="H241" s="38">
        <f t="shared" si="125"/>
        <v>104.78</v>
      </c>
      <c r="I241" s="39">
        <v>104.78</v>
      </c>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t="str">
        <f t="shared" si="129"/>
        <v>3-79</v>
      </c>
      <c r="AY241" s="42">
        <f t="shared" si="130"/>
        <v>18.600000000000001</v>
      </c>
      <c r="AZ241" s="35">
        <f t="shared" si="131"/>
        <v>104.78</v>
      </c>
      <c r="BA241" s="35">
        <f t="shared" si="132"/>
        <v>104.78</v>
      </c>
      <c r="BB241" s="35">
        <f t="shared" si="133"/>
        <v>104.78</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t="s">
        <v>3294</v>
      </c>
      <c r="D242" s="2207" t="s">
        <v>3049</v>
      </c>
      <c r="E242" s="35">
        <f t="shared" si="123"/>
        <v>11.68</v>
      </c>
      <c r="F242" s="36"/>
      <c r="G242" s="37">
        <f t="shared" si="124"/>
        <v>65.77</v>
      </c>
      <c r="H242" s="38">
        <f t="shared" si="125"/>
        <v>65.77</v>
      </c>
      <c r="I242" s="39">
        <v>65.77</v>
      </c>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t="str">
        <f t="shared" si="129"/>
        <v>3-86</v>
      </c>
      <c r="AY242" s="42">
        <f t="shared" si="130"/>
        <v>11.68</v>
      </c>
      <c r="AZ242" s="35">
        <f t="shared" si="131"/>
        <v>65.77</v>
      </c>
      <c r="BA242" s="35">
        <f t="shared" si="132"/>
        <v>65.77</v>
      </c>
      <c r="BB242" s="35">
        <f t="shared" si="133"/>
        <v>65.77</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t="s">
        <v>3295</v>
      </c>
      <c r="D243" s="2207" t="s">
        <v>3049</v>
      </c>
      <c r="E243" s="35">
        <f t="shared" si="123"/>
        <v>11.08</v>
      </c>
      <c r="F243" s="36"/>
      <c r="G243" s="37">
        <f t="shared" si="124"/>
        <v>62.41</v>
      </c>
      <c r="H243" s="38">
        <f t="shared" si="125"/>
        <v>62.41</v>
      </c>
      <c r="I243" s="39">
        <v>62.41</v>
      </c>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t="str">
        <f t="shared" si="129"/>
        <v>3-92</v>
      </c>
      <c r="AY243" s="42">
        <f t="shared" si="130"/>
        <v>11.08</v>
      </c>
      <c r="AZ243" s="35">
        <f t="shared" si="131"/>
        <v>62.41</v>
      </c>
      <c r="BA243" s="35">
        <f t="shared" si="132"/>
        <v>62.41</v>
      </c>
      <c r="BB243" s="35">
        <f t="shared" si="133"/>
        <v>62.41</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t="s">
        <v>3296</v>
      </c>
      <c r="D244" s="2207" t="s">
        <v>3049</v>
      </c>
      <c r="E244" s="35">
        <f t="shared" si="123"/>
        <v>11.08</v>
      </c>
      <c r="F244" s="36"/>
      <c r="G244" s="37">
        <f t="shared" si="124"/>
        <v>62.41</v>
      </c>
      <c r="H244" s="38">
        <f t="shared" si="125"/>
        <v>62.41</v>
      </c>
      <c r="I244" s="39">
        <v>62.41</v>
      </c>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t="str">
        <f t="shared" si="129"/>
        <v>3-94</v>
      </c>
      <c r="AY244" s="42">
        <f t="shared" si="130"/>
        <v>11.08</v>
      </c>
      <c r="AZ244" s="35">
        <f t="shared" si="131"/>
        <v>62.41</v>
      </c>
      <c r="BA244" s="35">
        <f t="shared" si="132"/>
        <v>62.41</v>
      </c>
      <c r="BB244" s="35">
        <f t="shared" si="133"/>
        <v>62.41</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t="s">
        <v>3297</v>
      </c>
      <c r="D245" s="2207" t="s">
        <v>3049</v>
      </c>
      <c r="E245" s="35">
        <f t="shared" si="123"/>
        <v>11.08</v>
      </c>
      <c r="F245" s="36"/>
      <c r="G245" s="37">
        <f t="shared" si="124"/>
        <v>62.41</v>
      </c>
      <c r="H245" s="38">
        <f t="shared" si="125"/>
        <v>62.41</v>
      </c>
      <c r="I245" s="39">
        <v>62.41</v>
      </c>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t="str">
        <f t="shared" si="129"/>
        <v>3-95</v>
      </c>
      <c r="AY245" s="42">
        <f t="shared" si="130"/>
        <v>11.08</v>
      </c>
      <c r="AZ245" s="35">
        <f t="shared" si="131"/>
        <v>62.41</v>
      </c>
      <c r="BA245" s="35">
        <f t="shared" si="132"/>
        <v>62.41</v>
      </c>
      <c r="BB245" s="35">
        <f t="shared" si="133"/>
        <v>62.41</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t="s">
        <v>3298</v>
      </c>
      <c r="D246" s="2207" t="s">
        <v>3049</v>
      </c>
      <c r="E246" s="35">
        <f t="shared" si="123"/>
        <v>11.08</v>
      </c>
      <c r="F246" s="36"/>
      <c r="G246" s="37">
        <f t="shared" si="124"/>
        <v>62.41</v>
      </c>
      <c r="H246" s="38">
        <f t="shared" si="125"/>
        <v>62.41</v>
      </c>
      <c r="I246" s="39">
        <v>62.41</v>
      </c>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t="str">
        <f t="shared" si="129"/>
        <v>3-96</v>
      </c>
      <c r="AY246" s="42">
        <f t="shared" si="130"/>
        <v>11.08</v>
      </c>
      <c r="AZ246" s="35">
        <f t="shared" si="131"/>
        <v>62.41</v>
      </c>
      <c r="BA246" s="35">
        <f t="shared" si="132"/>
        <v>62.41</v>
      </c>
      <c r="BB246" s="35">
        <f t="shared" si="133"/>
        <v>62.41</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t="s">
        <v>3299</v>
      </c>
      <c r="D247" s="2207" t="s">
        <v>3049</v>
      </c>
      <c r="E247" s="35">
        <f t="shared" si="123"/>
        <v>11.08</v>
      </c>
      <c r="F247" s="36"/>
      <c r="G247" s="37">
        <f t="shared" si="124"/>
        <v>62.41</v>
      </c>
      <c r="H247" s="38">
        <f t="shared" si="125"/>
        <v>62.41</v>
      </c>
      <c r="I247" s="39">
        <v>62.41</v>
      </c>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t="str">
        <f t="shared" si="129"/>
        <v>3-97</v>
      </c>
      <c r="AY247" s="42">
        <f t="shared" si="130"/>
        <v>11.08</v>
      </c>
      <c r="AZ247" s="35">
        <f t="shared" si="131"/>
        <v>62.41</v>
      </c>
      <c r="BA247" s="35">
        <f t="shared" si="132"/>
        <v>62.41</v>
      </c>
      <c r="BB247" s="35">
        <f t="shared" si="133"/>
        <v>62.41</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t="s">
        <v>3300</v>
      </c>
      <c r="D248" s="2207" t="s">
        <v>3049</v>
      </c>
      <c r="E248" s="35">
        <f t="shared" si="123"/>
        <v>9.57</v>
      </c>
      <c r="F248" s="36"/>
      <c r="G248" s="37">
        <f t="shared" si="124"/>
        <v>53.91</v>
      </c>
      <c r="H248" s="38">
        <f t="shared" si="125"/>
        <v>53.91</v>
      </c>
      <c r="I248" s="39">
        <v>53.91</v>
      </c>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t="str">
        <f t="shared" si="129"/>
        <v>3-101</v>
      </c>
      <c r="AY248" s="42">
        <f t="shared" si="130"/>
        <v>9.57</v>
      </c>
      <c r="AZ248" s="35">
        <f t="shared" si="131"/>
        <v>53.91</v>
      </c>
      <c r="BA248" s="35">
        <f t="shared" si="132"/>
        <v>53.91</v>
      </c>
      <c r="BB248" s="35">
        <f t="shared" si="133"/>
        <v>53.91</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t="s">
        <v>3301</v>
      </c>
      <c r="D249" s="2207" t="s">
        <v>3049</v>
      </c>
      <c r="E249" s="35">
        <f t="shared" si="123"/>
        <v>9.3000000000000007</v>
      </c>
      <c r="F249" s="36"/>
      <c r="G249" s="37">
        <f t="shared" si="124"/>
        <v>52.36</v>
      </c>
      <c r="H249" s="38">
        <f t="shared" si="125"/>
        <v>52.36</v>
      </c>
      <c r="I249" s="39">
        <v>52.36</v>
      </c>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t="str">
        <f t="shared" si="129"/>
        <v>3-102</v>
      </c>
      <c r="AY249" s="42">
        <f t="shared" si="130"/>
        <v>9.3000000000000007</v>
      </c>
      <c r="AZ249" s="35">
        <f t="shared" si="131"/>
        <v>52.36</v>
      </c>
      <c r="BA249" s="35">
        <f t="shared" si="132"/>
        <v>52.36</v>
      </c>
      <c r="BB249" s="35">
        <f t="shared" si="133"/>
        <v>52.36</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t="s">
        <v>3302</v>
      </c>
      <c r="D250" s="2207" t="s">
        <v>3049</v>
      </c>
      <c r="E250" s="35">
        <f t="shared" si="123"/>
        <v>9.43</v>
      </c>
      <c r="F250" s="36"/>
      <c r="G250" s="37">
        <f t="shared" si="124"/>
        <v>53.11</v>
      </c>
      <c r="H250" s="38">
        <f t="shared" si="125"/>
        <v>53.11</v>
      </c>
      <c r="I250" s="39">
        <v>53.11</v>
      </c>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t="str">
        <f t="shared" si="129"/>
        <v>3-105</v>
      </c>
      <c r="AY250" s="42">
        <f t="shared" si="130"/>
        <v>9.43</v>
      </c>
      <c r="AZ250" s="35">
        <f t="shared" si="131"/>
        <v>53.11</v>
      </c>
      <c r="BA250" s="35">
        <f t="shared" si="132"/>
        <v>53.11</v>
      </c>
      <c r="BB250" s="35">
        <f t="shared" si="133"/>
        <v>53.11</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t="s">
        <v>3303</v>
      </c>
      <c r="D251" s="2207" t="s">
        <v>3049</v>
      </c>
      <c r="E251" s="35">
        <f t="shared" si="123"/>
        <v>17.47</v>
      </c>
      <c r="F251" s="36"/>
      <c r="G251" s="37">
        <f t="shared" si="124"/>
        <v>98.39</v>
      </c>
      <c r="H251" s="38">
        <f t="shared" si="125"/>
        <v>98.39</v>
      </c>
      <c r="I251" s="39">
        <v>98.39</v>
      </c>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t="str">
        <f t="shared" si="129"/>
        <v>4-2</v>
      </c>
      <c r="AY251" s="42">
        <f t="shared" si="130"/>
        <v>17.47</v>
      </c>
      <c r="AZ251" s="35">
        <f t="shared" si="131"/>
        <v>98.39</v>
      </c>
      <c r="BA251" s="35">
        <f t="shared" si="132"/>
        <v>98.39</v>
      </c>
      <c r="BB251" s="35">
        <f t="shared" si="133"/>
        <v>98.39</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t="s">
        <v>3304</v>
      </c>
      <c r="D252" s="2207" t="s">
        <v>3049</v>
      </c>
      <c r="E252" s="35">
        <f t="shared" si="123"/>
        <v>19.32</v>
      </c>
      <c r="F252" s="36"/>
      <c r="G252" s="37">
        <f t="shared" si="124"/>
        <v>108.8</v>
      </c>
      <c r="H252" s="38">
        <f t="shared" si="125"/>
        <v>108.8</v>
      </c>
      <c r="I252" s="39">
        <v>108.8</v>
      </c>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t="str">
        <f t="shared" si="129"/>
        <v>4-3</v>
      </c>
      <c r="AY252" s="42">
        <f t="shared" si="130"/>
        <v>19.32</v>
      </c>
      <c r="AZ252" s="35">
        <f t="shared" si="131"/>
        <v>108.8</v>
      </c>
      <c r="BA252" s="35">
        <f t="shared" si="132"/>
        <v>108.8</v>
      </c>
      <c r="BB252" s="35">
        <f t="shared" si="133"/>
        <v>108.8</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t="s">
        <v>3305</v>
      </c>
      <c r="D253" s="2207" t="s">
        <v>3049</v>
      </c>
      <c r="E253" s="35">
        <f t="shared" si="123"/>
        <v>19.059999999999999</v>
      </c>
      <c r="F253" s="36"/>
      <c r="G253" s="37">
        <f t="shared" si="124"/>
        <v>107.36</v>
      </c>
      <c r="H253" s="38">
        <f t="shared" si="125"/>
        <v>107.36</v>
      </c>
      <c r="I253" s="39">
        <v>107.36</v>
      </c>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t="str">
        <f t="shared" si="129"/>
        <v>4-4</v>
      </c>
      <c r="AY253" s="42">
        <f t="shared" si="130"/>
        <v>19.059999999999999</v>
      </c>
      <c r="AZ253" s="35">
        <f t="shared" si="131"/>
        <v>107.36</v>
      </c>
      <c r="BA253" s="35">
        <f t="shared" si="132"/>
        <v>107.36</v>
      </c>
      <c r="BB253" s="35">
        <f t="shared" si="133"/>
        <v>107.36</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t="s">
        <v>3306</v>
      </c>
      <c r="D254" s="2207" t="s">
        <v>3049</v>
      </c>
      <c r="E254" s="35">
        <f t="shared" si="123"/>
        <v>19.45</v>
      </c>
      <c r="F254" s="36"/>
      <c r="G254" s="37">
        <f t="shared" si="124"/>
        <v>109.55</v>
      </c>
      <c r="H254" s="38">
        <f t="shared" si="125"/>
        <v>109.55</v>
      </c>
      <c r="I254" s="39">
        <v>109.55</v>
      </c>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t="str">
        <f t="shared" si="129"/>
        <v>4-5</v>
      </c>
      <c r="AY254" s="42">
        <f t="shared" si="130"/>
        <v>19.45</v>
      </c>
      <c r="AZ254" s="35">
        <f t="shared" si="131"/>
        <v>109.55</v>
      </c>
      <c r="BA254" s="35">
        <f t="shared" si="132"/>
        <v>109.55</v>
      </c>
      <c r="BB254" s="35">
        <f t="shared" si="133"/>
        <v>109.55</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t="s">
        <v>3307</v>
      </c>
      <c r="D255" s="2207" t="s">
        <v>3049</v>
      </c>
      <c r="E255" s="35">
        <f t="shared" si="123"/>
        <v>19.45</v>
      </c>
      <c r="F255" s="36"/>
      <c r="G255" s="37">
        <f t="shared" si="124"/>
        <v>109.55</v>
      </c>
      <c r="H255" s="38">
        <f t="shared" si="125"/>
        <v>109.55</v>
      </c>
      <c r="I255" s="39">
        <v>109.55</v>
      </c>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t="str">
        <f t="shared" si="129"/>
        <v>4-10</v>
      </c>
      <c r="AY255" s="42">
        <f t="shared" si="130"/>
        <v>19.45</v>
      </c>
      <c r="AZ255" s="35">
        <f t="shared" si="131"/>
        <v>109.55</v>
      </c>
      <c r="BA255" s="35">
        <f t="shared" si="132"/>
        <v>109.55</v>
      </c>
      <c r="BB255" s="35">
        <f t="shared" si="133"/>
        <v>109.55</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t="s">
        <v>3308</v>
      </c>
      <c r="D256" s="2207" t="s">
        <v>3049</v>
      </c>
      <c r="E256" s="35">
        <f t="shared" si="123"/>
        <v>26.26</v>
      </c>
      <c r="F256" s="36"/>
      <c r="G256" s="37">
        <f t="shared" si="124"/>
        <v>147.88999999999999</v>
      </c>
      <c r="H256" s="38">
        <f t="shared" si="125"/>
        <v>147.88999999999999</v>
      </c>
      <c r="I256" s="39">
        <v>147.88999999999999</v>
      </c>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t="str">
        <f t="shared" si="129"/>
        <v>4-13</v>
      </c>
      <c r="AY256" s="42">
        <f t="shared" si="130"/>
        <v>26.26</v>
      </c>
      <c r="AZ256" s="35">
        <f t="shared" si="131"/>
        <v>147.88999999999999</v>
      </c>
      <c r="BA256" s="35">
        <f t="shared" si="132"/>
        <v>147.88999999999999</v>
      </c>
      <c r="BB256" s="35">
        <f t="shared" si="133"/>
        <v>147.88999999999999</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t="s">
        <v>3309</v>
      </c>
      <c r="D257" s="2207" t="s">
        <v>3049</v>
      </c>
      <c r="E257" s="35">
        <f t="shared" si="123"/>
        <v>26.36</v>
      </c>
      <c r="F257" s="36"/>
      <c r="G257" s="37">
        <f t="shared" si="124"/>
        <v>148.49</v>
      </c>
      <c r="H257" s="38">
        <f t="shared" si="125"/>
        <v>148.49</v>
      </c>
      <c r="I257" s="39">
        <v>148.49</v>
      </c>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t="str">
        <f t="shared" si="129"/>
        <v>4-16</v>
      </c>
      <c r="AY257" s="42">
        <f t="shared" si="130"/>
        <v>26.36</v>
      </c>
      <c r="AZ257" s="35">
        <f t="shared" si="131"/>
        <v>148.49</v>
      </c>
      <c r="BA257" s="35">
        <f t="shared" si="132"/>
        <v>148.49</v>
      </c>
      <c r="BB257" s="35">
        <f t="shared" si="133"/>
        <v>148.49</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t="s">
        <v>3310</v>
      </c>
      <c r="D258" s="2207" t="s">
        <v>3049</v>
      </c>
      <c r="E258" s="35">
        <f t="shared" si="123"/>
        <v>19.03</v>
      </c>
      <c r="F258" s="36"/>
      <c r="G258" s="37">
        <f t="shared" si="124"/>
        <v>107.2</v>
      </c>
      <c r="H258" s="38">
        <f t="shared" si="125"/>
        <v>107.2</v>
      </c>
      <c r="I258" s="39">
        <v>107.2</v>
      </c>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t="str">
        <f t="shared" si="129"/>
        <v>4-17</v>
      </c>
      <c r="AY258" s="42">
        <f t="shared" si="130"/>
        <v>19.03</v>
      </c>
      <c r="AZ258" s="35">
        <f t="shared" si="131"/>
        <v>107.2</v>
      </c>
      <c r="BA258" s="35">
        <f t="shared" si="132"/>
        <v>107.2</v>
      </c>
      <c r="BB258" s="35">
        <f t="shared" si="133"/>
        <v>107.2</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t="s">
        <v>3311</v>
      </c>
      <c r="D259" s="2207" t="s">
        <v>3049</v>
      </c>
      <c r="E259" s="35">
        <f t="shared" si="123"/>
        <v>24.92</v>
      </c>
      <c r="F259" s="36"/>
      <c r="G259" s="37">
        <f t="shared" si="124"/>
        <v>140.35</v>
      </c>
      <c r="H259" s="38">
        <f t="shared" si="125"/>
        <v>140.35</v>
      </c>
      <c r="I259" s="39">
        <v>140.35</v>
      </c>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t="str">
        <f t="shared" si="129"/>
        <v>4-18</v>
      </c>
      <c r="AY259" s="42">
        <f t="shared" si="130"/>
        <v>24.92</v>
      </c>
      <c r="AZ259" s="35">
        <f t="shared" si="131"/>
        <v>140.35</v>
      </c>
      <c r="BA259" s="35">
        <f t="shared" si="132"/>
        <v>140.35</v>
      </c>
      <c r="BB259" s="35">
        <f t="shared" si="133"/>
        <v>140.35</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t="s">
        <v>3312</v>
      </c>
      <c r="D260" s="2207" t="s">
        <v>3049</v>
      </c>
      <c r="E260" s="35">
        <f t="shared" si="123"/>
        <v>43.45</v>
      </c>
      <c r="F260" s="36"/>
      <c r="G260" s="37">
        <f t="shared" si="124"/>
        <v>244.72</v>
      </c>
      <c r="H260" s="38">
        <f t="shared" si="125"/>
        <v>244.72</v>
      </c>
      <c r="I260" s="39">
        <v>244.72</v>
      </c>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t="str">
        <f t="shared" si="129"/>
        <v>4-19</v>
      </c>
      <c r="AY260" s="42">
        <f t="shared" si="130"/>
        <v>43.45</v>
      </c>
      <c r="AZ260" s="35">
        <f t="shared" si="131"/>
        <v>244.72</v>
      </c>
      <c r="BA260" s="35">
        <f t="shared" si="132"/>
        <v>244.72</v>
      </c>
      <c r="BB260" s="35">
        <f t="shared" si="133"/>
        <v>244.72</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t="s">
        <v>3313</v>
      </c>
      <c r="D261" s="2207" t="s">
        <v>3049</v>
      </c>
      <c r="E261" s="35">
        <f t="shared" si="123"/>
        <v>35.42</v>
      </c>
      <c r="F261" s="36"/>
      <c r="G261" s="37">
        <f t="shared" si="124"/>
        <v>199.52</v>
      </c>
      <c r="H261" s="38">
        <f t="shared" si="125"/>
        <v>199.52</v>
      </c>
      <c r="I261" s="39">
        <v>199.52</v>
      </c>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t="str">
        <f t="shared" si="129"/>
        <v>4-20</v>
      </c>
      <c r="AY261" s="42">
        <f t="shared" si="130"/>
        <v>35.42</v>
      </c>
      <c r="AZ261" s="35">
        <f t="shared" si="131"/>
        <v>199.52</v>
      </c>
      <c r="BA261" s="35">
        <f t="shared" si="132"/>
        <v>199.52</v>
      </c>
      <c r="BB261" s="35">
        <f t="shared" si="133"/>
        <v>199.52</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8" t="s">
        <v>0</v>
      </c>
      <c r="B1" s="3098" t="s">
        <v>4</v>
      </c>
      <c r="C1" s="3098" t="s">
        <v>5</v>
      </c>
      <c r="D1" s="3099" t="s">
        <v>53</v>
      </c>
      <c r="E1" s="3099" t="s">
        <v>54</v>
      </c>
      <c r="F1" s="3099"/>
      <c r="G1" s="3099"/>
      <c r="H1" s="3099"/>
      <c r="I1" s="3099"/>
      <c r="J1" s="3099"/>
      <c r="K1" s="3099"/>
      <c r="L1" s="3099"/>
      <c r="M1" s="3099"/>
    </row>
    <row r="2" spans="1:13" ht="27" customHeight="1">
      <c r="A2" s="3098"/>
      <c r="B2" s="3098"/>
      <c r="C2" s="3098"/>
      <c r="D2" s="3099"/>
      <c r="E2" s="3099" t="s">
        <v>37</v>
      </c>
      <c r="F2" s="3099" t="s">
        <v>38</v>
      </c>
      <c r="G2" s="3099"/>
      <c r="H2" s="3099"/>
      <c r="I2" s="3099"/>
      <c r="J2" s="3099" t="s">
        <v>39</v>
      </c>
      <c r="K2" s="3099"/>
      <c r="L2" s="3099"/>
      <c r="M2" s="3099"/>
    </row>
    <row r="3" spans="1:13" ht="28.5">
      <c r="A3" s="3098"/>
      <c r="B3" s="3098"/>
      <c r="C3" s="3098"/>
      <c r="D3" s="3099"/>
      <c r="E3" s="30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9" t="s">
        <v>55</v>
      </c>
      <c r="B9" s="3099"/>
      <c r="C9" s="30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1934</v>
      </c>
      <c r="B1" s="1392"/>
      <c r="C1" s="1392"/>
      <c r="D1" s="1392"/>
      <c r="E1" s="1392"/>
      <c r="F1" s="1392"/>
      <c r="G1" s="1392"/>
      <c r="H1" s="1392"/>
      <c r="I1" s="1392"/>
      <c r="J1" s="1392"/>
      <c r="K1" s="1392"/>
      <c r="L1" s="1392"/>
      <c r="M1" s="1392"/>
      <c r="N1" s="1392"/>
      <c r="O1" s="1392"/>
      <c r="P1" s="1392"/>
    </row>
    <row r="2" spans="1:16" ht="15">
      <c r="A2" s="3109" t="s">
        <v>1935</v>
      </c>
      <c r="B2" s="3109"/>
      <c r="C2" s="3109"/>
      <c r="D2" s="969" t="s">
        <v>1911</v>
      </c>
      <c r="E2" s="2221" t="s">
        <v>1912</v>
      </c>
      <c r="F2" s="1392"/>
      <c r="G2" s="2222"/>
      <c r="H2" s="2223"/>
      <c r="I2" s="2224" t="s">
        <v>1936</v>
      </c>
      <c r="J2" s="1392"/>
      <c r="K2" s="1392"/>
      <c r="L2" s="1392"/>
      <c r="M2" s="1392"/>
      <c r="N2" s="1427"/>
      <c r="O2" s="1392"/>
      <c r="P2" s="1392"/>
    </row>
    <row r="3" spans="1:16" ht="15.75" thickBot="1">
      <c r="A3" s="3110" t="s">
        <v>1909</v>
      </c>
      <c r="B3" s="3110"/>
      <c r="C3" s="3110"/>
      <c r="D3" s="46">
        <f>'数据-基础表'!AY6</f>
        <v>3270.08</v>
      </c>
      <c r="E3" s="46">
        <f>'数据-基础表'!AZ5</f>
        <v>18418.460000000006</v>
      </c>
      <c r="F3" s="1392"/>
      <c r="G3" s="1399"/>
      <c r="H3" s="1247" t="s">
        <v>1910</v>
      </c>
      <c r="I3" s="55">
        <f>ROUND('数据-基础表'!B3/'数据-基础表'!A3,2)</f>
        <v>5.63</v>
      </c>
      <c r="J3" s="1392"/>
      <c r="K3" s="1392"/>
      <c r="L3" s="1392"/>
      <c r="M3" s="1392"/>
      <c r="N3" s="1427"/>
      <c r="O3" s="1392"/>
      <c r="P3" s="1392"/>
    </row>
    <row r="4" spans="1:16" ht="15">
      <c r="A4" s="3111"/>
      <c r="B4" s="3112"/>
      <c r="C4" s="3113"/>
      <c r="D4" s="2225" t="s">
        <v>1911</v>
      </c>
      <c r="E4" s="2226" t="s">
        <v>1912</v>
      </c>
      <c r="F4" s="1392"/>
      <c r="G4" s="2227" t="s">
        <v>1937</v>
      </c>
      <c r="H4" s="1247" t="s">
        <v>1917</v>
      </c>
      <c r="I4" s="55">
        <f>ROUND(SUMIF('数据-基础表'!I9:AS9,"地上",'数据-基础表'!I5:AS5)/'数据-基础表'!A3,2)</f>
        <v>5.63</v>
      </c>
      <c r="J4" s="1392"/>
      <c r="K4" s="1392"/>
      <c r="L4" s="1392"/>
      <c r="M4" s="1392"/>
      <c r="N4" s="1427"/>
      <c r="O4" s="1392"/>
      <c r="P4" s="1392"/>
    </row>
    <row r="5" spans="1:16">
      <c r="A5" s="47" t="s">
        <v>1913</v>
      </c>
      <c r="B5" s="3114" t="s">
        <v>1914</v>
      </c>
      <c r="C5" s="3114"/>
      <c r="D5" s="48">
        <f>ROUND($D$3*E5/$E$3,2)</f>
        <v>0</v>
      </c>
      <c r="E5" s="49">
        <f>SUMIF('数据-基础表'!$11:$11,"住宅",'数据-基础表'!$5:$5)</f>
        <v>0</v>
      </c>
      <c r="F5" s="1392"/>
      <c r="G5" s="1399"/>
      <c r="H5" s="1247" t="s">
        <v>1910</v>
      </c>
      <c r="I5" s="55">
        <f>ROUND(E31/D31,2)</f>
        <v>5.63</v>
      </c>
      <c r="J5" s="1392"/>
      <c r="K5" s="1392"/>
      <c r="L5" s="1392"/>
      <c r="M5" s="1392"/>
      <c r="N5" s="1392"/>
      <c r="O5" s="1392"/>
      <c r="P5" s="1392"/>
    </row>
    <row r="6" spans="1:16" ht="15" thickBot="1">
      <c r="A6" s="2228"/>
      <c r="B6" s="3114" t="s">
        <v>1915</v>
      </c>
      <c r="C6" s="3114"/>
      <c r="D6" s="48">
        <f>ROUND($D$3*E6/$E$3,2)</f>
        <v>3270.08</v>
      </c>
      <c r="E6" s="49">
        <f>E3-E5</f>
        <v>18418.460000000006</v>
      </c>
      <c r="F6" s="1392"/>
      <c r="G6" s="2229" t="s">
        <v>1916</v>
      </c>
      <c r="H6" s="1399" t="s">
        <v>1917</v>
      </c>
      <c r="I6" s="941">
        <f>ROUND(F31/D31,2)</f>
        <v>5.63</v>
      </c>
      <c r="J6" s="1392"/>
      <c r="K6" s="1392"/>
      <c r="L6" s="1392"/>
      <c r="M6" s="1392"/>
      <c r="N6" s="1392"/>
      <c r="O6" s="1392"/>
      <c r="P6" s="1392"/>
    </row>
    <row r="7" spans="1:16" ht="15">
      <c r="A7" s="3106"/>
      <c r="B7" s="3107"/>
      <c r="C7" s="3108"/>
      <c r="D7" s="2225" t="s">
        <v>1911</v>
      </c>
      <c r="E7" s="2230" t="s">
        <v>1918</v>
      </c>
      <c r="F7" s="1392"/>
      <c r="G7" s="2222" t="s">
        <v>1919</v>
      </c>
      <c r="H7" s="64"/>
      <c r="I7" s="420"/>
      <c r="J7" s="1392"/>
      <c r="K7" s="1392"/>
      <c r="L7" s="1392"/>
      <c r="M7" s="1392"/>
      <c r="N7" s="1392"/>
      <c r="O7" s="1392"/>
      <c r="P7" s="1392"/>
    </row>
    <row r="8" spans="1:16">
      <c r="A8" s="47" t="s">
        <v>1920</v>
      </c>
      <c r="B8" s="50" t="s">
        <v>1921</v>
      </c>
      <c r="C8" s="48" t="s">
        <v>1922</v>
      </c>
      <c r="D8" s="48">
        <f t="shared" ref="D8:D15" si="0">ROUND($D$3*E8/$E$3,2)</f>
        <v>3270.08</v>
      </c>
      <c r="E8" s="51">
        <f>SUMIF('数据-基础表'!BB10:BK10,"地上",'数据-基础表'!BB5:BK5)</f>
        <v>18418.460000000006</v>
      </c>
      <c r="F8" s="1392"/>
      <c r="G8" s="2231"/>
      <c r="H8" s="2231"/>
      <c r="I8" s="1392"/>
      <c r="J8" s="1392"/>
      <c r="K8" s="1392"/>
      <c r="L8" s="1392"/>
      <c r="M8" s="1392"/>
      <c r="N8" s="1392"/>
      <c r="O8" s="1392"/>
      <c r="P8" s="1392"/>
    </row>
    <row r="9" spans="1:16">
      <c r="A9" s="2232"/>
      <c r="B9" s="2233"/>
      <c r="C9" s="48" t="s">
        <v>1923</v>
      </c>
      <c r="D9" s="48">
        <f t="shared" si="0"/>
        <v>0</v>
      </c>
      <c r="E9" s="52">
        <v>0</v>
      </c>
      <c r="F9" s="1392"/>
      <c r="G9" s="2231"/>
      <c r="H9" s="2231"/>
      <c r="I9" s="1392"/>
      <c r="J9" s="1392"/>
      <c r="K9" s="1392"/>
      <c r="L9" s="1392"/>
      <c r="M9" s="1392"/>
      <c r="N9" s="1392"/>
      <c r="O9" s="1392"/>
      <c r="P9" s="1392"/>
    </row>
    <row r="10" spans="1:16">
      <c r="A10" s="2232"/>
      <c r="B10" s="2233"/>
      <c r="C10" s="48" t="s">
        <v>1932</v>
      </c>
      <c r="D10" s="48">
        <f t="shared" si="0"/>
        <v>0</v>
      </c>
      <c r="E10" s="51">
        <f>SUMPRODUCT(('数据-基础表'!BB10:BK10="地下")*('数据-基础表'!BB11:BK11="商业")*('数据-基础表'!BB5:BK5))</f>
        <v>0</v>
      </c>
      <c r="F10" s="1392"/>
      <c r="G10" s="2231"/>
      <c r="H10" s="2231"/>
      <c r="I10" s="1392"/>
      <c r="J10" s="1392"/>
      <c r="K10" s="1392"/>
      <c r="L10" s="1392"/>
      <c r="M10" s="1392"/>
      <c r="N10" s="1392"/>
      <c r="O10" s="1392"/>
      <c r="P10" s="1392"/>
    </row>
    <row r="11" spans="1:16">
      <c r="A11" s="2232"/>
      <c r="B11" s="2233"/>
      <c r="C11" s="48" t="s">
        <v>1924</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c r="A12" s="2232"/>
      <c r="B12" s="2233"/>
      <c r="C12" s="48" t="s">
        <v>1925</v>
      </c>
      <c r="D12" s="48">
        <f t="shared" si="0"/>
        <v>0</v>
      </c>
      <c r="E12" s="51">
        <f>SUMPRODUCT(('数据-基础表'!BB10:BK10="地下")*('数据-基础表'!BB11:BK11="仓储")*('数据-基础表'!BB5:BK5))</f>
        <v>0</v>
      </c>
      <c r="F12" s="1392"/>
      <c r="G12" s="2231"/>
      <c r="H12" s="2231"/>
      <c r="I12" s="1392"/>
      <c r="J12" s="1392"/>
      <c r="K12" s="1392"/>
      <c r="L12" s="1392"/>
      <c r="M12" s="1392"/>
      <c r="N12" s="1392"/>
      <c r="O12" s="1392"/>
      <c r="P12" s="1392"/>
    </row>
    <row r="13" spans="1:16">
      <c r="A13" s="2232"/>
      <c r="B13" s="2233"/>
      <c r="C13" s="48" t="s">
        <v>1926</v>
      </c>
      <c r="D13" s="48">
        <f t="shared" si="0"/>
        <v>0</v>
      </c>
      <c r="E13" s="51">
        <f>SUMPRODUCT(('数据-基础表'!BB10:BK10="地下")*('数据-基础表'!BB11:BK11="车库")*('数据-基础表'!BB5:BK5))</f>
        <v>0</v>
      </c>
      <c r="F13" s="1392"/>
      <c r="G13" s="2231"/>
      <c r="H13" s="2231"/>
      <c r="I13" s="1392"/>
      <c r="J13" s="1392"/>
      <c r="K13" s="1392"/>
      <c r="L13" s="1392"/>
      <c r="M13" s="1392"/>
      <c r="N13" s="1392"/>
      <c r="O13" s="1392"/>
      <c r="P13" s="1392"/>
    </row>
    <row r="14" spans="1:16">
      <c r="A14" s="2232"/>
      <c r="B14" s="2233"/>
      <c r="C14" s="48" t="s">
        <v>1938</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1933</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75" thickBot="1">
      <c r="A16" s="2228"/>
      <c r="B16" s="2233"/>
      <c r="C16" s="50" t="s">
        <v>1927</v>
      </c>
      <c r="D16" s="50">
        <f>SUM(D8:D15)</f>
        <v>3270.08</v>
      </c>
      <c r="E16" s="53">
        <f>SUM(E8:E15)</f>
        <v>18418.460000000006</v>
      </c>
      <c r="F16" s="1392"/>
      <c r="G16" s="2231"/>
      <c r="H16" s="2234" t="s">
        <v>1939</v>
      </c>
      <c r="I16" s="2235"/>
      <c r="J16" s="1392"/>
      <c r="K16" s="3103" t="s">
        <v>1939</v>
      </c>
      <c r="L16" s="3104"/>
      <c r="M16" s="3104"/>
      <c r="N16" s="3104"/>
      <c r="O16" s="3104"/>
      <c r="P16" s="3105"/>
    </row>
    <row r="17" spans="1:19" ht="15">
      <c r="A17" s="2236" t="s">
        <v>1940</v>
      </c>
      <c r="B17" s="2237" t="s">
        <v>1941</v>
      </c>
      <c r="C17" s="2238" t="s">
        <v>1942</v>
      </c>
      <c r="D17" s="2239" t="s">
        <v>1930</v>
      </c>
      <c r="E17" s="2240" t="s">
        <v>1931</v>
      </c>
      <c r="F17" s="2241"/>
      <c r="G17" s="2242"/>
      <c r="H17" s="2243" t="s">
        <v>1943</v>
      </c>
      <c r="I17" s="2244" t="s">
        <v>1928</v>
      </c>
      <c r="J17" s="1392"/>
      <c r="K17" s="3100" t="s">
        <v>1944</v>
      </c>
      <c r="L17" s="3101"/>
      <c r="M17" s="3102"/>
      <c r="N17" s="3100" t="s">
        <v>1945</v>
      </c>
      <c r="O17" s="3101"/>
      <c r="P17" s="3102"/>
      <c r="R17" s="2222" t="s">
        <v>1946</v>
      </c>
      <c r="S17" s="64"/>
    </row>
    <row r="18" spans="1:19" ht="15">
      <c r="A18" s="2232"/>
      <c r="B18" s="2245"/>
      <c r="C18" s="2246"/>
      <c r="D18" s="2247"/>
      <c r="E18" s="2248" t="s">
        <v>1947</v>
      </c>
      <c r="F18" s="2249" t="s">
        <v>1948</v>
      </c>
      <c r="G18" s="2250" t="s">
        <v>1949</v>
      </c>
      <c r="H18" s="1262" t="s">
        <v>1950</v>
      </c>
      <c r="I18" s="2251" t="s">
        <v>1951</v>
      </c>
      <c r="J18" s="1392"/>
      <c r="K18" s="1262" t="s">
        <v>1952</v>
      </c>
      <c r="L18" s="2252" t="s">
        <v>1953</v>
      </c>
      <c r="M18" s="1048" t="s">
        <v>1954</v>
      </c>
      <c r="N18" s="1262" t="s">
        <v>1952</v>
      </c>
      <c r="O18" s="2252" t="s">
        <v>1953</v>
      </c>
      <c r="P18" s="1048" t="s">
        <v>1954</v>
      </c>
      <c r="R18" s="1247" t="s">
        <v>1955</v>
      </c>
      <c r="S18" s="1247" t="s">
        <v>1956</v>
      </c>
    </row>
    <row r="19" spans="1:19">
      <c r="A19" s="2253"/>
      <c r="B19" s="50" t="s">
        <v>1929</v>
      </c>
      <c r="C19" s="2954" t="s">
        <v>3733</v>
      </c>
      <c r="D19" s="48">
        <f>ROUND($D$3*E19/$E$3,2)</f>
        <v>25.01</v>
      </c>
      <c r="E19" s="56">
        <f t="shared" ref="E19:E26" si="1">SUM(F19:G19)</f>
        <v>140.88999999999999</v>
      </c>
      <c r="F19" s="57">
        <f>清单!G3</f>
        <v>140.88999999999999</v>
      </c>
      <c r="G19" s="58"/>
      <c r="H19" s="722">
        <f>ROUND($D$3*I19/$E$3,2)</f>
        <v>0</v>
      </c>
      <c r="I19" s="51">
        <f t="shared" ref="I19:I26" si="2">IF($I$17="自定义",P19,M19)</f>
        <v>0</v>
      </c>
      <c r="J19" s="1392"/>
      <c r="K19" s="1391">
        <f t="shared" ref="K19:K26" si="3">ROUND(E$28*E19/E$27,2)</f>
        <v>0</v>
      </c>
      <c r="L19" s="1247">
        <f t="shared" ref="L19:L26" si="4">ROUND(IF(COUNTIF(C19,"*住宅*")&gt;0,E$29*E19/E$32,0),2)</f>
        <v>0</v>
      </c>
      <c r="M19" s="1403">
        <f>K19+L19</f>
        <v>0</v>
      </c>
      <c r="N19" s="2255"/>
      <c r="O19" s="2256"/>
      <c r="P19" s="1403">
        <f>N19+O19</f>
        <v>0</v>
      </c>
      <c r="R19" s="1247">
        <f t="shared" ref="R19:S26" si="5">D19+H19</f>
        <v>25.01</v>
      </c>
      <c r="S19" s="1248">
        <f t="shared" si="5"/>
        <v>140.88999999999999</v>
      </c>
    </row>
    <row r="20" spans="1:19">
      <c r="A20" s="2257"/>
      <c r="B20" s="50" t="s">
        <v>1957</v>
      </c>
      <c r="C20" s="2954" t="s">
        <v>3828</v>
      </c>
      <c r="D20" s="48">
        <f t="shared" ref="D20:D26" si="6">ROUND($D$3*E20/$E$3,2)</f>
        <v>3245.07</v>
      </c>
      <c r="E20" s="56">
        <f t="shared" si="1"/>
        <v>18277.570000000007</v>
      </c>
      <c r="F20" s="57">
        <f>'数据-基础表'!B3-'数据-汇总表'!F19</f>
        <v>18277.570000000007</v>
      </c>
      <c r="G20" s="58"/>
      <c r="H20" s="722">
        <f t="shared" ref="H20:H26" si="7">ROUND($D$3*I20/$E$3,2)</f>
        <v>0</v>
      </c>
      <c r="I20" s="51">
        <f t="shared" si="2"/>
        <v>0</v>
      </c>
      <c r="J20" s="1392"/>
      <c r="K20" s="1391">
        <f t="shared" si="3"/>
        <v>0</v>
      </c>
      <c r="L20" s="1247">
        <f t="shared" si="4"/>
        <v>0</v>
      </c>
      <c r="M20" s="1403">
        <f t="shared" ref="M20:M26" si="8">K20+L20</f>
        <v>0</v>
      </c>
      <c r="N20" s="2255"/>
      <c r="O20" s="2256"/>
      <c r="P20" s="1403">
        <f t="shared" ref="P20:P26" si="9">N20+O20</f>
        <v>0</v>
      </c>
      <c r="R20" s="1247">
        <f t="shared" si="5"/>
        <v>3245.07</v>
      </c>
      <c r="S20" s="1248">
        <f t="shared" si="5"/>
        <v>18277.570000000007</v>
      </c>
    </row>
    <row r="21" spans="1:19">
      <c r="A21" s="2257"/>
      <c r="B21" s="50" t="s">
        <v>1957</v>
      </c>
      <c r="C21" s="2254"/>
      <c r="D21" s="48">
        <f t="shared" si="6"/>
        <v>0</v>
      </c>
      <c r="E21" s="56">
        <f t="shared" si="1"/>
        <v>0</v>
      </c>
      <c r="F21" s="57"/>
      <c r="G21" s="58"/>
      <c r="H21" s="722">
        <f t="shared" si="7"/>
        <v>0</v>
      </c>
      <c r="I21" s="51">
        <f t="shared" si="2"/>
        <v>0</v>
      </c>
      <c r="J21" s="1392"/>
      <c r="K21" s="1391">
        <f t="shared" si="3"/>
        <v>0</v>
      </c>
      <c r="L21" s="1247">
        <f t="shared" si="4"/>
        <v>0</v>
      </c>
      <c r="M21" s="1403">
        <f t="shared" si="8"/>
        <v>0</v>
      </c>
      <c r="N21" s="2255"/>
      <c r="O21" s="2256"/>
      <c r="P21" s="1403">
        <f t="shared" si="9"/>
        <v>0</v>
      </c>
      <c r="R21" s="1247">
        <f t="shared" si="5"/>
        <v>0</v>
      </c>
      <c r="S21" s="1248">
        <f t="shared" si="5"/>
        <v>0</v>
      </c>
    </row>
    <row r="22" spans="1:19">
      <c r="A22" s="2257"/>
      <c r="B22" s="50" t="s">
        <v>1957</v>
      </c>
      <c r="C22" s="60"/>
      <c r="D22" s="48">
        <f t="shared" si="6"/>
        <v>0</v>
      </c>
      <c r="E22" s="56">
        <f t="shared" si="1"/>
        <v>0</v>
      </c>
      <c r="F22" s="61"/>
      <c r="G22" s="62"/>
      <c r="H22" s="722">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c r="A23" s="2257"/>
      <c r="B23" s="50" t="s">
        <v>1957</v>
      </c>
      <c r="C23" s="60"/>
      <c r="D23" s="48">
        <f>ROUND($D$3*E23/$E$3,2)</f>
        <v>0</v>
      </c>
      <c r="E23" s="56">
        <f>SUM(F23:G23)</f>
        <v>0</v>
      </c>
      <c r="F23" s="61"/>
      <c r="G23" s="62"/>
      <c r="H23" s="722">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c r="A24" s="2257"/>
      <c r="B24" s="50" t="s">
        <v>1957</v>
      </c>
      <c r="C24" s="60"/>
      <c r="D24" s="48">
        <f>ROUND($D$3*E24/$E$3,2)</f>
        <v>0</v>
      </c>
      <c r="E24" s="56">
        <f>SUM(F24:G24)</f>
        <v>0</v>
      </c>
      <c r="F24" s="61"/>
      <c r="G24" s="62"/>
      <c r="H24" s="722">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c r="A25" s="2257"/>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c r="A26" s="2257"/>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5.75" thickBot="1">
      <c r="A27" s="2257"/>
      <c r="B27" s="48"/>
      <c r="C27" s="2260" t="s">
        <v>1958</v>
      </c>
      <c r="D27" s="1393">
        <f>SUM(D19:D26)</f>
        <v>3270.0800000000004</v>
      </c>
      <c r="E27" s="1394">
        <f>IF(SUM(E19:E26)='数据-基础表'!BA5,SUM(E19:E26),IF(F27="地上面积有误","面积有误","地下面积有误"))</f>
        <v>18418.460000000006</v>
      </c>
      <c r="F27" s="1393">
        <f>IF(SUM(F19:F26)=E8,SUM(F19:F26),"地上面积有误")</f>
        <v>18418.460000000006</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3270.0800000000004</v>
      </c>
      <c r="S27" s="1247">
        <f>IF(SUM(S19:S26)=$E$3,SUM(S19:S26),SUM(S19:S26)&amp;"误差"&amp;ROUND(SUM(S19:S26)-E3,2))</f>
        <v>18418.460000000006</v>
      </c>
    </row>
    <row r="28" spans="1:19">
      <c r="A28" s="2257"/>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1959</v>
      </c>
      <c r="C29" s="2261"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9" t="s">
        <v>1962</v>
      </c>
      <c r="D31" s="728">
        <f>D27+D30</f>
        <v>3270.0800000000004</v>
      </c>
      <c r="E31" s="728">
        <f>E27+E30</f>
        <v>18418.460000000006</v>
      </c>
      <c r="F31" s="729">
        <f>F27+F30</f>
        <v>18418.460000000006</v>
      </c>
      <c r="G31" s="730">
        <f>G27+G30</f>
        <v>0</v>
      </c>
      <c r="H31" s="1392"/>
      <c r="I31" s="1392"/>
      <c r="J31" s="1392"/>
      <c r="K31" s="1392"/>
      <c r="L31" s="1392"/>
      <c r="M31" s="1392"/>
      <c r="N31" s="1392"/>
      <c r="O31" s="1392"/>
      <c r="P31" s="1392"/>
    </row>
    <row r="32" spans="1:19">
      <c r="A32" s="2227"/>
      <c r="B32" s="2227" t="s">
        <v>1963</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34" sqref="N34"/>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1964</v>
      </c>
      <c r="B1" s="731"/>
      <c r="C1" s="1581"/>
      <c r="D1" s="2267"/>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9" customFormat="1" ht="15.75" thickBot="1">
      <c r="A2" s="2270" t="s">
        <v>1965</v>
      </c>
      <c r="B2" s="1266">
        <f>项目基本情况!D3</f>
        <v>43279</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8" t="s">
        <v>1970</v>
      </c>
      <c r="AA4" s="2238"/>
      <c r="AB4" s="2238"/>
      <c r="AC4" s="2238"/>
      <c r="AD4" s="2238"/>
      <c r="AE4" s="2236" t="s">
        <v>1971</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1972</v>
      </c>
      <c r="B5" s="2284" t="s">
        <v>1973</v>
      </c>
      <c r="C5" s="2285" t="s">
        <v>1974</v>
      </c>
      <c r="D5" s="2286" t="s">
        <v>1975</v>
      </c>
      <c r="E5" s="1268" t="s">
        <v>1976</v>
      </c>
      <c r="F5" s="2287" t="s">
        <v>1977</v>
      </c>
      <c r="G5" s="1268" t="s">
        <v>1978</v>
      </c>
      <c r="H5" s="1268" t="s">
        <v>1979</v>
      </c>
      <c r="I5" s="1268" t="s">
        <v>1980</v>
      </c>
      <c r="J5" s="2288" t="s">
        <v>1981</v>
      </c>
      <c r="K5" s="2289" t="s">
        <v>1982</v>
      </c>
      <c r="L5" s="2290" t="s">
        <v>1983</v>
      </c>
      <c r="M5" s="2291" t="s">
        <v>1984</v>
      </c>
      <c r="N5" s="2292" t="s">
        <v>3829</v>
      </c>
      <c r="O5" s="2290" t="s">
        <v>1985</v>
      </c>
      <c r="P5" s="2293" t="s">
        <v>1986</v>
      </c>
      <c r="Q5" s="69" t="s">
        <v>1987</v>
      </c>
      <c r="R5" s="2294" t="s">
        <v>1988</v>
      </c>
      <c r="S5" s="2295" t="s">
        <v>1989</v>
      </c>
      <c r="T5" s="2296" t="s">
        <v>1990</v>
      </c>
      <c r="U5" s="1267" t="s">
        <v>1991</v>
      </c>
      <c r="V5" s="1268" t="s">
        <v>1992</v>
      </c>
      <c r="W5" s="1268" t="s">
        <v>1993</v>
      </c>
      <c r="X5" s="71"/>
      <c r="Y5" s="70" t="s">
        <v>1994</v>
      </c>
      <c r="Z5" s="2297" t="s">
        <v>1991</v>
      </c>
      <c r="AA5" s="1268" t="s">
        <v>1992</v>
      </c>
      <c r="AB5" s="1268" t="s">
        <v>1993</v>
      </c>
      <c r="AC5" s="71"/>
      <c r="AD5" s="71" t="s">
        <v>1994</v>
      </c>
      <c r="AE5" s="1267" t="s">
        <v>1995</v>
      </c>
      <c r="AF5" s="1268" t="s">
        <v>1996</v>
      </c>
      <c r="AG5" s="70" t="s">
        <v>1997</v>
      </c>
      <c r="AH5" s="1267" t="s">
        <v>1998</v>
      </c>
      <c r="AI5" s="2297" t="s">
        <v>1999</v>
      </c>
      <c r="AJ5" s="2297" t="s">
        <v>2000</v>
      </c>
      <c r="AK5" s="1268" t="s">
        <v>2001</v>
      </c>
      <c r="AL5" s="1268" t="s">
        <v>2002</v>
      </c>
      <c r="AM5" s="70" t="s">
        <v>2003</v>
      </c>
      <c r="AN5" s="2298" t="s">
        <v>2004</v>
      </c>
      <c r="AO5" s="2069" t="s">
        <v>2005</v>
      </c>
      <c r="AP5" s="1249" t="s">
        <v>2006</v>
      </c>
      <c r="AQ5" s="2299" t="s">
        <v>2007</v>
      </c>
      <c r="AR5" s="2299" t="s">
        <v>2008</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1层1-2号</v>
      </c>
      <c r="B6" s="2301" t="str">
        <f>IF(A6=0,"","经营性")</f>
        <v>经营性</v>
      </c>
      <c r="C6" s="2302" t="s">
        <v>1377</v>
      </c>
      <c r="D6" s="1053">
        <f>SUMIF(项目基本情况!D$12:I$12,C6,项目基本情况!D$14:I$14)</f>
        <v>40</v>
      </c>
      <c r="E6" s="1050">
        <f>IF(B6="","",SUMIF(项目基本情况!D$12:I$12,C6,项目基本情况!D$13:I$13))</f>
        <v>56123</v>
      </c>
      <c r="F6" s="72">
        <f>SUMIF(项目基本情况!D$12:I$12,C6,项目基本情况!D$15:I$15)</f>
        <v>35.18</v>
      </c>
      <c r="G6" s="73">
        <f>IF(ISERROR(ROUND(POWER(1+H6,D6-F6)*(POWER(1+H6,F6)-1)/(POWER(1+H6,D6)-1),3)),0,ROUND(POWER(1+H6,D6-F6)*(POWER(1+H6,F6)-1)/(POWER(1+H6,D6)-1),3))</f>
        <v>0.95599999999999996</v>
      </c>
      <c r="H6" s="801">
        <v>0.05</v>
      </c>
      <c r="I6" s="801">
        <v>5.5E-2</v>
      </c>
      <c r="J6" s="74">
        <v>8.5000000000000006E-2</v>
      </c>
      <c r="K6" s="1251">
        <f>SUMIF('数据-汇总表'!C$19:C$33,A6,'数据-汇总表'!E$19:E$33)</f>
        <v>140.88999999999999</v>
      </c>
      <c r="L6" s="802">
        <v>2800</v>
      </c>
      <c r="M6" s="75">
        <f t="shared" ref="M6:M14" si="0">ROUND(K6*L6/10000,0)</f>
        <v>39</v>
      </c>
      <c r="N6" s="800">
        <f>ROUND(1-(2018-2017)/60,2)</f>
        <v>0.98</v>
      </c>
      <c r="O6" s="75" t="str">
        <f>IF($N$5="成新度","——",ROUND(M6*N6,0))</f>
        <v>——</v>
      </c>
      <c r="P6" s="76" t="str">
        <f>IF($N$5="成新度","——",M6-O6)</f>
        <v>——</v>
      </c>
      <c r="Q6" s="803">
        <v>0.25</v>
      </c>
      <c r="R6" s="77">
        <f ca="1">SUMIF('数据-汇总表'!C$19:C$33,A6,'数据-汇总表'!R$19:R$27)</f>
        <v>25.01</v>
      </c>
      <c r="S6" s="54">
        <f>IF('数据-汇总表'!$I$17="按面积比例",SUMIF('数据-汇总表'!C$19:C$33,A6,'数据-汇总表'!K$19:K$33),SUMIF('数据-汇总表'!C$19:C$33,A6,'数据-汇总表'!N$19:N$33))</f>
        <v>0</v>
      </c>
      <c r="T6" s="1443">
        <f>ROUND($L$14*S6/10000,0)</f>
        <v>0</v>
      </c>
      <c r="U6" s="78">
        <f>'比较法-商业 (租金)'!B3</f>
        <v>7.2</v>
      </c>
      <c r="V6" s="79">
        <v>0.03</v>
      </c>
      <c r="W6" s="79">
        <v>0.15</v>
      </c>
      <c r="X6" s="1261"/>
      <c r="Y6" s="80">
        <f>N6</f>
        <v>0.98</v>
      </c>
      <c r="Z6" s="81"/>
      <c r="AA6" s="74"/>
      <c r="AB6" s="74"/>
      <c r="AC6" s="1261"/>
      <c r="AD6" s="82"/>
      <c r="AE6" s="1262">
        <f ca="1">IF(AN6="",0,SUMIF(INDIRECT("'"&amp;AN6&amp;"'"&amp;"!E:E"),$AE$5,INDIRECT("'"&amp;AN6&amp;"'"&amp;"!F:F")))</f>
        <v>35.18</v>
      </c>
      <c r="AF6" s="1802"/>
      <c r="AG6" s="147">
        <f>IF(AF6="",0,AE6-AF6)</f>
        <v>0</v>
      </c>
      <c r="AH6" s="83"/>
      <c r="AI6" s="85">
        <v>365</v>
      </c>
      <c r="AJ6" s="86"/>
      <c r="AK6" s="87">
        <v>0.02</v>
      </c>
      <c r="AL6" s="88">
        <v>2E-3</v>
      </c>
      <c r="AM6" s="89">
        <v>0.02</v>
      </c>
      <c r="AN6" s="2303" t="s">
        <v>3830</v>
      </c>
      <c r="AO6" s="55">
        <f ca="1">SUMIF(INDIRECT("'"&amp;AN6&amp;"'"&amp;"!A:A"),"总价",INDIRECT("'"&amp;AN6&amp;"'"&amp;"!B:B"))</f>
        <v>547</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t="str">
        <f>'数据-汇总表'!C20</f>
        <v>其余商业用房</v>
      </c>
      <c r="B7" s="2301" t="str">
        <f t="shared" ref="B7:B13" si="1">IF(A7=0,"","经营性")</f>
        <v>经营性</v>
      </c>
      <c r="C7" s="2302" t="s">
        <v>1377</v>
      </c>
      <c r="D7" s="1053">
        <f>SUMIF(项目基本情况!D$12:I$12,C7,项目基本情况!D$14:I$14)</f>
        <v>40</v>
      </c>
      <c r="E7" s="1050">
        <f>IF(B7="","",SUMIF(项目基本情况!D$12:I$12,C7,项目基本情况!D$13:I$13))</f>
        <v>56123</v>
      </c>
      <c r="F7" s="72">
        <f>SUMIF(项目基本情况!D$12:I$12,C7,项目基本情况!D$15:I$15)</f>
        <v>35.18</v>
      </c>
      <c r="G7" s="73">
        <f t="shared" ref="G7:G11" si="2">IF(ISERROR(ROUND(POWER(1+H7,D7-F7)*(POWER(1+H7,F7)-1)/(POWER(1+H7,D7)-1),3)),0,ROUND(POWER(1+H7,D7-F7)*(POWER(1+H7,F7)-1)/(POWER(1+H7,D7)-1),3))</f>
        <v>0.95599999999999996</v>
      </c>
      <c r="H7" s="801">
        <f>H6</f>
        <v>0.05</v>
      </c>
      <c r="I7" s="801">
        <f>I6</f>
        <v>5.5E-2</v>
      </c>
      <c r="J7" s="74">
        <f>J6</f>
        <v>8.5000000000000006E-2</v>
      </c>
      <c r="K7" s="1251">
        <f>SUMIF('数据-汇总表'!C$19:C$33,A7,'数据-汇总表'!E$19:E$33)</f>
        <v>18277.570000000007</v>
      </c>
      <c r="L7" s="802">
        <f>L6</f>
        <v>2800</v>
      </c>
      <c r="M7" s="75">
        <f t="shared" si="0"/>
        <v>5118</v>
      </c>
      <c r="N7" s="800">
        <f>N6</f>
        <v>0.98</v>
      </c>
      <c r="O7" s="75" t="str">
        <f t="shared" ref="O7:O14" si="3">IF($N$5="成新度","——",ROUND(M7*N7,0))</f>
        <v>——</v>
      </c>
      <c r="P7" s="76" t="str">
        <f t="shared" ref="P7:P14" si="4">IF($N$5="成新度","——",M7-O7)</f>
        <v>——</v>
      </c>
      <c r="Q7" s="803">
        <f>Q6</f>
        <v>0.25</v>
      </c>
      <c r="R7" s="77">
        <f ca="1">SUMIF('数据-汇总表'!C$19:C$33,A7,'数据-汇总表'!R$19:R$27)</f>
        <v>3245.07</v>
      </c>
      <c r="S7" s="54">
        <f>IF('数据-汇总表'!$I$17="按面积比例",SUMIF('数据-汇总表'!C$19:C$33,A7,'数据-汇总表'!K$19:K$33),SUMIF('数据-汇总表'!C$19:C$33,A7,'数据-汇总表'!N$19:N$33))</f>
        <v>0</v>
      </c>
      <c r="T7" s="1443">
        <f t="shared" ref="T7:T13" si="5">ROUND($L$14*S7/10000,0)</f>
        <v>0</v>
      </c>
      <c r="U7" s="78"/>
      <c r="V7" s="79">
        <f>V6</f>
        <v>0.03</v>
      </c>
      <c r="W7" s="79">
        <f>W6</f>
        <v>0.15</v>
      </c>
      <c r="X7" s="1261"/>
      <c r="Y7" s="80">
        <f>Y6</f>
        <v>0.98</v>
      </c>
      <c r="Z7" s="81"/>
      <c r="AA7" s="74"/>
      <c r="AB7" s="74"/>
      <c r="AC7" s="1261"/>
      <c r="AD7" s="82"/>
      <c r="AE7" s="1262">
        <f t="shared" ref="AE7:AE13" ca="1" si="6">IF(AN7="",0,SUMIF(INDIRECT("'"&amp;AN7&amp;"'"&amp;"!E:E"),$AE$5,INDIRECT("'"&amp;AN7&amp;"'"&amp;"!F:F")))</f>
        <v>0</v>
      </c>
      <c r="AF7" s="1802"/>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hidden="1">
      <c r="A8" s="2300">
        <f>'数据-汇总表'!C21</f>
        <v>0</v>
      </c>
      <c r="B8" s="2301" t="str">
        <f t="shared" si="1"/>
        <v/>
      </c>
      <c r="C8" s="2302"/>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1">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3">
        <f t="shared" si="5"/>
        <v>0</v>
      </c>
      <c r="U8" s="804"/>
      <c r="V8" s="805"/>
      <c r="W8" s="805"/>
      <c r="X8" s="1261"/>
      <c r="Y8" s="806"/>
      <c r="Z8" s="81"/>
      <c r="AA8" s="74"/>
      <c r="AB8" s="74"/>
      <c r="AC8" s="1261"/>
      <c r="AD8" s="82"/>
      <c r="AE8" s="1262">
        <f t="shared" ca="1" si="6"/>
        <v>0</v>
      </c>
      <c r="AF8" s="1802"/>
      <c r="AG8" s="147">
        <f t="shared" si="7"/>
        <v>0</v>
      </c>
      <c r="AH8" s="807"/>
      <c r="AI8" s="85"/>
      <c r="AJ8" s="86"/>
      <c r="AK8" s="808"/>
      <c r="AL8" s="809"/>
      <c r="AM8" s="810"/>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hidden="1">
      <c r="A9" s="2300">
        <f>'数据-汇总表'!C22</f>
        <v>0</v>
      </c>
      <c r="B9" s="2301" t="str">
        <f t="shared" si="1"/>
        <v/>
      </c>
      <c r="C9" s="2302"/>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2"/>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hidden="1">
      <c r="A10" s="2300">
        <f>'数据-汇总表'!C23</f>
        <v>0</v>
      </c>
      <c r="B10" s="2301" t="str">
        <f t="shared" si="1"/>
        <v/>
      </c>
      <c r="C10" s="2302"/>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hidden="1">
      <c r="A11" s="2300">
        <f>'数据-汇总表'!C24</f>
        <v>0</v>
      </c>
      <c r="B11" s="2301" t="str">
        <f t="shared" si="1"/>
        <v/>
      </c>
      <c r="C11" s="2302"/>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hidden="1">
      <c r="A12" s="2300">
        <f>'数据-汇总表'!C25</f>
        <v>0</v>
      </c>
      <c r="B12" s="2301" t="str">
        <f t="shared" si="1"/>
        <v/>
      </c>
      <c r="C12" s="2302"/>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hidden="1">
      <c r="A13" s="2300">
        <f>'数据-汇总表'!C26</f>
        <v>0</v>
      </c>
      <c r="B13" s="2301" t="str">
        <f t="shared" si="1"/>
        <v/>
      </c>
      <c r="C13" s="2302"/>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2009</v>
      </c>
      <c r="B14" s="2301" t="s">
        <v>2010</v>
      </c>
      <c r="C14" s="2306" t="s">
        <v>2009</v>
      </c>
      <c r="D14" s="1053"/>
      <c r="E14" s="1050"/>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2"/>
      <c r="V14" s="1256"/>
      <c r="W14" s="1256"/>
      <c r="X14" s="1257"/>
      <c r="Y14" s="1258"/>
      <c r="Z14" s="1259"/>
      <c r="AA14" s="1260"/>
      <c r="AB14" s="1260"/>
      <c r="AC14" s="1261"/>
      <c r="AD14" s="1257"/>
      <c r="AE14" s="1262"/>
      <c r="AF14" s="55"/>
      <c r="AG14" s="147"/>
      <c r="AH14" s="1262"/>
      <c r="AI14" s="1813"/>
      <c r="AJ14" s="772"/>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2011</v>
      </c>
      <c r="B15" s="2301" t="s">
        <v>2010</v>
      </c>
      <c r="C15" s="2306" t="s">
        <v>2012</v>
      </c>
      <c r="D15" s="1053"/>
      <c r="E15" s="1050"/>
      <c r="F15" s="72"/>
      <c r="G15" s="73"/>
      <c r="H15" s="1250"/>
      <c r="I15" s="1250"/>
      <c r="J15" s="1250"/>
      <c r="K15" s="1251">
        <f>SUMIF('数据-汇总表'!C$19:C$33,A15,'数据-汇总表'!E$19:E$33)</f>
        <v>0</v>
      </c>
      <c r="L15" s="1252"/>
      <c r="M15" s="75"/>
      <c r="N15" s="1253"/>
      <c r="O15" s="75"/>
      <c r="P15" s="76"/>
      <c r="Q15" s="1254"/>
      <c r="R15" s="77"/>
      <c r="S15" s="54"/>
      <c r="T15" s="1443"/>
      <c r="U15" s="722"/>
      <c r="V15" s="1256"/>
      <c r="W15" s="1256"/>
      <c r="X15" s="1257"/>
      <c r="Y15" s="1258"/>
      <c r="Z15" s="1259"/>
      <c r="AA15" s="1260"/>
      <c r="AB15" s="1260"/>
      <c r="AC15" s="1261"/>
      <c r="AD15" s="1257"/>
      <c r="AE15" s="1262"/>
      <c r="AF15" s="55"/>
      <c r="AG15" s="147"/>
      <c r="AH15" s="1262"/>
      <c r="AI15" s="1813"/>
      <c r="AJ15" s="772"/>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2013</v>
      </c>
      <c r="B16" s="97"/>
      <c r="C16" s="1007"/>
      <c r="D16" s="2308"/>
      <c r="E16" s="97"/>
      <c r="F16" s="97"/>
      <c r="G16" s="98">
        <f>ROUND(SUMPRODUCT(G6:G13,K6:K13)/SUMPRODUCT((G6:G13&gt;0)*(K6:K13)),3)</f>
        <v>0.95599999999999996</v>
      </c>
      <c r="H16" s="99">
        <f>ROUND(SUMPRODUCT(H6:H13,K6:K13)/SUMPRODUCT((H6:H13&gt;0)*(K6:K13)),3)</f>
        <v>0.05</v>
      </c>
      <c r="I16" s="100"/>
      <c r="J16" s="100"/>
      <c r="K16" s="101">
        <f>SUM(K6:K15)</f>
        <v>18418.460000000006</v>
      </c>
      <c r="L16" s="102">
        <f>ROUND(M16*10000/SUM(K6:K14),0)</f>
        <v>2800</v>
      </c>
      <c r="M16" s="102">
        <f>SUM(M6:M14)</f>
        <v>5157</v>
      </c>
      <c r="N16" s="103">
        <f>ROUND(SUMPRODUCT(M6:M14,N6:N14)/M16,3)</f>
        <v>0.98</v>
      </c>
      <c r="O16" s="102">
        <f>SUM(O6:O14)</f>
        <v>0</v>
      </c>
      <c r="P16" s="102">
        <f>SUM(P6:P14)</f>
        <v>0</v>
      </c>
      <c r="Q16" s="104">
        <f>ROUND(SUMPRODUCT(Q6:Q13,K6:K13)/SUMPRODUCT((Q6:Q13&gt;0)*(K6:K13)),2)</f>
        <v>0.25</v>
      </c>
      <c r="R16" s="1255">
        <f ca="1">SUM(R6:R13)</f>
        <v>3270.0800000000004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81"/>
      <c r="D17" s="2267"/>
      <c r="E17" s="2267"/>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4"/>
      <c r="C18" s="2271"/>
      <c r="D18" s="2272"/>
      <c r="E18" s="2271"/>
      <c r="F18" s="2271"/>
      <c r="G18" s="2271"/>
      <c r="H18" s="2271"/>
      <c r="I18" s="2271"/>
      <c r="J18" s="2271"/>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0" t="s">
        <v>2015</v>
      </c>
      <c r="B19" s="112">
        <v>0</v>
      </c>
      <c r="C19" s="2271" t="s">
        <v>2016</v>
      </c>
      <c r="D19" s="2272"/>
      <c r="E19" s="2271"/>
      <c r="F19" s="2271"/>
      <c r="G19" s="2271"/>
      <c r="H19" s="2271"/>
      <c r="I19" s="2271"/>
      <c r="J19" s="2271"/>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1" t="s">
        <v>2017</v>
      </c>
      <c r="B20" s="113">
        <v>2</v>
      </c>
      <c r="C20" s="2271" t="s">
        <v>2018</v>
      </c>
      <c r="D20" s="2272"/>
      <c r="E20" s="2271"/>
      <c r="F20" s="2271"/>
      <c r="G20" s="2271"/>
      <c r="H20" s="2271"/>
      <c r="I20" s="2271"/>
      <c r="J20" s="2271"/>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2" t="s">
        <v>2019</v>
      </c>
      <c r="B21" s="113">
        <v>2</v>
      </c>
      <c r="C21" s="2271"/>
      <c r="D21" s="2272"/>
      <c r="E21" s="2271"/>
      <c r="F21" s="2271"/>
      <c r="G21" s="2271"/>
      <c r="H21" s="2271"/>
      <c r="I21" s="2271"/>
      <c r="J21" s="2271"/>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1" t="s">
        <v>2020</v>
      </c>
      <c r="B22" s="114">
        <f>B19+B20</f>
        <v>2</v>
      </c>
      <c r="C22" s="2271"/>
      <c r="D22" s="2272"/>
      <c r="E22" s="2271"/>
      <c r="F22" s="2271"/>
      <c r="G22" s="2271"/>
      <c r="H22" s="2271"/>
      <c r="I22" s="2271"/>
      <c r="J22" s="2271"/>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2" t="s">
        <v>2021</v>
      </c>
      <c r="B23" s="114">
        <f>B19+B21</f>
        <v>2</v>
      </c>
      <c r="C23" s="2271"/>
      <c r="D23" s="2272"/>
      <c r="E23" s="2271"/>
      <c r="F23" s="2271"/>
      <c r="G23" s="2271"/>
      <c r="H23" s="2271"/>
      <c r="I23" s="2271"/>
      <c r="J23" s="2271"/>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3" t="s">
        <v>2022</v>
      </c>
      <c r="B24" s="115">
        <f>B20-B21</f>
        <v>0</v>
      </c>
      <c r="C24" s="2271"/>
      <c r="D24" s="2272"/>
      <c r="E24" s="2271"/>
      <c r="F24" s="2271"/>
      <c r="G24" s="2271"/>
      <c r="H24" s="2271"/>
      <c r="I24" s="2271"/>
      <c r="J24" s="2271"/>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7"/>
      <c r="B25" s="2274"/>
      <c r="C25" s="2271"/>
      <c r="D25" s="2272"/>
      <c r="E25" s="2271"/>
      <c r="F25" s="2271"/>
      <c r="G25" s="2271"/>
      <c r="H25" s="2271"/>
      <c r="I25" s="2271"/>
      <c r="J25" s="2271"/>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0" t="s">
        <v>2023</v>
      </c>
      <c r="B26" s="2314" t="s">
        <v>2024</v>
      </c>
      <c r="C26" s="2315" t="s">
        <v>2025</v>
      </c>
      <c r="D26" s="2272"/>
      <c r="E26" s="2271"/>
      <c r="F26" s="2271"/>
      <c r="G26" s="2271"/>
      <c r="H26" s="2271"/>
      <c r="I26" s="2271"/>
      <c r="J26" s="2271"/>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8" customFormat="1" ht="27.75">
      <c r="A27" s="2316" t="s">
        <v>2026</v>
      </c>
      <c r="B27" s="116">
        <v>90</v>
      </c>
      <c r="C27" s="1763" t="s">
        <v>2027</v>
      </c>
      <c r="D27" s="2317"/>
      <c r="E27" s="1427"/>
      <c r="F27" s="1427"/>
      <c r="G27" s="2271"/>
      <c r="H27" s="2271"/>
      <c r="I27" s="2271"/>
      <c r="J27" s="2271"/>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8" customFormat="1" ht="27.75">
      <c r="A28" s="2319" t="s">
        <v>2028</v>
      </c>
      <c r="B28" s="119">
        <v>140</v>
      </c>
      <c r="C28" s="2320"/>
      <c r="D28" s="2317"/>
      <c r="E28" s="1427"/>
      <c r="F28" s="1427"/>
      <c r="G28" s="2271"/>
      <c r="H28" s="2271"/>
      <c r="I28" s="2271"/>
      <c r="J28" s="2271"/>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8" customFormat="1" ht="28.5" thickBot="1">
      <c r="A29" s="2321" t="s">
        <v>2029</v>
      </c>
      <c r="B29" s="121"/>
      <c r="C29" s="1763" t="s">
        <v>2030</v>
      </c>
      <c r="D29" s="2317"/>
      <c r="E29" s="1427"/>
      <c r="F29" s="1427"/>
      <c r="G29" s="2271"/>
      <c r="H29" s="2271"/>
      <c r="I29" s="2271"/>
      <c r="J29" s="2271"/>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8" customFormat="1" ht="27">
      <c r="A30" s="2322" t="s">
        <v>2031</v>
      </c>
      <c r="B30" s="723">
        <v>200</v>
      </c>
      <c r="C30" s="2320"/>
      <c r="D30" s="2317"/>
      <c r="E30" s="1427"/>
      <c r="F30" s="1427"/>
      <c r="G30" s="2271"/>
      <c r="H30" s="2271"/>
      <c r="I30" s="2271"/>
      <c r="J30" s="2271"/>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8" customFormat="1" ht="27">
      <c r="A31" s="2319" t="s">
        <v>2032</v>
      </c>
      <c r="B31" s="120">
        <f>B30-B32</f>
        <v>200</v>
      </c>
      <c r="C31" s="1763"/>
      <c r="D31" s="2317"/>
      <c r="E31" s="1427"/>
      <c r="F31" s="1427"/>
      <c r="G31" s="2271"/>
      <c r="H31" s="2271"/>
      <c r="I31" s="2271"/>
      <c r="J31" s="2271"/>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8" customFormat="1" ht="27.75" thickBot="1">
      <c r="A32" s="2323" t="s">
        <v>2033</v>
      </c>
      <c r="B32" s="724">
        <v>0</v>
      </c>
      <c r="C32" s="2320"/>
      <c r="D32" s="2272"/>
      <c r="E32" s="2271"/>
      <c r="F32" s="2271"/>
      <c r="G32" s="2271"/>
      <c r="H32" s="2271"/>
      <c r="I32" s="2271"/>
      <c r="J32" s="2271"/>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8" customFormat="1" ht="14.25">
      <c r="A33" s="2316" t="s">
        <v>2034</v>
      </c>
      <c r="B33" s="725">
        <v>0.04</v>
      </c>
      <c r="C33" s="1762" t="s">
        <v>2035</v>
      </c>
      <c r="D33" s="2272"/>
      <c r="E33" s="2271"/>
      <c r="F33" s="2271"/>
      <c r="G33" s="2271"/>
      <c r="H33" s="2271"/>
      <c r="I33" s="2271"/>
      <c r="J33" s="2271"/>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8" customFormat="1" ht="14.25">
      <c r="A34" s="2319" t="s">
        <v>2036</v>
      </c>
      <c r="B34" s="122">
        <v>0</v>
      </c>
      <c r="C34" s="1762" t="s">
        <v>2037</v>
      </c>
      <c r="D34" s="2272" t="s">
        <v>2038</v>
      </c>
      <c r="E34" s="731"/>
      <c r="F34" s="2271"/>
      <c r="G34" s="2271"/>
      <c r="H34" s="2271"/>
      <c r="I34" s="2271"/>
      <c r="J34" s="2271"/>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8" customFormat="1" ht="14.25">
      <c r="A35" s="2319" t="s">
        <v>2039</v>
      </c>
      <c r="B35" s="119">
        <v>200</v>
      </c>
      <c r="C35" s="1762" t="s">
        <v>2040</v>
      </c>
      <c r="D35" s="2317"/>
      <c r="E35" s="1427"/>
      <c r="F35" s="1427"/>
      <c r="G35" s="2271"/>
      <c r="H35" s="2271"/>
      <c r="I35" s="2271"/>
      <c r="J35" s="2271"/>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1" t="s">
        <v>2041</v>
      </c>
      <c r="B36" s="123">
        <v>1.4999999999999999E-2</v>
      </c>
      <c r="C36" s="1762" t="s">
        <v>2042</v>
      </c>
      <c r="D36" s="2272"/>
      <c r="E36" s="2271"/>
      <c r="F36" s="2271"/>
      <c r="G36" s="2271"/>
      <c r="H36" s="2271"/>
      <c r="I36" s="2271"/>
      <c r="J36" s="2271"/>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2" t="s">
        <v>2043</v>
      </c>
      <c r="B37" s="124">
        <v>0.02</v>
      </c>
      <c r="C37" s="1762" t="s">
        <v>2044</v>
      </c>
      <c r="D37" s="2272"/>
      <c r="E37" s="2271"/>
      <c r="F37" s="2271"/>
      <c r="G37" s="2271"/>
      <c r="H37" s="2271"/>
      <c r="I37" s="2271"/>
      <c r="J37" s="2271"/>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9" t="s">
        <v>2045</v>
      </c>
      <c r="B38" s="122">
        <v>0.02</v>
      </c>
      <c r="C38" s="1762" t="s">
        <v>2044</v>
      </c>
      <c r="D38" s="2272"/>
      <c r="E38" s="2271"/>
      <c r="F38" s="2271"/>
      <c r="G38" s="2271"/>
      <c r="H38" s="2271"/>
      <c r="I38" s="2271"/>
      <c r="J38" s="2271"/>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3" t="s">
        <v>2046</v>
      </c>
      <c r="B39" s="362">
        <f ca="1">存贷款利率!I1</f>
        <v>1.4999999999999999E-2</v>
      </c>
      <c r="C39" s="1762"/>
      <c r="D39" s="2272"/>
      <c r="E39" s="2271"/>
      <c r="F39" s="2271"/>
      <c r="G39" s="2271"/>
      <c r="H39" s="2271"/>
      <c r="I39" s="2271"/>
      <c r="J39" s="2271"/>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3" t="s">
        <v>2047</v>
      </c>
      <c r="B40" s="1300">
        <f ca="1">存贷款利率!G1</f>
        <v>4.7500000000000001E-2</v>
      </c>
      <c r="C40" s="1762" t="s">
        <v>2048</v>
      </c>
      <c r="D40" s="1581"/>
      <c r="E40" s="2272"/>
      <c r="F40" s="2271"/>
      <c r="G40" s="2271"/>
      <c r="H40" s="2271"/>
      <c r="I40" s="2271"/>
      <c r="J40" s="2271"/>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6" t="s">
        <v>2049</v>
      </c>
      <c r="B41" s="125">
        <f>B42+B43</f>
        <v>5.6000000000000001E-2</v>
      </c>
      <c r="C41" s="1763"/>
      <c r="D41" s="1581"/>
      <c r="E41" s="2272"/>
      <c r="F41" s="2271"/>
      <c r="G41" s="2271"/>
      <c r="H41" s="2271"/>
      <c r="I41" s="2271"/>
      <c r="J41" s="2271"/>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4" t="s">
        <v>2050</v>
      </c>
      <c r="B42" s="126">
        <v>0.05</v>
      </c>
      <c r="C42" s="2325">
        <f>IF(B2&lt;DATE(2016,5,1),0,B42)</f>
        <v>0.05</v>
      </c>
      <c r="D42" s="2272"/>
      <c r="E42" s="2271"/>
      <c r="F42" s="2271"/>
      <c r="G42" s="2271"/>
      <c r="H42" s="2271"/>
      <c r="I42" s="2271"/>
      <c r="J42" s="2271"/>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4" t="s">
        <v>2051</v>
      </c>
      <c r="B43" s="127">
        <f>B42*(B44+B45+B46)+B47</f>
        <v>6.000000000000001E-3</v>
      </c>
      <c r="C43" s="1763"/>
      <c r="D43" s="2272"/>
      <c r="E43" s="2271"/>
      <c r="F43" s="2271"/>
      <c r="G43" s="2271"/>
      <c r="H43" s="2271"/>
      <c r="I43" s="2271"/>
      <c r="J43" s="2271"/>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6" t="s">
        <v>2052</v>
      </c>
      <c r="B44" s="128">
        <v>7.0000000000000007E-2</v>
      </c>
      <c r="C44" s="1762" t="s">
        <v>2053</v>
      </c>
      <c r="D44" s="2272"/>
      <c r="E44" s="2271"/>
      <c r="F44" s="2271"/>
      <c r="G44" s="2271"/>
      <c r="H44" s="2271"/>
      <c r="I44" s="2271"/>
      <c r="J44" s="2271"/>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6" t="s">
        <v>2054</v>
      </c>
      <c r="B45" s="126">
        <v>0.03</v>
      </c>
      <c r="C45" s="1763" t="s">
        <v>2055</v>
      </c>
      <c r="D45" s="2272"/>
      <c r="E45" s="2271"/>
      <c r="F45" s="2271"/>
      <c r="G45" s="2271"/>
      <c r="H45" s="2271"/>
      <c r="I45" s="2271"/>
      <c r="J45" s="2271"/>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6" t="s">
        <v>2056</v>
      </c>
      <c r="B46" s="126">
        <v>0.02</v>
      </c>
      <c r="C46" s="1763" t="s">
        <v>2057</v>
      </c>
      <c r="D46" s="2272"/>
      <c r="E46" s="2271"/>
      <c r="F46" s="2271"/>
      <c r="G46" s="2271"/>
      <c r="H46" s="2271"/>
      <c r="I46" s="2271"/>
      <c r="J46" s="2271"/>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7" t="s">
        <v>2058</v>
      </c>
      <c r="B47" s="129"/>
      <c r="C47" s="1763" t="s">
        <v>2059</v>
      </c>
      <c r="D47" s="2272"/>
      <c r="E47" s="2271"/>
      <c r="F47" s="2271"/>
      <c r="G47" s="2271"/>
      <c r="H47" s="2271"/>
      <c r="I47" s="2271"/>
      <c r="J47" s="2271"/>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8" t="s">
        <v>2060</v>
      </c>
      <c r="B48" s="130">
        <v>0.03</v>
      </c>
      <c r="C48" s="1769" t="s">
        <v>2061</v>
      </c>
      <c r="D48" s="2272"/>
      <c r="E48" s="2271"/>
      <c r="F48" s="2271"/>
      <c r="G48" s="2271"/>
      <c r="H48" s="2271"/>
      <c r="I48" s="2271"/>
      <c r="J48" s="2271"/>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3" t="s">
        <v>2062</v>
      </c>
      <c r="B49" s="126">
        <v>5.0000000000000001E-4</v>
      </c>
      <c r="C49" s="1769" t="s">
        <v>2063</v>
      </c>
      <c r="D49" s="2272"/>
      <c r="E49" s="2271"/>
      <c r="F49" s="2271"/>
      <c r="G49" s="2271"/>
      <c r="H49" s="2271"/>
      <c r="I49" s="2271"/>
      <c r="J49" s="2271"/>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9" t="s">
        <v>2064</v>
      </c>
      <c r="B50" s="131">
        <v>1.2E-2</v>
      </c>
      <c r="C50" s="1427"/>
      <c r="D50" s="2272"/>
      <c r="E50" s="2271"/>
      <c r="F50" s="2271"/>
      <c r="G50" s="2271"/>
      <c r="H50" s="2271"/>
      <c r="I50" s="2271"/>
      <c r="J50" s="2271"/>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1" t="s">
        <v>2065</v>
      </c>
      <c r="B51" s="132">
        <v>0.12</v>
      </c>
      <c r="C51" s="1427"/>
      <c r="D51" s="2272"/>
      <c r="E51" s="2271"/>
      <c r="F51" s="2271"/>
      <c r="G51" s="2271"/>
      <c r="H51" s="2271"/>
      <c r="I51" s="2271"/>
      <c r="J51" s="2271"/>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9" t="s">
        <v>2066</v>
      </c>
      <c r="B52" s="133">
        <f>SUMIF(A54:A63,B53,B54:B63)</f>
        <v>10</v>
      </c>
      <c r="C52" s="1427"/>
      <c r="D52" s="2272"/>
      <c r="E52" s="2271"/>
      <c r="F52" s="2271"/>
      <c r="G52" s="2271"/>
      <c r="H52" s="2271"/>
      <c r="I52" s="2271"/>
      <c r="J52" s="2271"/>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9" t="s">
        <v>2067</v>
      </c>
      <c r="B53" s="2330" t="s">
        <v>269</v>
      </c>
      <c r="C53" s="1427" t="s">
        <v>2068</v>
      </c>
      <c r="D53" s="2331" t="s">
        <v>2069</v>
      </c>
      <c r="E53" s="2271"/>
      <c r="F53" s="2271"/>
      <c r="G53" s="2271"/>
      <c r="H53" s="2271"/>
      <c r="I53" s="2271"/>
      <c r="J53" s="2271"/>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2" t="s">
        <v>2070</v>
      </c>
      <c r="B54" s="84">
        <v>15</v>
      </c>
      <c r="C54" s="1427">
        <v>30</v>
      </c>
      <c r="D54" s="2272"/>
      <c r="E54" s="2271"/>
      <c r="F54" s="2271"/>
      <c r="G54" s="2271"/>
      <c r="H54" s="2271"/>
      <c r="I54" s="2271"/>
      <c r="J54" s="2271"/>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2" t="s">
        <v>2071</v>
      </c>
      <c r="B55" s="84">
        <v>10</v>
      </c>
      <c r="C55" s="1427">
        <v>24</v>
      </c>
      <c r="D55" s="2272"/>
      <c r="E55" s="2271"/>
      <c r="F55" s="2271"/>
      <c r="G55" s="2271"/>
      <c r="H55" s="2271"/>
      <c r="I55" s="2333"/>
      <c r="J55" s="2271"/>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2" t="s">
        <v>2072</v>
      </c>
      <c r="B56" s="84">
        <v>5</v>
      </c>
      <c r="C56" s="1427">
        <v>18</v>
      </c>
      <c r="D56" s="2272"/>
      <c r="E56" s="2271"/>
      <c r="F56" s="2271"/>
      <c r="G56" s="2271"/>
      <c r="H56" s="2271"/>
      <c r="I56" s="2271"/>
      <c r="J56" s="2271"/>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2" t="s">
        <v>2073</v>
      </c>
      <c r="B57" s="84"/>
      <c r="C57" s="1427">
        <v>12</v>
      </c>
      <c r="D57" s="2272"/>
      <c r="E57" s="2271"/>
      <c r="F57" s="2271"/>
      <c r="G57" s="2271"/>
      <c r="H57" s="2271"/>
      <c r="I57" s="2271"/>
      <c r="J57" s="2271"/>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2" t="s">
        <v>2074</v>
      </c>
      <c r="B58" s="84"/>
      <c r="C58" s="1427">
        <v>3</v>
      </c>
      <c r="D58" s="2272"/>
      <c r="E58" s="2271"/>
      <c r="F58" s="2271"/>
      <c r="G58" s="2271"/>
      <c r="H58" s="2271"/>
      <c r="I58" s="2271"/>
      <c r="J58" s="2271"/>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2" t="s">
        <v>2075</v>
      </c>
      <c r="B59" s="84"/>
      <c r="C59" s="1427">
        <v>1.5</v>
      </c>
      <c r="D59" s="2272"/>
      <c r="E59" s="2271"/>
      <c r="F59" s="2271"/>
      <c r="G59" s="2271"/>
      <c r="H59" s="2271"/>
      <c r="I59" s="2271"/>
      <c r="J59" s="2271"/>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2" t="s">
        <v>2076</v>
      </c>
      <c r="B60" s="84"/>
      <c r="C60" s="2271"/>
      <c r="D60" s="2272"/>
      <c r="E60" s="2271"/>
      <c r="F60" s="2271"/>
      <c r="G60" s="2271"/>
      <c r="H60" s="2271"/>
      <c r="I60" s="2271"/>
      <c r="J60" s="2271"/>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2" t="s">
        <v>2077</v>
      </c>
      <c r="B61" s="84"/>
      <c r="C61" s="2271"/>
      <c r="D61" s="2272"/>
      <c r="E61" s="2271"/>
      <c r="F61" s="2271"/>
      <c r="G61" s="2271"/>
      <c r="H61" s="2271"/>
      <c r="I61" s="2271"/>
      <c r="J61" s="2271"/>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2" t="s">
        <v>2078</v>
      </c>
      <c r="B62" s="84"/>
      <c r="C62" s="2271"/>
      <c r="D62" s="2272"/>
      <c r="E62" s="2271"/>
      <c r="F62" s="2271"/>
      <c r="G62" s="2271"/>
      <c r="H62" s="2271"/>
      <c r="I62" s="2271"/>
      <c r="J62" s="2271"/>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4" t="s">
        <v>2079</v>
      </c>
      <c r="B63" s="134"/>
      <c r="C63" s="2271"/>
      <c r="D63" s="2272"/>
      <c r="E63" s="2271"/>
      <c r="F63" s="2271"/>
      <c r="G63" s="2271"/>
      <c r="H63" s="2271"/>
      <c r="I63" s="2271"/>
      <c r="J63" s="2271"/>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6" customFormat="1">
      <c r="A64" s="2335"/>
      <c r="D64" s="2336"/>
      <c r="K64" s="797"/>
      <c r="L64" s="797"/>
    </row>
    <row r="65" spans="1:12" s="966" customFormat="1">
      <c r="A65" s="2335"/>
      <c r="D65" s="2336"/>
      <c r="K65" s="797"/>
      <c r="L65" s="797"/>
    </row>
    <row r="66" spans="1:12" s="966" customFormat="1">
      <c r="A66" s="2335"/>
      <c r="D66" s="2336"/>
      <c r="K66" s="797"/>
      <c r="L66" s="797"/>
    </row>
    <row r="67" spans="1:12" s="966" customFormat="1">
      <c r="A67" s="2335"/>
      <c r="D67" s="2336"/>
      <c r="K67" s="797"/>
      <c r="L67" s="797"/>
    </row>
    <row r="68" spans="1:12" s="966" customFormat="1">
      <c r="A68" s="2335"/>
      <c r="D68" s="2336"/>
      <c r="K68" s="797"/>
      <c r="L68" s="797"/>
    </row>
    <row r="69" spans="1:12" s="966" customFormat="1">
      <c r="A69" s="2335"/>
      <c r="D69" s="2336"/>
      <c r="K69" s="797"/>
      <c r="L69" s="797"/>
    </row>
    <row r="70" spans="1:12" s="966" customFormat="1">
      <c r="A70" s="2335"/>
      <c r="D70" s="2336"/>
      <c r="K70" s="797"/>
      <c r="L70" s="797"/>
    </row>
    <row r="71" spans="1:12" s="966" customFormat="1">
      <c r="A71" s="2335"/>
      <c r="D71" s="2336"/>
      <c r="K71" s="797"/>
      <c r="L71" s="797"/>
    </row>
    <row r="72" spans="1:12" s="966" customFormat="1">
      <c r="A72" s="2335"/>
      <c r="D72" s="2336"/>
      <c r="K72" s="797"/>
      <c r="L72" s="797"/>
    </row>
    <row r="73" spans="1:12" s="966" customFormat="1">
      <c r="A73" s="2335"/>
      <c r="D73" s="2336"/>
      <c r="K73" s="797"/>
      <c r="L73" s="797"/>
    </row>
    <row r="74" spans="1:12" s="966" customFormat="1">
      <c r="A74" s="2335"/>
      <c r="D74" s="2336"/>
      <c r="K74" s="797"/>
      <c r="L74" s="797"/>
    </row>
    <row r="75" spans="1:12" s="966" customFormat="1">
      <c r="A75" s="2335"/>
      <c r="D75" s="2336"/>
      <c r="K75" s="797"/>
      <c r="L75" s="797"/>
    </row>
    <row r="76" spans="1:12" s="966" customFormat="1">
      <c r="A76" s="2335"/>
      <c r="D76" s="2336"/>
      <c r="K76" s="797"/>
      <c r="L76" s="797"/>
    </row>
    <row r="77" spans="1:12" s="966" customFormat="1">
      <c r="A77" s="2335"/>
      <c r="D77" s="2336"/>
      <c r="K77" s="797"/>
      <c r="L77" s="797"/>
    </row>
    <row r="78" spans="1:12" s="966" customFormat="1">
      <c r="A78" s="2335"/>
      <c r="D78" s="2336"/>
      <c r="K78" s="797"/>
      <c r="L78" s="797"/>
    </row>
    <row r="79" spans="1:12" s="966" customFormat="1">
      <c r="A79" s="2335"/>
      <c r="D79" s="2336"/>
      <c r="K79" s="797"/>
      <c r="L79" s="797"/>
    </row>
    <row r="80" spans="1:12" s="966" customFormat="1">
      <c r="A80" s="2335"/>
      <c r="D80" s="2336"/>
      <c r="K80" s="797"/>
      <c r="L80" s="797"/>
    </row>
    <row r="81" spans="1:12" s="966" customFormat="1">
      <c r="A81" s="2335"/>
      <c r="D81" s="2336"/>
      <c r="K81" s="797"/>
      <c r="L81" s="797"/>
    </row>
    <row r="82" spans="1:12" s="966" customFormat="1">
      <c r="A82" s="2335"/>
      <c r="D82" s="2336"/>
      <c r="K82" s="797"/>
      <c r="L82" s="797"/>
    </row>
    <row r="83" spans="1:12" s="966" customFormat="1">
      <c r="A83" s="2335"/>
      <c r="D83" s="2336"/>
      <c r="K83" s="797"/>
      <c r="L83" s="797"/>
    </row>
    <row r="84" spans="1:12" s="966" customFormat="1">
      <c r="A84" s="2335"/>
      <c r="D84" s="2336"/>
      <c r="K84" s="797"/>
      <c r="L84" s="797"/>
    </row>
    <row r="85" spans="1:12" s="966" customFormat="1">
      <c r="A85" s="2335"/>
      <c r="D85" s="2336"/>
      <c r="K85" s="797"/>
      <c r="L85" s="797"/>
    </row>
    <row r="86" spans="1:12" s="966" customFormat="1">
      <c r="A86" s="2335"/>
      <c r="D86" s="2336"/>
      <c r="K86" s="797"/>
      <c r="L86" s="797"/>
    </row>
    <row r="87" spans="1:12" s="966" customFormat="1">
      <c r="A87" s="2335"/>
      <c r="D87" s="2336"/>
      <c r="K87" s="797"/>
      <c r="L87" s="797"/>
    </row>
    <row r="88" spans="1:12" s="966" customFormat="1">
      <c r="A88" s="2335"/>
      <c r="D88" s="2336"/>
      <c r="K88" s="797"/>
      <c r="L88" s="797"/>
    </row>
    <row r="89" spans="1:12" s="966" customFormat="1">
      <c r="A89" s="2335"/>
      <c r="D89" s="2336"/>
      <c r="K89" s="797"/>
      <c r="L89" s="797"/>
    </row>
    <row r="90" spans="1:12" s="966" customFormat="1">
      <c r="A90" s="2335"/>
      <c r="D90" s="2336"/>
      <c r="K90" s="797"/>
      <c r="L90" s="797"/>
    </row>
    <row r="91" spans="1:12" s="966" customFormat="1">
      <c r="A91" s="2335"/>
      <c r="D91" s="2336"/>
      <c r="K91" s="797"/>
      <c r="L91" s="797"/>
    </row>
    <row r="92" spans="1:12" s="966" customFormat="1">
      <c r="A92" s="2335"/>
      <c r="D92" s="2336"/>
      <c r="K92" s="797"/>
      <c r="L92" s="797"/>
    </row>
    <row r="93" spans="1:12" s="966" customFormat="1">
      <c r="A93" s="2335"/>
      <c r="D93" s="2336"/>
      <c r="K93" s="797"/>
      <c r="L93" s="797"/>
    </row>
    <row r="94" spans="1:12" s="966" customFormat="1">
      <c r="A94" s="2335"/>
      <c r="D94" s="2336"/>
      <c r="K94" s="797"/>
      <c r="L94" s="797"/>
    </row>
    <row r="95" spans="1:12" s="966" customFormat="1">
      <c r="A95" s="2335"/>
      <c r="D95" s="2336"/>
      <c r="K95" s="797"/>
      <c r="L95" s="797"/>
    </row>
    <row r="96" spans="1:12" s="966" customFormat="1">
      <c r="A96" s="2335"/>
      <c r="D96" s="2336"/>
      <c r="K96" s="797"/>
      <c r="L96" s="797"/>
    </row>
    <row r="97" spans="1:12" s="966" customFormat="1">
      <c r="A97" s="2335"/>
      <c r="D97" s="2336"/>
      <c r="K97" s="797"/>
      <c r="L97" s="797"/>
    </row>
    <row r="98" spans="1:12" s="966" customFormat="1">
      <c r="A98" s="2335"/>
      <c r="D98" s="2336"/>
      <c r="K98" s="797"/>
      <c r="L98" s="797"/>
    </row>
    <row r="99" spans="1:12" s="966" customFormat="1">
      <c r="A99" s="2335"/>
      <c r="D99" s="2336"/>
      <c r="K99" s="797"/>
      <c r="L99" s="797"/>
    </row>
    <row r="100" spans="1:12" s="966" customFormat="1">
      <c r="A100" s="2335"/>
      <c r="D100" s="2336"/>
      <c r="K100" s="797"/>
      <c r="L100" s="797"/>
    </row>
    <row r="101" spans="1:12" s="966" customFormat="1">
      <c r="A101" s="2335"/>
      <c r="D101" s="2336"/>
      <c r="K101" s="797"/>
      <c r="L101" s="797"/>
    </row>
    <row r="102" spans="1:12" s="966" customFormat="1">
      <c r="A102" s="2335"/>
      <c r="D102" s="2336"/>
      <c r="K102" s="797"/>
      <c r="L102" s="797"/>
    </row>
    <row r="103" spans="1:12" s="966" customFormat="1">
      <c r="A103" s="2335"/>
      <c r="D103" s="2336"/>
      <c r="K103" s="797"/>
      <c r="L103" s="797"/>
    </row>
    <row r="104" spans="1:12" s="966" customFormat="1">
      <c r="A104" s="2335"/>
      <c r="D104" s="2336"/>
      <c r="K104" s="797"/>
      <c r="L104" s="797"/>
    </row>
    <row r="105" spans="1:12" s="966" customFormat="1">
      <c r="A105" s="2335"/>
      <c r="D105" s="2336"/>
      <c r="K105" s="797"/>
      <c r="L105" s="797"/>
    </row>
    <row r="106" spans="1:12" s="966" customFormat="1">
      <c r="A106" s="2335"/>
      <c r="D106" s="2336"/>
      <c r="K106" s="797"/>
      <c r="L106" s="797"/>
    </row>
    <row r="107" spans="1:12" s="966" customFormat="1">
      <c r="A107" s="2335"/>
      <c r="D107" s="2336"/>
      <c r="K107" s="797"/>
      <c r="L107" s="797"/>
    </row>
    <row r="108" spans="1:12" s="966" customFormat="1">
      <c r="A108" s="2335"/>
      <c r="D108" s="2336"/>
      <c r="K108" s="797"/>
      <c r="L108" s="797"/>
    </row>
    <row r="109" spans="1:12" s="966" customFormat="1">
      <c r="A109" s="2335"/>
      <c r="D109" s="2336"/>
      <c r="K109" s="797"/>
      <c r="L109" s="797"/>
    </row>
    <row r="110" spans="1:12" s="966" customFormat="1">
      <c r="A110" s="2335"/>
      <c r="D110" s="2336"/>
      <c r="K110" s="797"/>
      <c r="L110" s="797"/>
    </row>
    <row r="111" spans="1:12" s="966" customFormat="1">
      <c r="A111" s="2335"/>
      <c r="D111" s="2336"/>
      <c r="K111" s="797"/>
      <c r="L111" s="797"/>
    </row>
    <row r="112" spans="1:12" s="966" customFormat="1">
      <c r="A112" s="2335"/>
      <c r="D112" s="2336"/>
      <c r="K112" s="797"/>
      <c r="L112" s="797"/>
    </row>
    <row r="113" spans="1:12" s="966" customFormat="1">
      <c r="A113" s="2335"/>
      <c r="D113" s="2336"/>
      <c r="K113" s="797"/>
      <c r="L113" s="797"/>
    </row>
    <row r="114" spans="1:12" s="966" customFormat="1">
      <c r="A114" s="2335"/>
      <c r="D114" s="2336"/>
      <c r="K114" s="797"/>
      <c r="L114" s="797"/>
    </row>
    <row r="115" spans="1:12" s="966" customFormat="1">
      <c r="A115" s="2335"/>
      <c r="D115" s="2336"/>
      <c r="K115" s="797"/>
      <c r="L115" s="797"/>
    </row>
    <row r="116" spans="1:12" s="966" customFormat="1">
      <c r="A116" s="2335"/>
      <c r="D116" s="2336"/>
      <c r="K116" s="797"/>
      <c r="L116" s="797"/>
    </row>
    <row r="117" spans="1:12" s="966" customFormat="1">
      <c r="A117" s="2335"/>
      <c r="D117" s="2336"/>
      <c r="K117" s="797"/>
      <c r="L117" s="797"/>
    </row>
    <row r="118" spans="1:12" s="966" customFormat="1">
      <c r="A118" s="2335"/>
      <c r="D118" s="2336"/>
      <c r="K118" s="797"/>
      <c r="L118" s="797"/>
    </row>
    <row r="119" spans="1:12" s="966" customFormat="1">
      <c r="A119" s="2335"/>
      <c r="D119" s="2336"/>
      <c r="K119" s="797"/>
      <c r="L119" s="797"/>
    </row>
    <row r="120" spans="1:12" s="966" customFormat="1">
      <c r="A120" s="2335"/>
      <c r="D120" s="2336"/>
      <c r="K120" s="797"/>
      <c r="L120" s="797"/>
    </row>
    <row r="121" spans="1:12" s="966" customFormat="1">
      <c r="A121" s="2335"/>
      <c r="D121" s="2336"/>
      <c r="K121" s="797"/>
      <c r="L121" s="797"/>
    </row>
    <row r="122" spans="1:12" s="966" customFormat="1">
      <c r="A122" s="2335"/>
      <c r="D122" s="2336"/>
      <c r="K122" s="797"/>
      <c r="L122" s="797"/>
    </row>
    <row r="123" spans="1:12" s="966" customFormat="1">
      <c r="A123" s="2335"/>
      <c r="D123" s="2336"/>
      <c r="K123" s="797"/>
      <c r="L123" s="797"/>
    </row>
    <row r="124" spans="1:12" s="966" customFormat="1">
      <c r="A124" s="2335"/>
      <c r="D124" s="2336"/>
      <c r="K124" s="797"/>
      <c r="L124" s="797"/>
    </row>
    <row r="125" spans="1:12" s="966" customFormat="1">
      <c r="A125" s="2335"/>
      <c r="D125" s="2336"/>
      <c r="K125" s="797"/>
      <c r="L125" s="797"/>
    </row>
    <row r="126" spans="1:12" s="966" customFormat="1">
      <c r="A126" s="2335"/>
      <c r="D126" s="2336"/>
      <c r="K126" s="797"/>
      <c r="L126" s="797"/>
    </row>
    <row r="127" spans="1:12" s="966" customFormat="1">
      <c r="A127" s="2335"/>
      <c r="D127" s="2336"/>
      <c r="K127" s="797"/>
      <c r="L127" s="797"/>
    </row>
    <row r="128" spans="1:12" s="966" customFormat="1">
      <c r="A128" s="2335"/>
      <c r="D128" s="2336"/>
      <c r="K128" s="797"/>
      <c r="L128" s="797"/>
    </row>
    <row r="129" spans="1:12" s="966" customFormat="1">
      <c r="A129" s="2335"/>
      <c r="D129" s="2336"/>
      <c r="K129" s="797"/>
      <c r="L129" s="797"/>
    </row>
    <row r="130" spans="1:12" s="966" customFormat="1">
      <c r="A130" s="2335"/>
      <c r="D130" s="2336"/>
      <c r="K130" s="797"/>
      <c r="L130" s="797"/>
    </row>
    <row r="131" spans="1:12" s="966" customFormat="1">
      <c r="A131" s="2335"/>
      <c r="D131" s="2336"/>
      <c r="K131" s="797"/>
      <c r="L131" s="797"/>
    </row>
    <row r="132" spans="1:12" s="966" customFormat="1">
      <c r="A132" s="2335"/>
      <c r="D132" s="2336"/>
      <c r="K132" s="797"/>
      <c r="L132" s="797"/>
    </row>
    <row r="133" spans="1:12" s="966"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115" t="s">
        <v>2080</v>
      </c>
      <c r="B1" s="3116"/>
      <c r="C1" s="3116"/>
      <c r="D1" s="3116"/>
      <c r="E1" s="3116"/>
      <c r="F1" s="3116"/>
      <c r="G1" s="311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2081</v>
      </c>
      <c r="D2" s="2360"/>
      <c r="E2" s="2361"/>
      <c r="F2" s="2280"/>
      <c r="G2" s="2359" t="s">
        <v>2082</v>
      </c>
      <c r="H2" s="2362"/>
      <c r="I2" s="2362"/>
      <c r="J2" s="2362"/>
      <c r="K2" s="2362"/>
      <c r="L2" s="2362"/>
      <c r="M2" s="2362"/>
      <c r="N2" s="2362"/>
      <c r="O2" s="2362"/>
      <c r="P2" s="2362"/>
      <c r="Q2" s="2362"/>
      <c r="R2" s="2362"/>
    </row>
    <row r="3" spans="1:29" ht="54">
      <c r="A3" s="415" t="s">
        <v>2083</v>
      </c>
      <c r="B3" s="1268" t="s">
        <v>2084</v>
      </c>
      <c r="C3" s="2364" t="s">
        <v>2085</v>
      </c>
      <c r="D3" s="2365"/>
      <c r="E3" s="431" t="s">
        <v>2083</v>
      </c>
      <c r="F3" s="2366" t="s">
        <v>2086</v>
      </c>
      <c r="G3" s="2367" t="s">
        <v>2087</v>
      </c>
      <c r="H3" s="2362"/>
      <c r="I3" s="2362"/>
      <c r="J3" s="2362"/>
      <c r="K3" s="2362"/>
      <c r="L3" s="2362"/>
      <c r="M3" s="2362"/>
      <c r="N3" s="2362"/>
      <c r="O3" s="2362"/>
      <c r="P3" s="2362"/>
      <c r="Q3" s="2362"/>
      <c r="R3" s="2362"/>
    </row>
    <row r="4" spans="1:29" ht="40.5">
      <c r="A4" s="431"/>
      <c r="B4" s="1793" t="s">
        <v>2088</v>
      </c>
      <c r="C4" s="2974" t="s">
        <v>3831</v>
      </c>
      <c r="D4" s="2365"/>
      <c r="E4" s="2369"/>
      <c r="F4" s="42" t="s">
        <v>2089</v>
      </c>
      <c r="G4" s="2370" t="s">
        <v>2090</v>
      </c>
      <c r="H4" s="2362"/>
      <c r="I4" s="2362"/>
      <c r="J4" s="2362"/>
      <c r="K4" s="2362"/>
      <c r="L4" s="2362"/>
      <c r="M4" s="2362"/>
      <c r="N4" s="2362"/>
      <c r="O4" s="2362"/>
      <c r="P4" s="2362"/>
      <c r="Q4" s="2362"/>
      <c r="R4" s="2362"/>
    </row>
    <row r="5" spans="1:29" ht="41.25">
      <c r="A5" s="431"/>
      <c r="B5" s="1793" t="s">
        <v>2091</v>
      </c>
      <c r="C5" s="2368" t="s">
        <v>2092</v>
      </c>
      <c r="D5" s="2365"/>
      <c r="E5" s="2369"/>
      <c r="F5" s="1793" t="s">
        <v>2093</v>
      </c>
      <c r="G5" s="2370" t="s">
        <v>2094</v>
      </c>
      <c r="H5" s="2362"/>
      <c r="I5" s="2362"/>
      <c r="J5" s="2362"/>
      <c r="K5" s="2362"/>
      <c r="L5" s="2362"/>
      <c r="M5" s="2362"/>
      <c r="N5" s="2362"/>
      <c r="O5" s="2362"/>
      <c r="P5" s="2362"/>
      <c r="Q5" s="2362"/>
      <c r="R5" s="2362"/>
    </row>
    <row r="6" spans="1:29" ht="54">
      <c r="A6" s="431"/>
      <c r="B6" s="1793" t="s">
        <v>2095</v>
      </c>
      <c r="C6" s="2975" t="s">
        <v>3832</v>
      </c>
      <c r="D6" s="2365"/>
      <c r="E6" s="2369"/>
      <c r="F6" s="1793" t="s">
        <v>2096</v>
      </c>
      <c r="G6" s="2370" t="s">
        <v>2097</v>
      </c>
      <c r="H6" s="2362"/>
      <c r="I6" s="2362"/>
      <c r="J6" s="2362"/>
      <c r="K6" s="2362"/>
      <c r="L6" s="2362"/>
      <c r="M6" s="2362"/>
      <c r="N6" s="2362"/>
      <c r="O6" s="2362"/>
      <c r="P6" s="2362"/>
      <c r="Q6" s="2362"/>
      <c r="R6" s="2362"/>
    </row>
    <row r="7" spans="1:29" ht="41.25" thickBot="1">
      <c r="A7" s="431"/>
      <c r="B7" s="1793" t="s">
        <v>2093</v>
      </c>
      <c r="C7" s="2975" t="s">
        <v>3833</v>
      </c>
      <c r="D7" s="2371"/>
      <c r="E7" s="2372"/>
      <c r="F7" s="2373" t="s">
        <v>2098</v>
      </c>
      <c r="G7" s="2374" t="s">
        <v>2099</v>
      </c>
      <c r="H7" s="2362"/>
      <c r="I7" s="2362"/>
      <c r="J7" s="2362"/>
      <c r="K7" s="2362"/>
      <c r="L7" s="2362"/>
      <c r="M7" s="2362"/>
      <c r="N7" s="2362"/>
      <c r="O7" s="2362"/>
      <c r="P7" s="2362"/>
      <c r="Q7" s="2362"/>
      <c r="R7" s="2362"/>
    </row>
    <row r="8" spans="1:29" ht="27">
      <c r="A8" s="431"/>
      <c r="B8" s="1793" t="s">
        <v>2096</v>
      </c>
      <c r="C8" s="2975" t="s">
        <v>3834</v>
      </c>
      <c r="D8" s="2371"/>
      <c r="E8" s="2371"/>
      <c r="F8" s="1133"/>
      <c r="G8" s="1133"/>
      <c r="H8" s="2362"/>
      <c r="I8" s="2362"/>
      <c r="J8" s="2362"/>
      <c r="K8" s="2362"/>
      <c r="L8" s="2362"/>
      <c r="M8" s="2362"/>
      <c r="N8" s="2362"/>
      <c r="O8" s="2362"/>
      <c r="P8" s="2362"/>
      <c r="Q8" s="2362"/>
      <c r="R8" s="2362"/>
    </row>
    <row r="9" spans="1:29" ht="40.5">
      <c r="A9" s="431"/>
      <c r="B9" s="1793" t="s">
        <v>2100</v>
      </c>
      <c r="C9" s="2974" t="s">
        <v>3835</v>
      </c>
      <c r="D9" s="2365"/>
      <c r="E9" s="2371"/>
      <c r="F9" s="1133"/>
      <c r="G9" s="1133"/>
      <c r="H9" s="2362"/>
      <c r="I9" s="2362"/>
      <c r="J9" s="2362"/>
      <c r="K9" s="2362"/>
      <c r="L9" s="2362"/>
      <c r="M9" s="2362"/>
      <c r="N9" s="2362"/>
      <c r="O9" s="2362"/>
      <c r="P9" s="2362"/>
      <c r="Q9" s="2362"/>
      <c r="R9" s="2362"/>
    </row>
    <row r="10" spans="1:29" s="117" customFormat="1" ht="15.75" thickBot="1">
      <c r="A10" s="2375"/>
      <c r="B10" s="2376" t="s">
        <v>2101</v>
      </c>
      <c r="C10" s="2976" t="s">
        <v>3836</v>
      </c>
      <c r="D10" s="2365"/>
      <c r="E10" s="2365"/>
      <c r="F10" s="1133"/>
      <c r="G10" s="1133"/>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1"/>
      <c r="C11" s="2365"/>
      <c r="D11" s="2365"/>
      <c r="E11" s="2365"/>
      <c r="F11" s="2371"/>
      <c r="G11" s="1151"/>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1"/>
      <c r="C12" s="2365"/>
      <c r="D12" s="2381"/>
      <c r="E12" s="2365"/>
      <c r="F12" s="2371"/>
      <c r="G12" s="1151"/>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2102</v>
      </c>
      <c r="B13" s="2381"/>
      <c r="C13" s="2381"/>
      <c r="D13" s="2388"/>
      <c r="E13" s="2381"/>
      <c r="F13" s="2381"/>
      <c r="G13" s="2381"/>
    </row>
    <row r="14" spans="1:29" ht="15.75" thickBot="1">
      <c r="A14" s="2392"/>
      <c r="B14" s="2393"/>
      <c r="C14" s="2394" t="s">
        <v>2103</v>
      </c>
      <c r="D14" s="2365"/>
      <c r="E14" s="2395"/>
      <c r="F14" s="2395"/>
      <c r="G14" s="2359" t="s">
        <v>2104</v>
      </c>
    </row>
    <row r="15" spans="1:29" ht="57">
      <c r="A15" s="68" t="s">
        <v>2105</v>
      </c>
      <c r="B15" s="1267" t="s">
        <v>2084</v>
      </c>
      <c r="C15" s="2396" t="str">
        <f>C3</f>
        <v>估价对象周边居住用地比例、居住小区规模和社区发展完善程度，综合评价居住社区成熟度一般</v>
      </c>
      <c r="D15" s="2365"/>
      <c r="E15" s="2397" t="s">
        <v>2106</v>
      </c>
      <c r="F15" s="1267" t="s">
        <v>2107</v>
      </c>
      <c r="G15" s="135" t="str">
        <f>G3</f>
        <v>估价对象位于XX开发区，园区建设成熟度XX，产业集聚程度XX</v>
      </c>
    </row>
    <row r="16" spans="1:29" ht="42.75">
      <c r="A16" s="644"/>
      <c r="B16" s="2398" t="s">
        <v>2088</v>
      </c>
      <c r="C16" s="2399" t="str">
        <f>C4</f>
        <v>估价对象位于江东新城，周边商业氛围一般，人流量一般，商业繁华度一般</v>
      </c>
      <c r="D16" s="2365"/>
      <c r="E16" s="2400"/>
      <c r="F16" s="2401" t="s">
        <v>2089</v>
      </c>
      <c r="G16" s="136" t="str">
        <f>G4</f>
        <v>估价对象周边道路状况、公共交通通达情况、停车便捷程度，综合评价交通便捷度较好</v>
      </c>
    </row>
    <row r="17" spans="1:18" ht="42.75">
      <c r="A17" s="644"/>
      <c r="B17" s="2398" t="s">
        <v>2091</v>
      </c>
      <c r="C17" s="2399" t="str">
        <f>C5</f>
        <v>估价对象位于XX商圈，周边办公楼项目较多，入驻率高，办公集聚程度较好</v>
      </c>
      <c r="D17" s="2371"/>
      <c r="E17" s="2400"/>
      <c r="F17" s="2401" t="s">
        <v>2108</v>
      </c>
      <c r="G17" s="1569"/>
    </row>
    <row r="18" spans="1:18" ht="57">
      <c r="A18" s="644"/>
      <c r="B18" s="2401" t="s">
        <v>2095</v>
      </c>
      <c r="C18" s="136" t="str">
        <f>C6</f>
        <v>估价对象周边道路状况较好、公共交通通达情况较好、停车便捷程度较好，综合评价交通便捷度较好</v>
      </c>
      <c r="D18" s="2371"/>
      <c r="E18" s="2400"/>
      <c r="F18" s="2401" t="s">
        <v>2098</v>
      </c>
      <c r="G18" s="136" t="str">
        <f>G7</f>
        <v>该园区内是否有污染型企业，绿化情况，卫生条件，整体环境状况判断</v>
      </c>
    </row>
    <row r="19" spans="1:18" ht="28.5">
      <c r="A19" s="644"/>
      <c r="B19" s="2401" t="s">
        <v>2109</v>
      </c>
      <c r="C19" s="1569"/>
      <c r="D19" s="2365"/>
      <c r="E19" s="2400"/>
      <c r="F19" s="1793" t="s">
        <v>2093</v>
      </c>
      <c r="G19" s="136" t="str">
        <f>G5</f>
        <v>估价对象所在区域公共配套设施齐备情况</v>
      </c>
    </row>
    <row r="20" spans="1:18" ht="42.75">
      <c r="A20" s="644"/>
      <c r="B20" s="2401" t="s">
        <v>2110</v>
      </c>
      <c r="C20" s="2399" t="str">
        <f>C9</f>
        <v>区域：江东公园，自然环境一般：；人文环境一般；综合评价环境状况一般</v>
      </c>
      <c r="D20" s="2371"/>
      <c r="E20" s="2400"/>
      <c r="F20" s="1793" t="s">
        <v>2111</v>
      </c>
      <c r="G20" s="136" t="str">
        <f>G6</f>
        <v>估价对象所在区域基础设施水平</v>
      </c>
    </row>
    <row r="21" spans="1:18" ht="28.5">
      <c r="A21" s="644"/>
      <c r="B21" s="1793" t="s">
        <v>2093</v>
      </c>
      <c r="C21" s="136" t="str">
        <f>C7</f>
        <v>估价对象所在区域公共配套设施齐备情况较好</v>
      </c>
      <c r="D21" s="2365"/>
      <c r="E21" s="2400"/>
      <c r="F21" s="2401" t="s">
        <v>2112</v>
      </c>
      <c r="G21" s="2402"/>
    </row>
    <row r="22" spans="1:18" ht="13.5" customHeight="1">
      <c r="A22" s="644"/>
      <c r="B22" s="1793" t="s">
        <v>2096</v>
      </c>
      <c r="C22" s="136" t="str">
        <f>C8</f>
        <v>估价对象所在区域基础设施水平为六通</v>
      </c>
      <c r="D22" s="2365"/>
      <c r="E22" s="2400"/>
      <c r="F22" s="2401" t="s">
        <v>2101</v>
      </c>
      <c r="G22" s="1569"/>
    </row>
    <row r="23" spans="1:18" s="2362" customFormat="1" ht="15.75" thickBot="1">
      <c r="A23" s="644"/>
      <c r="B23" s="2401" t="s">
        <v>2112</v>
      </c>
      <c r="C23" s="2402"/>
      <c r="D23" s="2389"/>
      <c r="E23" s="2403"/>
      <c r="F23" s="2404" t="s">
        <v>2113</v>
      </c>
      <c r="G23" s="2405"/>
      <c r="H23" s="2389"/>
      <c r="I23" s="2390"/>
      <c r="J23" s="2389"/>
      <c r="K23" s="2389"/>
      <c r="L23" s="2390"/>
      <c r="M23" s="2389"/>
      <c r="N23" s="2389"/>
      <c r="O23" s="2390"/>
      <c r="P23" s="2389"/>
      <c r="Q23" s="2389"/>
      <c r="R23" s="2391"/>
    </row>
    <row r="24" spans="1:18" s="2362" customFormat="1" ht="15.75" thickBot="1">
      <c r="A24" s="2406"/>
      <c r="B24" s="2404" t="s">
        <v>2114</v>
      </c>
      <c r="C24" s="137" t="str">
        <f>C10</f>
        <v>城市主干道—世纪大道</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RowHeight="13.5"/>
  <cols>
    <col min="1" max="1" width="23.375" style="1737" customWidth="1"/>
    <col min="2" max="9" width="15.75" style="1737" customWidth="1"/>
    <col min="10" max="16384" width="9" style="1737"/>
  </cols>
  <sheetData>
    <row r="1" spans="1:10" ht="16.5">
      <c r="A1" s="1742" t="s">
        <v>1365</v>
      </c>
      <c r="B1" s="1742">
        <f>SUM(B14:B23)</f>
        <v>18418.460000000006</v>
      </c>
      <c r="C1" s="1741"/>
      <c r="D1" s="1741"/>
      <c r="E1" s="1741"/>
      <c r="F1" s="1741"/>
      <c r="G1" s="1739"/>
    </row>
    <row r="2" spans="1:10" ht="16.5">
      <c r="A2" s="1742" t="s">
        <v>1353</v>
      </c>
      <c r="B2" s="1742">
        <f>SUM(C14:C23)</f>
        <v>3270.0800000000004</v>
      </c>
      <c r="C2" s="1741"/>
      <c r="D2" s="1741"/>
      <c r="E2" s="1741"/>
      <c r="F2" s="1741"/>
      <c r="G2" s="1739"/>
    </row>
    <row r="3" spans="1:10" ht="16.5">
      <c r="A3" s="1742" t="s">
        <v>1362</v>
      </c>
      <c r="B3" s="1743">
        <f>项目基本情况!D3</f>
        <v>43279</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40592</v>
      </c>
      <c r="C5" s="1742">
        <f ca="1">ROUND(B5*10000/$B$1,0)</f>
        <v>22039</v>
      </c>
      <c r="D5" s="1742">
        <f ca="1">ROUND(B5*10000/$B$2,0)</f>
        <v>124132</v>
      </c>
      <c r="E5" s="1741"/>
      <c r="F5" s="1739"/>
      <c r="G5" s="1739"/>
    </row>
    <row r="6" spans="1:10" ht="16.5">
      <c r="A6" s="1742" t="s">
        <v>1356</v>
      </c>
      <c r="B6" s="1742">
        <f ca="1">SUM(G14:G23)</f>
        <v>39993</v>
      </c>
      <c r="C6" s="1742">
        <f ca="1">ROUND(B6*10000/$B$1,0)</f>
        <v>21714</v>
      </c>
      <c r="D6" s="1742">
        <f ca="1">ROUND(B6*10000/$B$2,0)</f>
        <v>122300</v>
      </c>
      <c r="E6" s="1741"/>
      <c r="F6" s="1739"/>
      <c r="G6" s="1739"/>
    </row>
    <row r="7" spans="1:10" ht="16.5">
      <c r="A7" s="1742" t="s">
        <v>1364</v>
      </c>
      <c r="B7" s="1742">
        <f ca="1">SUM(H14:H23)</f>
        <v>599</v>
      </c>
      <c r="C7" s="1742">
        <f ca="1">ROUND(B7*10000/$B$1,0)</f>
        <v>325</v>
      </c>
      <c r="D7" s="1742">
        <f ca="1">ROUND(B7*10000/$B$2,0)</f>
        <v>1832</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140.88999999999999</v>
      </c>
      <c r="C14" s="1740">
        <f>结果表!C118</f>
        <v>25.01</v>
      </c>
      <c r="D14" s="1740">
        <f ca="1">结果表!H118</f>
        <v>599</v>
      </c>
      <c r="E14" s="1740">
        <f ca="1">ROUND(D14*10000/B14,0)</f>
        <v>42515</v>
      </c>
      <c r="F14" s="1740">
        <f ca="1">ROUND(D14*10000/C14,0)</f>
        <v>239504</v>
      </c>
      <c r="G14" s="1740" t="str">
        <f>结果表!D122</f>
        <v>——</v>
      </c>
      <c r="H14" s="1740">
        <f ca="1">结果表!D124</f>
        <v>599</v>
      </c>
      <c r="I14" s="1740" t="str">
        <f>结果表!D126</f>
        <v>——</v>
      </c>
      <c r="J14" s="1739"/>
    </row>
    <row r="15" spans="1:10" ht="16.5">
      <c r="A15" s="1738" t="s">
        <v>1349</v>
      </c>
      <c r="B15" s="1745">
        <f>'数据-汇总表'!E20</f>
        <v>18277.570000000007</v>
      </c>
      <c r="C15" s="1745">
        <f>'数据-汇总表'!D20</f>
        <v>3245.07</v>
      </c>
      <c r="D15" s="1745">
        <f ca="1">典型户型修正!S22-典型户型修正!S24</f>
        <v>39993</v>
      </c>
      <c r="E15" s="1740">
        <f t="shared" ref="E15:E23" ca="1" si="0">ROUND(D15*10000/B15,0)</f>
        <v>21881</v>
      </c>
      <c r="F15" s="1740">
        <f t="shared" ref="F15:F23" ca="1" si="1">ROUND(D15*10000/C15,0)</f>
        <v>123242</v>
      </c>
      <c r="G15" s="1746">
        <f ca="1">D15</f>
        <v>39993</v>
      </c>
      <c r="H15" s="1746" t="s">
        <v>3997</v>
      </c>
      <c r="I15" s="1745" t="s">
        <v>3997</v>
      </c>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I118" sqref="I118"/>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2115</v>
      </c>
      <c r="B1" s="2412"/>
      <c r="C1" s="2413" t="s">
        <v>3732</v>
      </c>
      <c r="D1" s="2412"/>
      <c r="E1" s="2412"/>
      <c r="F1" s="2414" t="s">
        <v>2116</v>
      </c>
      <c r="G1" s="2066" t="s">
        <v>3055</v>
      </c>
      <c r="H1" s="2415" t="str">
        <f>IF(G1="现房","——","估价对象范围")</f>
        <v>——</v>
      </c>
      <c r="I1" s="2416"/>
    </row>
    <row r="2" spans="1:12" ht="21.75" customHeight="1" thickBot="1">
      <c r="A2" s="3189" t="str">
        <f>项目基本情况!S2</f>
        <v>浙江省宁波市宁穿路960号1-2号等249套房地产</v>
      </c>
      <c r="B2" s="3190"/>
      <c r="C2" s="3190"/>
      <c r="D2" s="3190"/>
      <c r="E2" s="3190"/>
      <c r="F2" s="3190"/>
      <c r="G2" s="3190"/>
      <c r="H2" s="3190"/>
      <c r="I2" s="3191"/>
    </row>
    <row r="3" spans="1:12" ht="12.75">
      <c r="A3" s="3192" t="s">
        <v>2117</v>
      </c>
      <c r="B3" s="3193"/>
      <c r="C3" s="3193"/>
      <c r="D3" s="3193"/>
      <c r="E3" s="3193"/>
      <c r="F3" s="3193"/>
      <c r="G3" s="3193"/>
      <c r="H3" s="3193"/>
      <c r="I3" s="3193"/>
    </row>
    <row r="4" spans="1:12" ht="14.25">
      <c r="A4" s="2419" t="s">
        <v>2118</v>
      </c>
      <c r="B4" s="2420" t="s">
        <v>2119</v>
      </c>
      <c r="C4" s="2421" t="s">
        <v>3837</v>
      </c>
      <c r="D4" s="2421" t="s">
        <v>3830</v>
      </c>
      <c r="E4" s="3173" t="s">
        <v>2120</v>
      </c>
      <c r="F4" s="3186"/>
      <c r="G4" s="3186"/>
      <c r="H4" s="3186"/>
      <c r="I4" s="3174"/>
      <c r="K4" s="2422" t="str">
        <f>IF(ISNUMBER(FIND("比较法",结果表!C4)),"比较法",IF(ISNUMBER(FIND("成本法",结果表!C4)),"成本法",IF(ISNUMBER(FIND("假设开发法",结果表!C4)),"假设开发法",IF(ISNUMBER(FIND("收益法",结果表!C4)),"收益法","基准地价系数修正法"))))</f>
        <v>比较法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64" t="s">
        <v>2121</v>
      </c>
      <c r="B5" s="3090">
        <v>25</v>
      </c>
      <c r="C5" s="3194"/>
      <c r="D5" s="3182"/>
      <c r="E5" s="140" t="s">
        <v>2122</v>
      </c>
      <c r="F5" s="2423"/>
      <c r="G5" s="2423"/>
      <c r="H5" s="2423"/>
      <c r="I5" s="1829"/>
    </row>
    <row r="6" spans="1:12" ht="12.75">
      <c r="A6" s="3164"/>
      <c r="B6" s="3090"/>
      <c r="C6" s="3196"/>
      <c r="D6" s="3182"/>
      <c r="E6" s="140" t="s">
        <v>2123</v>
      </c>
      <c r="F6" s="2423"/>
      <c r="G6" s="2423"/>
      <c r="H6" s="2423"/>
      <c r="I6" s="1829"/>
    </row>
    <row r="7" spans="1:12" ht="12.75">
      <c r="A7" s="3164"/>
      <c r="B7" s="3090"/>
      <c r="C7" s="3195"/>
      <c r="D7" s="3182"/>
      <c r="E7" s="140" t="s">
        <v>2124</v>
      </c>
      <c r="F7" s="2423"/>
      <c r="G7" s="2423"/>
      <c r="H7" s="2423"/>
      <c r="I7" s="1829"/>
    </row>
    <row r="8" spans="1:12" ht="12.75">
      <c r="A8" s="3164" t="s">
        <v>2125</v>
      </c>
      <c r="B8" s="3090">
        <v>15</v>
      </c>
      <c r="C8" s="3194"/>
      <c r="D8" s="3182"/>
      <c r="E8" s="140" t="s">
        <v>2126</v>
      </c>
      <c r="F8" s="2423"/>
      <c r="G8" s="2423"/>
      <c r="H8" s="2423"/>
      <c r="I8" s="1829"/>
    </row>
    <row r="9" spans="1:12" ht="12.75">
      <c r="A9" s="3164"/>
      <c r="B9" s="3090"/>
      <c r="C9" s="3195"/>
      <c r="D9" s="3182"/>
      <c r="E9" s="140" t="s">
        <v>2127</v>
      </c>
      <c r="F9" s="2423"/>
      <c r="G9" s="2423"/>
      <c r="H9" s="2423"/>
      <c r="I9" s="1829"/>
    </row>
    <row r="10" spans="1:12" ht="12.75">
      <c r="A10" s="3164" t="s">
        <v>2128</v>
      </c>
      <c r="B10" s="3090">
        <v>15</v>
      </c>
      <c r="C10" s="3194"/>
      <c r="D10" s="3182"/>
      <c r="E10" s="140" t="s">
        <v>2129</v>
      </c>
      <c r="F10" s="2423"/>
      <c r="G10" s="2423"/>
      <c r="H10" s="2423"/>
      <c r="I10" s="1829"/>
    </row>
    <row r="11" spans="1:12" ht="12.75">
      <c r="A11" s="3164"/>
      <c r="B11" s="3090"/>
      <c r="C11" s="3195"/>
      <c r="D11" s="3182"/>
      <c r="E11" s="140" t="s">
        <v>2130</v>
      </c>
      <c r="F11" s="2423"/>
      <c r="G11" s="2423"/>
      <c r="H11" s="2423"/>
      <c r="I11" s="1829"/>
    </row>
    <row r="12" spans="1:12" ht="12.75">
      <c r="A12" s="3164" t="s">
        <v>2131</v>
      </c>
      <c r="B12" s="3090">
        <v>15</v>
      </c>
      <c r="C12" s="3194"/>
      <c r="D12" s="3182"/>
      <c r="E12" s="140" t="s">
        <v>2132</v>
      </c>
      <c r="F12" s="2423"/>
      <c r="G12" s="2423"/>
      <c r="H12" s="2423"/>
      <c r="I12" s="1829"/>
    </row>
    <row r="13" spans="1:12" ht="12.75">
      <c r="A13" s="3164"/>
      <c r="B13" s="3090"/>
      <c r="C13" s="3195"/>
      <c r="D13" s="3182"/>
      <c r="E13" s="140" t="s">
        <v>2133</v>
      </c>
      <c r="F13" s="2423"/>
      <c r="G13" s="2423"/>
      <c r="H13" s="2423"/>
      <c r="I13" s="1829"/>
    </row>
    <row r="14" spans="1:12" ht="12.75">
      <c r="A14" s="3164" t="s">
        <v>2134</v>
      </c>
      <c r="B14" s="3090">
        <v>30</v>
      </c>
      <c r="C14" s="3194">
        <v>5</v>
      </c>
      <c r="D14" s="3182">
        <v>5</v>
      </c>
      <c r="E14" s="140" t="s">
        <v>2135</v>
      </c>
      <c r="F14" s="2423"/>
      <c r="G14" s="2423"/>
      <c r="H14" s="2423"/>
      <c r="I14" s="1829"/>
    </row>
    <row r="15" spans="1:12" ht="12.75">
      <c r="A15" s="3164"/>
      <c r="B15" s="3090"/>
      <c r="C15" s="3196"/>
      <c r="D15" s="3182"/>
      <c r="E15" s="140" t="s">
        <v>2136</v>
      </c>
      <c r="F15" s="2423"/>
      <c r="G15" s="2423"/>
      <c r="H15" s="2423"/>
      <c r="I15" s="1829"/>
    </row>
    <row r="16" spans="1:12" ht="12.75">
      <c r="A16" s="3164"/>
      <c r="B16" s="3090"/>
      <c r="C16" s="3195"/>
      <c r="D16" s="3182"/>
      <c r="E16" s="140" t="s">
        <v>2137</v>
      </c>
      <c r="F16" s="2423"/>
      <c r="G16" s="2423"/>
      <c r="H16" s="2423"/>
      <c r="I16" s="1829"/>
    </row>
    <row r="17" spans="1:35" ht="15">
      <c r="A17" s="2424" t="s">
        <v>2138</v>
      </c>
      <c r="B17" s="64"/>
      <c r="C17" s="141">
        <f>SUM(C5:C16)</f>
        <v>5</v>
      </c>
      <c r="D17" s="141">
        <f>SUM(D5:D16)</f>
        <v>5</v>
      </c>
      <c r="E17" s="138"/>
      <c r="F17" s="138"/>
      <c r="G17" s="138"/>
      <c r="H17" s="138"/>
      <c r="I17" s="138"/>
      <c r="K17" s="2422"/>
      <c r="L17" s="2425" t="s">
        <v>2139</v>
      </c>
      <c r="M17" s="2425" t="s">
        <v>2140</v>
      </c>
    </row>
    <row r="18" spans="1:35" ht="15.75" thickBot="1">
      <c r="A18" s="2426" t="s">
        <v>2141</v>
      </c>
      <c r="B18" s="2427"/>
      <c r="C18" s="142">
        <f>ROUND(C17/SUM(C17:D17),2)</f>
        <v>0.5</v>
      </c>
      <c r="D18" s="142">
        <f>1-C18</f>
        <v>0.5</v>
      </c>
      <c r="E18" s="138"/>
      <c r="F18" s="138"/>
      <c r="G18" s="138"/>
      <c r="H18" s="138"/>
      <c r="I18" s="138"/>
      <c r="K18" s="2422" t="s">
        <v>2142</v>
      </c>
      <c r="L18" s="2422">
        <f>IF(C1="",'数据-汇总表'!E3,SUMIF(项目类型,C1,'数据-汇总表'!E17:E26)+SUMIF(项目类型,C1,'数据-汇总表'!I17:I26))</f>
        <v>140.88999999999999</v>
      </c>
      <c r="M18" s="2422">
        <f>IF(C1="",'数据-汇总表'!E3,SUMIF(项目类型,C1,'数据-汇总表'!E17:E26))</f>
        <v>140.88999999999999</v>
      </c>
    </row>
    <row r="19" spans="1:35" ht="15">
      <c r="A19" s="2428" t="s">
        <v>2143</v>
      </c>
      <c r="B19" s="2429" t="s">
        <v>2144</v>
      </c>
      <c r="C19" s="143">
        <f ca="1">SUMIF(INDIRECT("'"&amp;C4&amp;"'"&amp;"!A:A"),结果表!B19,INDIRECT("'"&amp;C4&amp;"'"&amp;"!B:B"))</f>
        <v>651</v>
      </c>
      <c r="D19" s="144">
        <f ca="1">SUMIF(INDIRECT("'"&amp;D4&amp;"'"&amp;"!A:A"),结果表!B19,INDIRECT("'"&amp;D4&amp;"'"&amp;"!B:B"))</f>
        <v>547</v>
      </c>
      <c r="E19" s="2428" t="s">
        <v>2145</v>
      </c>
      <c r="F19" s="2429" t="s">
        <v>2144</v>
      </c>
      <c r="G19" s="145">
        <f ca="1">ROUND(C19*$C$18+D19*$D$18,0)</f>
        <v>599</v>
      </c>
      <c r="H19" s="2430" t="s">
        <v>2146</v>
      </c>
      <c r="I19" s="138"/>
      <c r="K19" s="2422" t="s">
        <v>2147</v>
      </c>
      <c r="L19" s="2422">
        <f>IF(C1="",'数据-汇总表'!D3,SUMIF(项目类型,C1,'数据-汇总表'!D17:D26)+SUMIF(项目类型,C1,'数据-汇总表'!H17:H27))</f>
        <v>25.01</v>
      </c>
      <c r="M19" s="2422">
        <f>IF(C1="",'数据-汇总表'!D3,SUMIF(项目类型,C1,'数据-汇总表'!D17:D26))</f>
        <v>25.01</v>
      </c>
    </row>
    <row r="20" spans="1:35" ht="15">
      <c r="A20" s="2431"/>
      <c r="B20" s="1247" t="s">
        <v>2148</v>
      </c>
      <c r="C20" s="146">
        <f ca="1">SUMIF(INDIRECT("'"&amp;C4&amp;"'"&amp;"!A:A"),结果表!B20,INDIRECT("'"&amp;C4&amp;"'"&amp;"!B:B"))</f>
        <v>46180</v>
      </c>
      <c r="D20" s="147">
        <f ca="1">SUMIF(INDIRECT("'"&amp;D4&amp;"'"&amp;"!A:A"),结果表!B20,INDIRECT("'"&amp;D4&amp;"'"&amp;"!B:B"))</f>
        <v>38817</v>
      </c>
      <c r="E20" s="2431"/>
      <c r="F20" s="1247" t="s">
        <v>2148</v>
      </c>
      <c r="G20" s="148">
        <f ca="1">ROUND(C20*$C$18+D20*$D$18,0)</f>
        <v>42499</v>
      </c>
      <c r="H20" s="982" t="s">
        <v>2149</v>
      </c>
      <c r="I20" s="138"/>
    </row>
    <row r="21" spans="1:35" ht="15" customHeight="1" thickBot="1">
      <c r="A21" s="1002"/>
      <c r="B21" s="2432" t="s">
        <v>2150</v>
      </c>
      <c r="C21" s="788">
        <f ca="1">ROUND(C19*10000/L19,0)</f>
        <v>260296</v>
      </c>
      <c r="D21" s="789">
        <f ca="1">ROUND(D19*10000/L19,0)</f>
        <v>218713</v>
      </c>
      <c r="E21" s="1002"/>
      <c r="F21" s="2432" t="s">
        <v>2150</v>
      </c>
      <c r="G21" s="149">
        <f ca="1">ROUND(G19*10000/L19,0)</f>
        <v>239504</v>
      </c>
      <c r="H21" s="2433" t="s">
        <v>2149</v>
      </c>
      <c r="I21" s="138"/>
    </row>
    <row r="22" spans="1:35" ht="15" thickBot="1">
      <c r="A22" s="2275" t="s">
        <v>2151</v>
      </c>
      <c r="B22" s="2434"/>
      <c r="C22" s="2435"/>
      <c r="D22" s="790">
        <f ca="1">IF(C19&lt;D19,D19/C19-1,C19/D19-1)</f>
        <v>0.19012797074954291</v>
      </c>
      <c r="E22" s="138"/>
      <c r="F22" s="138"/>
      <c r="G22" s="138"/>
      <c r="H22" s="138"/>
      <c r="I22" s="138"/>
    </row>
    <row r="23" spans="1:35" ht="13.5" thickBot="1">
      <c r="A23" s="2412"/>
      <c r="B23" s="2412"/>
      <c r="C23" s="2412"/>
      <c r="D23" s="2412"/>
      <c r="E23" s="138"/>
      <c r="F23" s="138"/>
      <c r="G23" s="138"/>
      <c r="H23" s="138"/>
      <c r="I23" s="138"/>
    </row>
    <row r="24" spans="1:35" ht="14.25">
      <c r="A24" s="3203" t="s">
        <v>2152</v>
      </c>
      <c r="B24" s="2429" t="s">
        <v>2144</v>
      </c>
      <c r="C24" s="145">
        <f>IF(B30=0,0,D30)</f>
        <v>0</v>
      </c>
      <c r="D24" s="2436"/>
      <c r="E24" s="138"/>
      <c r="F24" s="138"/>
      <c r="G24" s="138"/>
      <c r="H24" s="138"/>
      <c r="I24" s="138"/>
    </row>
    <row r="25" spans="1:35" ht="14.25">
      <c r="A25" s="3204"/>
      <c r="B25" s="1247" t="s">
        <v>2148</v>
      </c>
      <c r="C25" s="150">
        <f>IF(B30=0,0,C30)</f>
        <v>0</v>
      </c>
      <c r="D25" s="2437"/>
      <c r="E25" s="138"/>
      <c r="F25" s="138"/>
      <c r="G25" s="138"/>
      <c r="H25" s="138"/>
      <c r="I25" s="138"/>
    </row>
    <row r="26" spans="1:35" ht="13.5" customHeight="1">
      <c r="A26" s="2438" t="s">
        <v>2153</v>
      </c>
      <c r="B26" s="151" t="s">
        <v>2154</v>
      </c>
      <c r="C26" s="151" t="s">
        <v>2155</v>
      </c>
      <c r="D26" s="152" t="s">
        <v>2156</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2157</v>
      </c>
      <c r="B30" s="151"/>
      <c r="C30" s="151"/>
      <c r="D30" s="151"/>
      <c r="E30" s="2921" t="s">
        <v>3028</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2158</v>
      </c>
      <c r="B32" s="2442"/>
      <c r="C32" s="153">
        <f ca="1">IF(D32="总价",G19-C24,G20-C25)</f>
        <v>599</v>
      </c>
      <c r="D32" s="2443" t="s">
        <v>2159</v>
      </c>
      <c r="E32" s="138"/>
      <c r="F32" s="138"/>
      <c r="G32" s="138"/>
      <c r="H32" s="138"/>
      <c r="I32" s="138"/>
    </row>
    <row r="33" spans="1:15" ht="15">
      <c r="A33" s="959" t="s">
        <v>2160</v>
      </c>
      <c r="B33" s="2444"/>
      <c r="C33" s="2445" t="s">
        <v>3921</v>
      </c>
      <c r="D33" s="2446" t="s">
        <v>3830</v>
      </c>
      <c r="E33" s="2447" t="s">
        <v>2161</v>
      </c>
      <c r="F33" s="2448" t="str">
        <f>IF(D32="楼面单价","取值（单价）","取值（总价）")</f>
        <v>取值（总价）</v>
      </c>
      <c r="G33" s="138"/>
      <c r="H33" s="138"/>
      <c r="I33" s="138"/>
    </row>
    <row r="34" spans="1:15" ht="15">
      <c r="A34" s="2449"/>
      <c r="B34" s="2450" t="s">
        <v>2162</v>
      </c>
      <c r="C34" s="157">
        <f ca="1">IF(C33="自定义",F34,C32-C35)</f>
        <v>466</v>
      </c>
      <c r="D34" s="1057">
        <f ca="1">IF(C33="自定义",ROUND(C34/C32,3),IF(C33="收益比率",SUMIF(INDIRECT("'"&amp;D33&amp;"'"&amp;"!b:b"),"土地收益比率",INDIRECT("'"&amp;D33&amp;"'"&amp;"!c:c")),SUMIF(INDIRECT("'"&amp;D33&amp;"'"&amp;"!b:b"),"土地成本比率",INDIRECT("'"&amp;D33&amp;"'"&amp;"!c:c"))))</f>
        <v>0.77800000000000002</v>
      </c>
      <c r="E34" s="2451" t="s">
        <v>2163</v>
      </c>
      <c r="F34" s="1735"/>
      <c r="G34" s="138"/>
      <c r="H34" s="138"/>
      <c r="I34" s="138"/>
    </row>
    <row r="35" spans="1:15" ht="15.75" thickBot="1">
      <c r="A35" s="2452"/>
      <c r="B35" s="2453" t="s">
        <v>2164</v>
      </c>
      <c r="C35" s="1441">
        <f ca="1">IF(C33="自定义",F35,ROUND(C32*D35,0))</f>
        <v>133</v>
      </c>
      <c r="D35" s="1442">
        <f ca="1">IF(C33="自定义",ROUND(C35/C32,3),IF(C33="收益比率",SUMIF(INDIRECT("'"&amp;D33&amp;"'"&amp;"!b:b"),"建筑物收益比率",INDIRECT("'"&amp;D33&amp;"'"&amp;"!c:c")),SUMIF(INDIRECT("'"&amp;D33&amp;"'"&amp;"!b:b"),"建筑物成本比率",INDIRECT("'"&amp;D33&amp;"'"&amp;"!c:c"))))</f>
        <v>0.222</v>
      </c>
      <c r="E35" s="2454" t="s">
        <v>2165</v>
      </c>
      <c r="F35" s="163"/>
      <c r="G35" s="138"/>
      <c r="H35" s="138"/>
      <c r="I35" s="138"/>
    </row>
    <row r="36" spans="1:15" ht="15.75" thickBot="1">
      <c r="A36" s="3183" t="s">
        <v>2166</v>
      </c>
      <c r="B36" s="2455" t="s">
        <v>2167</v>
      </c>
      <c r="C36" s="154">
        <v>25000</v>
      </c>
      <c r="D36" s="2456"/>
      <c r="E36" s="2457"/>
      <c r="F36" s="2458"/>
      <c r="G36" s="138"/>
      <c r="H36" s="138"/>
      <c r="I36" s="138"/>
    </row>
    <row r="37" spans="1:15" ht="15.75" thickBot="1">
      <c r="A37" s="3184"/>
      <c r="B37" s="2261" t="s">
        <v>2168</v>
      </c>
      <c r="C37" s="156"/>
      <c r="D37" s="1392"/>
      <c r="E37" s="1392"/>
      <c r="F37" s="2458"/>
      <c r="G37" s="138"/>
      <c r="H37" s="138"/>
      <c r="I37" s="138"/>
    </row>
    <row r="38" spans="1:15" ht="15.75" thickBot="1">
      <c r="A38" s="3185"/>
      <c r="B38" s="2459" t="s">
        <v>2169</v>
      </c>
      <c r="C38" s="726"/>
      <c r="D38" s="2460" t="s">
        <v>2170</v>
      </c>
      <c r="E38" s="1392"/>
      <c r="F38" s="2458"/>
      <c r="G38" s="138"/>
      <c r="H38" s="138"/>
      <c r="I38" s="138"/>
    </row>
    <row r="39" spans="1:15" ht="15">
      <c r="A39" s="2431" t="s">
        <v>2171</v>
      </c>
      <c r="B39" s="2461" t="s">
        <v>2172</v>
      </c>
      <c r="C39" s="2462" t="s">
        <v>2173</v>
      </c>
      <c r="D39" s="2462" t="s">
        <v>2174</v>
      </c>
      <c r="E39" s="2463" t="s">
        <v>2175</v>
      </c>
      <c r="F39" s="2458"/>
      <c r="G39" s="138"/>
      <c r="H39" s="138"/>
      <c r="I39" s="138"/>
    </row>
    <row r="40" spans="1:15" ht="14.25">
      <c r="A40" s="2464" t="s">
        <v>2176</v>
      </c>
      <c r="B40" s="158"/>
      <c r="C40" s="159"/>
      <c r="D40" s="159"/>
      <c r="E40" s="160"/>
      <c r="F40" s="2458"/>
      <c r="G40" s="138"/>
      <c r="H40" s="138"/>
      <c r="I40" s="138"/>
    </row>
    <row r="41" spans="1:15" ht="14.25">
      <c r="A41" s="2464" t="s">
        <v>2177</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2178</v>
      </c>
      <c r="B44" s="2469"/>
      <c r="C44" s="2469"/>
      <c r="D44" s="2470"/>
      <c r="E44" s="2470"/>
      <c r="F44" s="2471"/>
      <c r="G44" s="2471"/>
      <c r="H44" s="2471"/>
      <c r="I44" s="2471"/>
      <c r="J44" s="2472" t="s">
        <v>2179</v>
      </c>
      <c r="K44" s="2473"/>
      <c r="L44" s="2473"/>
      <c r="M44" s="2473"/>
      <c r="N44" s="2473"/>
      <c r="O44" s="2473"/>
    </row>
    <row r="45" spans="1:15" ht="14.25" customHeight="1" thickBot="1">
      <c r="A45" s="3200" t="s">
        <v>2180</v>
      </c>
      <c r="B45" s="3201"/>
      <c r="C45" s="3202"/>
      <c r="D45" s="164">
        <f ca="1">ROUND(H101*F45,0)</f>
        <v>599</v>
      </c>
      <c r="E45" s="165" t="s">
        <v>2181</v>
      </c>
      <c r="F45" s="166">
        <v>1</v>
      </c>
      <c r="G45" s="167" t="s">
        <v>2182</v>
      </c>
      <c r="H45" s="138"/>
      <c r="I45" s="138"/>
      <c r="J45" s="3119" t="s">
        <v>2183</v>
      </c>
      <c r="K45" s="3119"/>
      <c r="L45" s="3119"/>
      <c r="M45" s="3119"/>
      <c r="N45" s="3119"/>
      <c r="O45" s="3119"/>
    </row>
    <row r="46" spans="1:15" ht="14.25" customHeight="1">
      <c r="A46" s="3197" t="s">
        <v>2184</v>
      </c>
      <c r="B46" s="3198"/>
      <c r="C46" s="3198"/>
      <c r="D46" s="3198"/>
      <c r="E46" s="3198"/>
      <c r="F46" s="3198"/>
      <c r="G46" s="3199"/>
      <c r="H46" s="2474"/>
      <c r="I46" s="168"/>
      <c r="J46" s="1807">
        <v>1</v>
      </c>
      <c r="K46" s="3119" t="s">
        <v>2185</v>
      </c>
      <c r="L46" s="3119"/>
      <c r="M46" s="3120"/>
      <c r="N46" s="3120"/>
      <c r="O46" s="3120"/>
    </row>
    <row r="47" spans="1:15" ht="12" customHeight="1">
      <c r="A47" s="169" t="s">
        <v>2186</v>
      </c>
      <c r="B47" s="170"/>
      <c r="C47" s="171"/>
      <c r="D47" s="172" t="s">
        <v>2187</v>
      </c>
      <c r="E47" s="24" t="s">
        <v>2188</v>
      </c>
      <c r="F47" s="173" t="s">
        <v>2189</v>
      </c>
      <c r="G47" s="174" t="s">
        <v>2190</v>
      </c>
      <c r="H47" s="2474"/>
      <c r="I47" s="168"/>
      <c r="J47" s="1807">
        <v>2</v>
      </c>
      <c r="K47" s="3119" t="s">
        <v>2191</v>
      </c>
      <c r="L47" s="3119"/>
      <c r="M47" s="3121">
        <f>'数据-取费表'!B2</f>
        <v>43279</v>
      </c>
      <c r="N47" s="3121"/>
      <c r="O47" s="3121"/>
    </row>
    <row r="48" spans="1:15" ht="25.5">
      <c r="A48" s="3187" t="s">
        <v>2192</v>
      </c>
      <c r="B48" s="3188"/>
      <c r="C48" s="3188"/>
      <c r="D48" s="140">
        <f>IF(H48="情况1",0,IF(H48="情况2",D52,IF(H48="情况3",D53,IF(H48="情况4",D54))))</f>
        <v>0</v>
      </c>
      <c r="E48" s="1796" t="str">
        <f>IF(H48="情况4","(销售额-原购置价)×税（费）率","销售额×税（费）率")</f>
        <v>销售额×税（费）率</v>
      </c>
      <c r="F48" s="175" t="str">
        <f>IF(H48="情况1","免征",'数据-取费表'!B41)</f>
        <v>免征</v>
      </c>
      <c r="G48" s="2475" t="s">
        <v>2193</v>
      </c>
      <c r="H48" s="2476" t="s">
        <v>2194</v>
      </c>
      <c r="I48" s="2474"/>
      <c r="J48" s="1807">
        <v>3</v>
      </c>
      <c r="K48" s="3119" t="s">
        <v>2195</v>
      </c>
      <c r="L48" s="3119"/>
      <c r="M48" s="3122">
        <f ca="1">H101</f>
        <v>599</v>
      </c>
      <c r="N48" s="3122"/>
      <c r="O48" s="3122"/>
    </row>
    <row r="49" spans="1:35" ht="25.5" customHeight="1">
      <c r="A49" s="176" t="s">
        <v>2196</v>
      </c>
      <c r="B49" s="3167" t="s">
        <v>2197</v>
      </c>
      <c r="C49" s="3167"/>
      <c r="D49" s="177">
        <v>0</v>
      </c>
      <c r="E49" s="23" t="s">
        <v>2198</v>
      </c>
      <c r="F49" s="28" t="s">
        <v>34</v>
      </c>
      <c r="G49" s="3148"/>
      <c r="H49" s="138"/>
      <c r="I49" s="2477"/>
      <c r="J49" s="1807">
        <v>4</v>
      </c>
      <c r="K49" s="3119" t="str">
        <f>IF(项目基本情况!E8="房地产抵押价值","房地产抵押价值","抵押担保权已注销时的房地产抵押价值")</f>
        <v>抵押担保权已注销时的房地产抵押价值</v>
      </c>
      <c r="L49" s="3119"/>
      <c r="M49" s="3122">
        <f ca="1">IF(项目基本情况!E8="房地产抵押价值",H107,H109)</f>
        <v>599</v>
      </c>
      <c r="N49" s="3122"/>
      <c r="O49" s="3122"/>
    </row>
    <row r="50" spans="1:35" ht="25.5" customHeight="1">
      <c r="A50" s="178"/>
      <c r="B50" s="3167" t="s">
        <v>2199</v>
      </c>
      <c r="C50" s="3167"/>
      <c r="D50" s="179"/>
      <c r="E50" s="31"/>
      <c r="F50" s="180"/>
      <c r="G50" s="3149"/>
      <c r="H50" s="138"/>
      <c r="I50" s="2477"/>
      <c r="J50" s="3119" t="s">
        <v>2200</v>
      </c>
      <c r="K50" s="3119"/>
      <c r="L50" s="3119"/>
      <c r="M50" s="3119"/>
      <c r="N50" s="3119"/>
      <c r="O50" s="3119"/>
    </row>
    <row r="51" spans="1:35" ht="12" customHeight="1">
      <c r="A51" s="181"/>
      <c r="B51" s="3167" t="s">
        <v>2201</v>
      </c>
      <c r="C51" s="3167"/>
      <c r="D51" s="182"/>
      <c r="E51" s="30"/>
      <c r="F51" s="180"/>
      <c r="G51" s="3150"/>
      <c r="H51" s="138"/>
      <c r="I51" s="2477"/>
      <c r="J51" s="2478" t="s">
        <v>2202</v>
      </c>
      <c r="K51" s="3119" t="s">
        <v>2203</v>
      </c>
      <c r="L51" s="3119"/>
      <c r="M51" s="2478" t="s">
        <v>2204</v>
      </c>
      <c r="N51" s="2478" t="s">
        <v>2205</v>
      </c>
      <c r="O51" s="2478" t="s">
        <v>2206</v>
      </c>
    </row>
    <row r="52" spans="1:35" ht="24" customHeight="1">
      <c r="A52" s="183" t="s">
        <v>2207</v>
      </c>
      <c r="B52" s="3167" t="s">
        <v>2208</v>
      </c>
      <c r="C52" s="3167"/>
      <c r="D52" s="182">
        <f ca="1">ROUND(D45*'数据-取费表'!B41/(1+'数据-取费表'!C42),0)</f>
        <v>32</v>
      </c>
      <c r="E52" s="11" t="s">
        <v>2209</v>
      </c>
      <c r="F52" s="184">
        <f>'数据-取费表'!B41</f>
        <v>5.6000000000000001E-2</v>
      </c>
      <c r="G52" s="2479"/>
      <c r="H52" s="138"/>
      <c r="I52" s="2477"/>
      <c r="J52" s="1807">
        <v>1</v>
      </c>
      <c r="K52" s="3142" t="s">
        <v>2210</v>
      </c>
      <c r="L52" s="3142"/>
      <c r="M52" s="1750">
        <f>D48</f>
        <v>0</v>
      </c>
      <c r="N52" s="1807" t="str">
        <f>E48</f>
        <v>销售额×税（费）率</v>
      </c>
      <c r="O52" s="1751" t="str">
        <f>F48</f>
        <v>免征</v>
      </c>
    </row>
    <row r="53" spans="1:35" ht="12" customHeight="1">
      <c r="A53" s="183" t="s">
        <v>2211</v>
      </c>
      <c r="B53" s="3168" t="s">
        <v>2212</v>
      </c>
      <c r="C53" s="3169"/>
      <c r="D53" s="182">
        <f ca="1">ROUND(D45*'数据-取费表'!B41/(1+'数据-取费表'!C42),0)</f>
        <v>32</v>
      </c>
      <c r="E53" s="11" t="s">
        <v>2209</v>
      </c>
      <c r="F53" s="184">
        <f>'数据-取费表'!B41</f>
        <v>5.6000000000000001E-2</v>
      </c>
      <c r="G53" s="2479"/>
      <c r="H53" s="138"/>
      <c r="I53" s="2477"/>
      <c r="J53" s="1807">
        <v>2</v>
      </c>
      <c r="K53" s="3142" t="s">
        <v>2213</v>
      </c>
      <c r="L53" s="3142"/>
      <c r="M53" s="1750">
        <f t="shared" ref="M53:O54" ca="1" si="0">D55</f>
        <v>0</v>
      </c>
      <c r="N53" s="1807" t="str">
        <f t="shared" si="0"/>
        <v>销售额×税（费）率</v>
      </c>
      <c r="O53" s="1751">
        <f t="shared" si="0"/>
        <v>5.0000000000000001E-4</v>
      </c>
    </row>
    <row r="54" spans="1:35" ht="12" customHeight="1">
      <c r="A54" s="183" t="s">
        <v>2214</v>
      </c>
      <c r="B54" s="3168" t="s">
        <v>2215</v>
      </c>
      <c r="C54" s="3169"/>
      <c r="D54" s="182">
        <f ca="1">C68</f>
        <v>32</v>
      </c>
      <c r="E54" s="30" t="s">
        <v>2216</v>
      </c>
      <c r="F54" s="184">
        <f>'数据-取费表'!B41</f>
        <v>5.6000000000000001E-2</v>
      </c>
      <c r="G54" s="2479"/>
      <c r="H54" s="2480"/>
      <c r="I54" s="2477"/>
      <c r="J54" s="1807">
        <v>3</v>
      </c>
      <c r="K54" s="3142" t="s">
        <v>2217</v>
      </c>
      <c r="L54" s="3142"/>
      <c r="M54" s="1750">
        <f t="shared" ca="1" si="0"/>
        <v>339</v>
      </c>
      <c r="N54" s="1807" t="str">
        <f t="shared" si="0"/>
        <v>增值额×税（费）率</v>
      </c>
      <c r="O54" s="1752" t="str">
        <f t="shared" si="0"/>
        <v>——</v>
      </c>
    </row>
    <row r="55" spans="1:35" ht="24" customHeight="1">
      <c r="A55" s="3206" t="s">
        <v>2218</v>
      </c>
      <c r="B55" s="3188"/>
      <c r="C55" s="3188"/>
      <c r="D55" s="185">
        <f ca="1">IF(H55="个人住宅",0,ROUND(D45*I55,0))</f>
        <v>0</v>
      </c>
      <c r="E55" s="11" t="s">
        <v>2219</v>
      </c>
      <c r="F55" s="184">
        <f>IF(H55="正常",I55,"免征")</f>
        <v>5.0000000000000001E-4</v>
      </c>
      <c r="G55" s="2479"/>
      <c r="H55" s="2476" t="s">
        <v>2220</v>
      </c>
      <c r="I55" s="186">
        <f>'数据-取费表'!B49</f>
        <v>5.0000000000000001E-4</v>
      </c>
      <c r="J55" s="1807" t="str">
        <f>IF(H59="非个人房产","",4)</f>
        <v/>
      </c>
      <c r="K55" s="3142" t="str">
        <f>IF(H59="非个人房产","——","个人所得税")</f>
        <v>——</v>
      </c>
      <c r="L55" s="3142"/>
      <c r="M55" s="1753" t="str">
        <f>D59</f>
        <v>——</v>
      </c>
      <c r="N55" s="1805" t="str">
        <f>E59</f>
        <v>——</v>
      </c>
      <c r="O55" s="1754" t="str">
        <f>F59</f>
        <v>——</v>
      </c>
    </row>
    <row r="56" spans="1:35" ht="24.75">
      <c r="A56" s="3206" t="s">
        <v>2221</v>
      </c>
      <c r="B56" s="3188"/>
      <c r="C56" s="3188"/>
      <c r="D56" s="185">
        <f ca="1">IF(H56="个人住宅",D57,D58)</f>
        <v>339</v>
      </c>
      <c r="E56" s="11" t="s">
        <v>2222</v>
      </c>
      <c r="F56" s="184" t="str">
        <f>IF(H56="正常",F58,"免征")</f>
        <v>——</v>
      </c>
      <c r="G56" s="2481" t="s">
        <v>2223</v>
      </c>
      <c r="H56" s="2482" t="s">
        <v>2220</v>
      </c>
      <c r="I56" s="2483"/>
      <c r="J56" s="1807" t="str">
        <f>IF(项目基本情况!K6="上海银行",IF(J55="",4,J55+1),"")</f>
        <v/>
      </c>
      <c r="K56" s="3125" t="str">
        <f>IF(项目基本情况!K6="上海银行","其他处置费用","")</f>
        <v/>
      </c>
      <c r="L56" s="3126"/>
      <c r="M56" s="1750" t="str">
        <f>IF(项目基本情况!K6="上海银行",M69,"")</f>
        <v/>
      </c>
      <c r="N56" s="3128" t="str">
        <f>IF(项目基本情况!K6="上海银行","包含处置中涉及的律师、诉讼、拍卖、评估等费用","")</f>
        <v/>
      </c>
      <c r="O56" s="3129"/>
    </row>
    <row r="57" spans="1:35" ht="12.75">
      <c r="A57" s="183" t="s">
        <v>2196</v>
      </c>
      <c r="B57" s="3173" t="s">
        <v>2224</v>
      </c>
      <c r="C57" s="3174"/>
      <c r="D57" s="187">
        <v>0</v>
      </c>
      <c r="E57" s="23" t="s">
        <v>2198</v>
      </c>
      <c r="F57" s="155"/>
      <c r="G57" s="2479"/>
      <c r="H57" s="2483"/>
      <c r="I57" s="2483"/>
      <c r="J57" s="3142">
        <f>IF(AND(J55="",J56=""),4,IF(项目基本情况!K6="上海银行",结果表!J56+1,结果表!J55+1))</f>
        <v>4</v>
      </c>
      <c r="K57" s="3142" t="s">
        <v>2225</v>
      </c>
      <c r="L57" s="2484" t="s">
        <v>2226</v>
      </c>
      <c r="M57" s="1755"/>
      <c r="N57" s="1756">
        <f ca="1">SUMIF(M52:M56,"&lt;9e307")</f>
        <v>339</v>
      </c>
      <c r="O57" s="2485"/>
      <c r="P57" s="1749">
        <f ca="1">N57/M49</f>
        <v>0.56594323873121866</v>
      </c>
    </row>
    <row r="58" spans="1:35" ht="24.75">
      <c r="A58" s="183" t="s">
        <v>2207</v>
      </c>
      <c r="B58" s="3173" t="s">
        <v>2227</v>
      </c>
      <c r="C58" s="3186"/>
      <c r="D58" s="185">
        <f ca="1">IF(H58="转让取得",C81,C97)</f>
        <v>339</v>
      </c>
      <c r="E58" s="11" t="s">
        <v>2222</v>
      </c>
      <c r="F58" s="24" t="s">
        <v>34</v>
      </c>
      <c r="G58" s="2479"/>
      <c r="H58" s="2482" t="s">
        <v>2228</v>
      </c>
      <c r="I58" s="2483"/>
      <c r="J58" s="3142"/>
      <c r="K58" s="3142"/>
      <c r="L58" s="2484" t="s">
        <v>2229</v>
      </c>
      <c r="M58" s="1757"/>
      <c r="N58" s="2486" t="str">
        <f ca="1">NUMBERSTRING(INT(N57*10000),2)&amp;"元整"</f>
        <v>叁佰叁拾玖万元整</v>
      </c>
      <c r="O58" s="2487"/>
    </row>
    <row r="59" spans="1:35" ht="24.75" thickBot="1">
      <c r="A59" s="3146" t="s">
        <v>2230</v>
      </c>
      <c r="B59" s="3147"/>
      <c r="C59" s="3147"/>
      <c r="D59" s="188" t="str">
        <f>IF(H59="非个人房产","——",IF(H59="个人住宅",0,ROUND(D45*I59,0)))</f>
        <v>——</v>
      </c>
      <c r="E59" s="189" t="str">
        <f>IF(H59="非个人房产","——","销售额×税（费）率")</f>
        <v>——</v>
      </c>
      <c r="F59" s="190" t="str">
        <f>IF(H59="非个人房产","——",IF(H59="个人住宅","免征",I59))</f>
        <v>——</v>
      </c>
      <c r="G59" s="2488" t="s">
        <v>2223</v>
      </c>
      <c r="H59" s="2482" t="s">
        <v>2231</v>
      </c>
      <c r="I59" s="191">
        <v>0.01</v>
      </c>
      <c r="J59" s="3144">
        <f>J57+1</f>
        <v>5</v>
      </c>
      <c r="K59" s="3142" t="s">
        <v>2232</v>
      </c>
      <c r="L59" s="1807" t="s">
        <v>2226</v>
      </c>
      <c r="M59" s="1758"/>
      <c r="N59" s="1759">
        <f ca="1">M49-N57</f>
        <v>260</v>
      </c>
      <c r="O59" s="2489"/>
    </row>
    <row r="60" spans="1:35" ht="12" customHeight="1">
      <c r="A60" s="2490"/>
      <c r="B60" s="2412"/>
      <c r="C60" s="2412"/>
      <c r="D60" s="2412"/>
      <c r="E60" s="2160"/>
      <c r="F60" s="2483"/>
      <c r="G60" s="2483"/>
      <c r="H60" s="2491"/>
      <c r="I60" s="138"/>
      <c r="J60" s="3145"/>
      <c r="K60" s="3142"/>
      <c r="L60" s="2484" t="s">
        <v>2229</v>
      </c>
      <c r="M60" s="1757"/>
      <c r="N60" s="2486" t="str">
        <f ca="1">NUMBERSTRING(INT(N59*10000),2)&amp;"元整"</f>
        <v>贰佰陆拾万元整</v>
      </c>
      <c r="O60" s="2487"/>
    </row>
    <row r="61" spans="1:35" ht="13.5" thickBot="1">
      <c r="A61" s="3205" t="s">
        <v>2233</v>
      </c>
      <c r="B61" s="3205"/>
      <c r="C61" s="3205"/>
      <c r="D61" s="3205"/>
      <c r="E61" s="3205"/>
      <c r="F61" s="2483"/>
      <c r="G61" s="2483"/>
      <c r="H61" s="2491"/>
      <c r="I61" s="138"/>
      <c r="J61" s="1807">
        <f>J59+1</f>
        <v>6</v>
      </c>
      <c r="K61" s="3142" t="s">
        <v>2234</v>
      </c>
      <c r="L61" s="3142"/>
      <c r="M61" s="1760"/>
      <c r="N61" s="1761">
        <f ca="1">ROUND(N59*10000/'数据-汇总表'!E3,0)</f>
        <v>141</v>
      </c>
      <c r="O61" s="2492"/>
    </row>
    <row r="62" spans="1:35" ht="12.75">
      <c r="A62" s="3162" t="s">
        <v>2235</v>
      </c>
      <c r="B62" s="3163"/>
      <c r="C62" s="1799"/>
      <c r="D62" s="1799" t="s">
        <v>2236</v>
      </c>
      <c r="E62" s="192" t="s">
        <v>2237</v>
      </c>
      <c r="F62" s="2483"/>
      <c r="G62" s="2483"/>
      <c r="H62" s="2491"/>
      <c r="I62" s="138"/>
    </row>
    <row r="63" spans="1:35" ht="12.75">
      <c r="A63" s="203" t="s">
        <v>775</v>
      </c>
      <c r="B63" s="193" t="s">
        <v>2238</v>
      </c>
      <c r="C63" s="194">
        <f ca="1">ROUND((C64+C65)/(1+'数据-取费表'!C42),0)</f>
        <v>570</v>
      </c>
      <c r="D63" s="195"/>
      <c r="E63" s="196"/>
      <c r="F63" s="2483"/>
      <c r="G63" s="2483"/>
      <c r="H63" s="2491"/>
      <c r="I63" s="138"/>
      <c r="J63" s="3127" t="s">
        <v>2239</v>
      </c>
      <c r="K63" s="2493" t="s">
        <v>2240</v>
      </c>
      <c r="L63" s="1748">
        <f ca="1">IF(M49&gt;10000,M49*0.5%,IF(AND(M49&gt;1000,M49&lt;=10000),M49*1%,IF(AND(M49&gt;100,M49&lt;=1000),M49*3%,IF(AND(M49&gt;10,M49&lt;=100),M49*5%,M49*8%))))</f>
        <v>17.97</v>
      </c>
      <c r="M63" s="24">
        <f ca="1">ROUND(L63,1)</f>
        <v>18</v>
      </c>
      <c r="Z63" s="2417"/>
      <c r="AI63" s="2418"/>
    </row>
    <row r="64" spans="1:35" ht="14.25" customHeight="1">
      <c r="A64" s="197" t="s">
        <v>770</v>
      </c>
      <c r="B64" s="198" t="s">
        <v>2241</v>
      </c>
      <c r="C64" s="199">
        <f ca="1">D45</f>
        <v>599</v>
      </c>
      <c r="D64" s="200" t="s">
        <v>32</v>
      </c>
      <c r="E64" s="201"/>
      <c r="F64" s="2483"/>
      <c r="G64" s="2483"/>
      <c r="H64" s="2491"/>
      <c r="I64" s="138"/>
      <c r="J64" s="3127"/>
      <c r="K64" s="2493" t="s">
        <v>2242</v>
      </c>
      <c r="L64" s="1748">
        <f ca="1">IF(M49&gt;2000,M49*0.5%,IF(AND(M49&gt;1000,M49&lt;=2000),M49*0.6%,IF(AND(M49&gt;500,M49&lt;=1000),M49*0.7%,IF(AND(M49&gt;200,M49&lt;=500),M49*0.8%,IF(AND(M49&gt;100,M49&lt;=200),M49*0.9%,IF(AND(M49&gt;50,M49&lt;=100),M49*1%,IF(AND(M49&gt;20,M49&lt;=50),M49*1.5%,IF(AND(M49&gt;10,M49&lt;=20),M49*2%,IF(AND(M49&gt;1,M49&lt;=10),M49*2.5%)))))))))</f>
        <v>4.1929999999999996</v>
      </c>
      <c r="M64" s="24">
        <f t="shared" ref="M64:M65" ca="1" si="1">ROUND(L64,1)</f>
        <v>4.2</v>
      </c>
      <c r="N64" s="138" t="s">
        <v>2243</v>
      </c>
      <c r="Z64" s="2417"/>
      <c r="AI64" s="2418"/>
    </row>
    <row r="65" spans="1:35" ht="14.25" customHeight="1">
      <c r="A65" s="197" t="s">
        <v>771</v>
      </c>
      <c r="B65" s="198" t="s">
        <v>2244</v>
      </c>
      <c r="C65" s="202"/>
      <c r="D65" s="200"/>
      <c r="E65" s="201"/>
      <c r="F65" s="2483"/>
      <c r="G65" s="2483"/>
      <c r="H65" s="2491"/>
      <c r="I65" s="138"/>
      <c r="J65" s="3127"/>
      <c r="K65" s="2493" t="s">
        <v>2245</v>
      </c>
      <c r="L65" s="1748">
        <f ca="1">IF(M49&gt;1000,M49*0.1%,IF(AND(M49&gt;500,M49&lt;=1000),M49*0.5%,IF(AND(M49&gt;50,M49&lt;=500),M49*1%,IF(AND(M49&gt;1,M49&lt;=50),M49*1.5%))))</f>
        <v>2.9950000000000001</v>
      </c>
      <c r="M65" s="24">
        <f t="shared" ca="1" si="1"/>
        <v>3</v>
      </c>
      <c r="N65" s="138" t="s">
        <v>2243</v>
      </c>
      <c r="Z65" s="2417"/>
      <c r="AI65" s="2418"/>
    </row>
    <row r="66" spans="1:35" ht="14.25" customHeight="1">
      <c r="A66" s="203" t="s">
        <v>772</v>
      </c>
      <c r="B66" s="204" t="s">
        <v>2246</v>
      </c>
      <c r="C66" s="205"/>
      <c r="D66" s="206" t="s">
        <v>32</v>
      </c>
      <c r="E66" s="1771" t="s">
        <v>1371</v>
      </c>
      <c r="F66" s="2483"/>
      <c r="G66" s="2483"/>
      <c r="H66" s="2491"/>
      <c r="I66" s="138"/>
      <c r="J66" s="3127"/>
      <c r="K66" s="2493" t="s">
        <v>2247</v>
      </c>
      <c r="L66" s="1748">
        <f ca="1">M49*0.5%</f>
        <v>2.9950000000000001</v>
      </c>
      <c r="M66" s="24">
        <f ca="1">IF(L66&gt;0.5,0.5,ROUND(L66,0))</f>
        <v>0.5</v>
      </c>
      <c r="N66" s="138" t="s">
        <v>2248</v>
      </c>
      <c r="Z66" s="2417"/>
      <c r="AI66" s="2418"/>
    </row>
    <row r="67" spans="1:35" ht="14.25" customHeight="1">
      <c r="A67" s="203" t="s">
        <v>773</v>
      </c>
      <c r="B67" s="204" t="s">
        <v>2249</v>
      </c>
      <c r="C67" s="207">
        <f ca="1">C63-C66</f>
        <v>570</v>
      </c>
      <c r="D67" s="200" t="s">
        <v>32</v>
      </c>
      <c r="E67" s="201"/>
      <c r="F67" s="2483"/>
      <c r="G67" s="2483"/>
      <c r="H67" s="2491"/>
      <c r="I67" s="138"/>
      <c r="J67" s="3127"/>
      <c r="K67" s="2493" t="s">
        <v>2250</v>
      </c>
      <c r="L67" s="1748">
        <f ca="1">IF(M49&gt;=10000,(8.25+(M49-10000)*0.01%),IF(AND(M49&gt;=8000,M49&lt;10000),(7.85+(M49-8000)*0.02%),IF(AND(M49&gt;=5000,M49&lt;8000),(6.65+(M49-5000)*0.04%),IF(AND(M49&gt;=2000,M49&lt;5000),(4.25+(PM49-2000)*0.08%),IF(AND(M49&gt;=1000,M49&lt;2000),(2.75+(M49-1000)*0.15%),IF(AND(M49&gt;=100,M49&lt;1000),(0.5+(M49-100)*0.25%),IF(AND(M49&gt;0,M49&lt;100),M49*0.5%)))))))</f>
        <v>1.7475000000000001</v>
      </c>
      <c r="M67" s="24">
        <f ca="1">ROUND(L67*0.9,1)</f>
        <v>1.6</v>
      </c>
      <c r="Z67" s="2417"/>
      <c r="AI67" s="2418"/>
    </row>
    <row r="68" spans="1:35" ht="14.25" customHeight="1" thickBot="1">
      <c r="A68" s="208" t="s">
        <v>774</v>
      </c>
      <c r="B68" s="209" t="s">
        <v>2251</v>
      </c>
      <c r="C68" s="210">
        <f ca="1">IF(C67&lt;=0,0,ROUND(C67*D68,0))</f>
        <v>32</v>
      </c>
      <c r="D68" s="211">
        <f>'数据-取费表'!B41</f>
        <v>5.6000000000000001E-2</v>
      </c>
      <c r="E68" s="212"/>
      <c r="F68" s="2483"/>
      <c r="G68" s="2483"/>
      <c r="H68" s="2491"/>
      <c r="I68" s="138"/>
      <c r="J68" s="3127"/>
      <c r="K68" s="2493" t="s">
        <v>2252</v>
      </c>
      <c r="L68" s="1748">
        <f ca="1">IF(M49&gt;10000,M49*0.5%,IF(AND(M49&gt;5000,M49&lt;=10000),M49*1%,IF(AND(M49&gt;1000,M49&lt;=5000),M49*2%,IF(AND(M49&gt;200,M49&lt;=1000),M49*3%,M49*5%))))</f>
        <v>17.97</v>
      </c>
      <c r="M68" s="24">
        <f ca="1">ROUND(L68,1)</f>
        <v>18</v>
      </c>
      <c r="Z68" s="2417"/>
      <c r="AI68" s="2418"/>
    </row>
    <row r="69" spans="1:35" s="2440" customFormat="1" ht="16.5" customHeight="1">
      <c r="A69" s="2494"/>
      <c r="B69" s="2495"/>
      <c r="C69" s="2496"/>
      <c r="D69" s="2497"/>
      <c r="E69" s="2498"/>
      <c r="F69" s="2160"/>
      <c r="G69" s="2160"/>
      <c r="H69" s="2159"/>
      <c r="I69" s="2412"/>
      <c r="J69" s="3127"/>
      <c r="K69" s="2493" t="s">
        <v>2253</v>
      </c>
      <c r="L69" s="2499"/>
      <c r="M69" s="24">
        <f ca="1">ROUND(SUM(M63:M68),0)</f>
        <v>45</v>
      </c>
      <c r="N69" s="1749">
        <f ca="1">M69/M49</f>
        <v>7.512520868113523E-2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71" t="s">
        <v>2254</v>
      </c>
      <c r="B70" s="3172"/>
      <c r="C70" s="3172"/>
      <c r="D70" s="3172"/>
      <c r="E70" s="3172"/>
      <c r="F70" s="3172"/>
      <c r="G70" s="3172"/>
      <c r="H70" s="317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62" t="s">
        <v>2235</v>
      </c>
      <c r="B71" s="3163"/>
      <c r="C71" s="1799"/>
      <c r="D71" s="1799" t="s">
        <v>2236</v>
      </c>
      <c r="E71" s="213" t="s">
        <v>2237</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2255</v>
      </c>
      <c r="C72" s="207">
        <f ca="1">ROUND(D45/(1+'数据-取费表'!C42),0)</f>
        <v>570</v>
      </c>
      <c r="D72" s="200" t="s">
        <v>32</v>
      </c>
      <c r="E72" s="1798"/>
      <c r="F72" s="1792"/>
      <c r="G72" s="1792"/>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2256</v>
      </c>
      <c r="C73" s="207">
        <f ca="1">C74+C78</f>
        <v>3</v>
      </c>
      <c r="D73" s="200" t="s">
        <v>32</v>
      </c>
      <c r="E73" s="1798"/>
      <c r="F73" s="1792"/>
      <c r="G73" s="1792"/>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2257</v>
      </c>
      <c r="C74" s="200">
        <f>ROUND(IF(G77="2016年5月1日后购买",C75/(1+'数据-取费表'!C42)+C76+C77,C75+C76+C77),0)</f>
        <v>0</v>
      </c>
      <c r="D74" s="200" t="s">
        <v>32</v>
      </c>
      <c r="E74" s="1798"/>
      <c r="F74" s="1792"/>
      <c r="G74" s="1792"/>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2258</v>
      </c>
      <c r="C75" s="218"/>
      <c r="D75" s="200" t="s">
        <v>32</v>
      </c>
      <c r="E75" s="219" t="s">
        <v>2259</v>
      </c>
      <c r="F75" s="2505" t="s">
        <v>2260</v>
      </c>
      <c r="G75" s="219" t="s">
        <v>2261</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2262</v>
      </c>
      <c r="C76" s="200">
        <f>IF(F75="购房发票",ROUND(C75*H75*D76,0),0)</f>
        <v>0</v>
      </c>
      <c r="D76" s="222">
        <v>0.05</v>
      </c>
      <c r="E76" s="3168" t="s">
        <v>2263</v>
      </c>
      <c r="F76" s="3167"/>
      <c r="G76" s="3167"/>
      <c r="H76" s="317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7" t="s">
        <v>2266</v>
      </c>
      <c r="H77" s="180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2267</v>
      </c>
      <c r="C78" s="225">
        <f ca="1">ROUND(D45*D78/(1+'数据-取费表'!C42),0)</f>
        <v>3</v>
      </c>
      <c r="D78" s="226">
        <f>'数据-取费表'!B43</f>
        <v>6.000000000000001E-3</v>
      </c>
      <c r="E78" s="3159" t="s">
        <v>2268</v>
      </c>
      <c r="F78" s="3160"/>
      <c r="G78" s="3160"/>
      <c r="H78" s="316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2269</v>
      </c>
      <c r="C79" s="207">
        <f ca="1">C72-C73</f>
        <v>567</v>
      </c>
      <c r="D79" s="200" t="s">
        <v>32</v>
      </c>
      <c r="E79" s="1798"/>
      <c r="F79" s="1792"/>
      <c r="G79" s="1792"/>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2270</v>
      </c>
      <c r="C80" s="227">
        <f ca="1">IF(C79&lt;=0,0,C79/C73)</f>
        <v>189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2271</v>
      </c>
      <c r="C81" s="228">
        <f ca="1">ROUND(IF(C79&lt;=0,0,IF(C80&gt;=200%,C79*60%-C73*35%,IF(C80&gt;=100%,C79*50%-C73*15%,IF(C80&gt;=50%,C79*40%-C73*5%,IF(C80&lt;50%,C79*30%,0))))),0)</f>
        <v>339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71" t="s">
        <v>2272</v>
      </c>
      <c r="B83" s="3172"/>
      <c r="C83" s="3172"/>
      <c r="D83" s="3172"/>
      <c r="E83" s="3172"/>
      <c r="F83" s="3172"/>
      <c r="G83" s="3172"/>
      <c r="H83" s="317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62" t="s">
        <v>2235</v>
      </c>
      <c r="B84" s="3163"/>
      <c r="C84" s="1799"/>
      <c r="D84" s="1799" t="s">
        <v>2236</v>
      </c>
      <c r="E84" s="213" t="s">
        <v>2237</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2255</v>
      </c>
      <c r="C85" s="207">
        <f ca="1">ROUND(D45/(1+'数据-取费表'!C42),0)</f>
        <v>570</v>
      </c>
      <c r="D85" s="200" t="s">
        <v>32</v>
      </c>
      <c r="E85" s="1798"/>
      <c r="F85" s="1792"/>
      <c r="G85" s="1792"/>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2256</v>
      </c>
      <c r="C86" s="207">
        <f ca="1">IF(H88="仅含出让金",C87+C90+C91+C92+C93+C94,C87+C91+C92+C93+C94)</f>
        <v>3</v>
      </c>
      <c r="D86" s="235"/>
      <c r="E86" s="1798"/>
      <c r="F86" s="1792"/>
      <c r="G86" s="1792"/>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2273</v>
      </c>
      <c r="C87" s="225">
        <f>C88+C89</f>
        <v>0</v>
      </c>
      <c r="D87" s="226"/>
      <c r="E87" s="1794"/>
      <c r="F87" s="1795"/>
      <c r="G87" s="1795"/>
      <c r="H87" s="179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2274</v>
      </c>
      <c r="C88" s="236"/>
      <c r="D88" s="226"/>
      <c r="E88" s="237" t="s">
        <v>2275</v>
      </c>
      <c r="F88" s="1795"/>
      <c r="G88" s="238" t="s">
        <v>2276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2264</v>
      </c>
      <c r="C89" s="225">
        <f>ROUND(C88*D89,0)</f>
        <v>0</v>
      </c>
      <c r="D89" s="226">
        <f>'数据-取费表'!B48+'数据-取费表'!B49</f>
        <v>3.0499999999999999E-2</v>
      </c>
      <c r="E89" s="237" t="s">
        <v>2277</v>
      </c>
      <c r="F89" s="1795"/>
      <c r="G89" s="1795"/>
      <c r="H89" s="179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2278</v>
      </c>
      <c r="C90" s="236"/>
      <c r="D90" s="226"/>
      <c r="E90" s="237" t="str">
        <f>IF(H88="-","土地取得成本中已包含该笔费用"," ")</f>
        <v xml:space="preserve"> </v>
      </c>
      <c r="F90" s="1795"/>
      <c r="G90" s="1795"/>
      <c r="H90" s="179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2279</v>
      </c>
      <c r="B91" s="198" t="s">
        <v>2280</v>
      </c>
      <c r="C91" s="225">
        <f>IF(H91="——",成本法!C33,I91)</f>
        <v>0</v>
      </c>
      <c r="D91" s="226"/>
      <c r="E91" s="3159" t="s">
        <v>2281</v>
      </c>
      <c r="F91" s="3160"/>
      <c r="G91" s="3160"/>
      <c r="H91" s="2512" t="s">
        <v>2282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2283</v>
      </c>
      <c r="B92" s="198" t="s">
        <v>2284</v>
      </c>
      <c r="C92" s="225">
        <f>ROUND((C87+C90+C91)*D92,0)</f>
        <v>0</v>
      </c>
      <c r="D92" s="226">
        <v>0.1</v>
      </c>
      <c r="E92" s="3159" t="s">
        <v>2285</v>
      </c>
      <c r="F92" s="3160"/>
      <c r="G92" s="3160"/>
      <c r="H92" s="316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2286</v>
      </c>
      <c r="B93" s="198" t="s">
        <v>2267</v>
      </c>
      <c r="C93" s="225">
        <f ca="1">ROUND(D45*D93/(1+'数据-取费表'!C42),0)</f>
        <v>3</v>
      </c>
      <c r="D93" s="226">
        <f>'数据-取费表'!B43</f>
        <v>6.000000000000001E-3</v>
      </c>
      <c r="E93" s="3159" t="s">
        <v>2268</v>
      </c>
      <c r="F93" s="3160"/>
      <c r="G93" s="3160"/>
      <c r="H93" s="316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2287</v>
      </c>
      <c r="B94" s="198" t="s">
        <v>2288</v>
      </c>
      <c r="C94" s="236">
        <f>ROUND((C87+C90+C91)*D94,0)</f>
        <v>0</v>
      </c>
      <c r="D94" s="226">
        <v>0.2</v>
      </c>
      <c r="E94" s="3207" t="s">
        <v>2289</v>
      </c>
      <c r="F94" s="3208"/>
      <c r="G94" s="3208"/>
      <c r="H94" s="320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2269</v>
      </c>
      <c r="C95" s="207">
        <f ca="1">ROUND(C85-C86,0)</f>
        <v>567</v>
      </c>
      <c r="D95" s="200" t="s">
        <v>32</v>
      </c>
      <c r="E95" s="1798"/>
      <c r="F95" s="1792"/>
      <c r="G95" s="1792"/>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2270</v>
      </c>
      <c r="C96" s="227">
        <f ca="1">IF(C95&lt;=0,0,C95/C86)</f>
        <v>189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2271</v>
      </c>
      <c r="C97" s="228">
        <f ca="1">ROUND(IF(C95&lt;=0,0,IF(C96&gt;=200%,C95*60%-C86*35%,IF(C96&gt;=100%,C95*50%-C86*15%,IF(C96&gt;=50%,C95*40%-C86*5%,IF(C96&lt;50%,C95*30%,0))))),0)</f>
        <v>339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2290</v>
      </c>
      <c r="B99" s="2412"/>
      <c r="C99" s="2412"/>
      <c r="D99" s="2412"/>
      <c r="E99" s="2160"/>
      <c r="F99" s="2160"/>
      <c r="G99" s="2160"/>
      <c r="H99" s="2159"/>
      <c r="I99" s="138"/>
    </row>
    <row r="100" spans="1:35" ht="18.75" customHeight="1">
      <c r="A100" s="3111" t="s">
        <v>2291</v>
      </c>
      <c r="B100" s="3112"/>
      <c r="C100" s="3112"/>
      <c r="D100" s="3143"/>
      <c r="E100" s="3112" t="s">
        <v>2292</v>
      </c>
      <c r="F100" s="3112"/>
      <c r="G100" s="3112"/>
      <c r="H100" s="3143"/>
      <c r="I100" s="138"/>
    </row>
    <row r="101" spans="1:35" ht="18.75" customHeight="1">
      <c r="A101" s="3151" t="s">
        <v>2293</v>
      </c>
      <c r="B101" s="3152"/>
      <c r="C101" s="735" t="str">
        <f>C4</f>
        <v>比较法-商业</v>
      </c>
      <c r="D101" s="736" t="str">
        <f>D4</f>
        <v>收益法 (元)</v>
      </c>
      <c r="E101" s="3123" t="s">
        <v>2294</v>
      </c>
      <c r="F101" s="3124"/>
      <c r="G101" s="2514" t="s">
        <v>2295</v>
      </c>
      <c r="H101" s="1047">
        <f ca="1">H118</f>
        <v>599</v>
      </c>
      <c r="I101" s="138"/>
    </row>
    <row r="102" spans="1:35" ht="18.75" customHeight="1">
      <c r="A102" s="3153" t="s">
        <v>2296</v>
      </c>
      <c r="B102" s="2514" t="s">
        <v>2295</v>
      </c>
      <c r="C102" s="735">
        <f ca="1">C19</f>
        <v>651</v>
      </c>
      <c r="D102" s="736">
        <f ca="1">D19</f>
        <v>547</v>
      </c>
      <c r="E102" s="3123"/>
      <c r="F102" s="3124"/>
      <c r="G102" s="2514" t="s">
        <v>2297</v>
      </c>
      <c r="H102" s="371">
        <f ca="1">I118</f>
        <v>42515</v>
      </c>
      <c r="I102" s="138"/>
    </row>
    <row r="103" spans="1:35" ht="42.75" customHeight="1">
      <c r="A103" s="3153"/>
      <c r="B103" s="2514" t="s">
        <v>2297</v>
      </c>
      <c r="C103" s="737">
        <f ca="1">C20</f>
        <v>46180</v>
      </c>
      <c r="D103" s="738">
        <f ca="1">D20</f>
        <v>38817</v>
      </c>
      <c r="E103" s="3117" t="s">
        <v>2298</v>
      </c>
      <c r="F103" s="3118"/>
      <c r="G103" s="2515" t="s">
        <v>2299</v>
      </c>
      <c r="H103" s="1047">
        <f>IF(D36="正常操作",H104+H105+H106,H105+H106)</f>
        <v>0</v>
      </c>
      <c r="I103" s="138"/>
    </row>
    <row r="104" spans="1:35" ht="18.75" customHeight="1">
      <c r="A104" s="3153" t="s">
        <v>2300</v>
      </c>
      <c r="B104" s="2516" t="s">
        <v>2295</v>
      </c>
      <c r="C104" s="739">
        <f ca="1">H118</f>
        <v>599</v>
      </c>
      <c r="D104" s="740"/>
      <c r="E104" s="2261" t="s">
        <v>2301</v>
      </c>
      <c r="F104" s="2252"/>
      <c r="G104" s="2515" t="s">
        <v>2299</v>
      </c>
      <c r="H104" s="1048">
        <f>IF(D36="同一抵押权人同一抵押物续贷",C36&amp;"（未扣减，详见特别提示）",C36)</f>
        <v>25000</v>
      </c>
      <c r="I104" s="138"/>
    </row>
    <row r="105" spans="1:35" ht="18.75" customHeight="1" thickBot="1">
      <c r="A105" s="3165"/>
      <c r="B105" s="2517" t="s">
        <v>2297</v>
      </c>
      <c r="C105" s="741">
        <f ca="1">I118</f>
        <v>42515</v>
      </c>
      <c r="D105" s="742"/>
      <c r="E105" s="2261" t="s">
        <v>2302</v>
      </c>
      <c r="F105" s="2252"/>
      <c r="G105" s="2515" t="s">
        <v>2299</v>
      </c>
      <c r="H105" s="1048">
        <f>C37</f>
        <v>0</v>
      </c>
      <c r="I105" s="138"/>
    </row>
    <row r="106" spans="1:35" ht="18.75" customHeight="1">
      <c r="A106" s="2412" t="s">
        <v>2303</v>
      </c>
      <c r="B106" s="2412"/>
      <c r="C106" s="2412"/>
      <c r="D106" s="2412"/>
      <c r="E106" s="2518" t="s">
        <v>2304</v>
      </c>
      <c r="F106" s="2252"/>
      <c r="G106" s="2515" t="s">
        <v>2299</v>
      </c>
      <c r="H106" s="1048">
        <f>C38</f>
        <v>0</v>
      </c>
      <c r="I106" s="138"/>
    </row>
    <row r="107" spans="1:35" ht="18.75" customHeight="1">
      <c r="A107" s="138"/>
      <c r="B107" s="138"/>
      <c r="C107" s="138"/>
      <c r="D107" s="138"/>
      <c r="E107" s="3154" t="str">
        <f>IF(项目基本情况!E8="已注销","——","3.房地产抵押价值")</f>
        <v>——</v>
      </c>
      <c r="F107" s="3124"/>
      <c r="G107" s="2514" t="s">
        <v>2295</v>
      </c>
      <c r="H107" s="1047" t="str">
        <f>IF(E107="——","——",H101-H103)</f>
        <v>——</v>
      </c>
      <c r="I107" s="138"/>
    </row>
    <row r="108" spans="1:35" ht="18.75" customHeight="1">
      <c r="A108" s="138"/>
      <c r="B108" s="138"/>
      <c r="C108" s="138"/>
      <c r="D108" s="138"/>
      <c r="E108" s="3154"/>
      <c r="F108" s="3124"/>
      <c r="G108" s="2514" t="s">
        <v>2297</v>
      </c>
      <c r="H108" s="371" t="e">
        <f>ROUND(H107*10000/'数据-汇总表'!E3,0)</f>
        <v>#VALUE!</v>
      </c>
      <c r="I108" s="138"/>
    </row>
    <row r="109" spans="1:35" ht="18.75" customHeight="1">
      <c r="A109" s="138"/>
      <c r="B109" s="138"/>
      <c r="C109" s="138"/>
      <c r="D109" s="138"/>
      <c r="E109" s="3154" t="str">
        <f>IF(项目基本情况!E8="已注销及未注销","4.抵押担保权已注销时的房地产抵押价值",IF(项目基本情况!E8="已注销","3.抵押担保权已注销时的房地产抵押价值","——"))</f>
        <v>3.抵押担保权已注销时的房地产抵押价值</v>
      </c>
      <c r="F109" s="3124"/>
      <c r="G109" s="2514" t="s">
        <v>2295</v>
      </c>
      <c r="H109" s="348">
        <f ca="1">IF(E109="——","——",H101-H105-H106)</f>
        <v>599</v>
      </c>
      <c r="I109" s="138"/>
    </row>
    <row r="110" spans="1:35" ht="18.75" customHeight="1">
      <c r="A110" s="138"/>
      <c r="B110" s="138"/>
      <c r="C110" s="138"/>
      <c r="D110" s="138"/>
      <c r="E110" s="3154"/>
      <c r="F110" s="3124"/>
      <c r="G110" s="2514" t="s">
        <v>2297</v>
      </c>
      <c r="H110" s="371">
        <f ca="1">IF(H109="——","——",ROUND(H109*10000/'数据-汇总表'!E3,0))</f>
        <v>325</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14" t="s">
        <v>2295</v>
      </c>
      <c r="H111" s="1047" t="str">
        <f>IF(E111="——","——",N59)</f>
        <v>——</v>
      </c>
      <c r="I111" s="138"/>
    </row>
    <row r="112" spans="1:35" ht="18.75" customHeight="1" thickBot="1">
      <c r="A112" s="138"/>
      <c r="B112" s="138"/>
      <c r="C112" s="138"/>
      <c r="D112" s="138"/>
      <c r="E112" s="3157"/>
      <c r="F112" s="3158"/>
      <c r="G112" s="2519" t="s">
        <v>2297</v>
      </c>
      <c r="H112" s="789" t="str">
        <f>IF(E111="——","——",N61)</f>
        <v>——</v>
      </c>
      <c r="I112" s="138"/>
    </row>
    <row r="113" spans="1:11" ht="18.75" customHeight="1">
      <c r="A113" s="138"/>
      <c r="B113" s="138"/>
      <c r="C113" s="138"/>
      <c r="D113" s="138"/>
      <c r="E113" s="3166" t="s">
        <v>2303</v>
      </c>
      <c r="F113" s="3166"/>
      <c r="G113" s="3166"/>
      <c r="H113" s="3166"/>
      <c r="I113" s="138"/>
    </row>
    <row r="114" spans="1:11" ht="3.75" customHeight="1">
      <c r="A114" s="2412"/>
      <c r="B114" s="2412"/>
      <c r="C114" s="2412"/>
      <c r="D114" s="2412"/>
      <c r="E114" s="2490"/>
      <c r="F114" s="2490"/>
      <c r="G114" s="2490"/>
      <c r="H114" s="2490"/>
      <c r="I114" s="2412"/>
    </row>
    <row r="115" spans="1:11" ht="18.75" customHeight="1">
      <c r="A115" s="3179" t="s">
        <v>2305</v>
      </c>
      <c r="B115" s="3180"/>
      <c r="C115" s="3180"/>
      <c r="D115" s="3180"/>
      <c r="E115" s="3180"/>
      <c r="F115" s="3180"/>
      <c r="G115" s="3180"/>
      <c r="H115" s="3180"/>
      <c r="I115" s="3181"/>
    </row>
    <row r="116" spans="1:11" ht="27" customHeight="1">
      <c r="A116" s="3090" t="s">
        <v>2306</v>
      </c>
      <c r="B116" s="3133" t="s">
        <v>3918</v>
      </c>
      <c r="C116" s="3133" t="s">
        <v>3919</v>
      </c>
      <c r="D116" s="3139" t="s">
        <v>2307</v>
      </c>
      <c r="E116" s="3140"/>
      <c r="F116" s="3175" t="s">
        <v>3920</v>
      </c>
      <c r="G116" s="3175"/>
      <c r="H116" s="3090" t="s">
        <v>2308</v>
      </c>
      <c r="I116" s="3090"/>
    </row>
    <row r="117" spans="1:11" ht="18.75" customHeight="1">
      <c r="A117" s="3090"/>
      <c r="B117" s="3134"/>
      <c r="C117" s="3134"/>
      <c r="D117" s="1793" t="s">
        <v>2309</v>
      </c>
      <c r="E117" s="1793" t="s">
        <v>2310</v>
      </c>
      <c r="F117" s="1793" t="s">
        <v>2309</v>
      </c>
      <c r="G117" s="1793" t="s">
        <v>2311</v>
      </c>
      <c r="H117" s="1793" t="s">
        <v>2309</v>
      </c>
      <c r="I117" s="1793" t="s">
        <v>2311</v>
      </c>
    </row>
    <row r="118" spans="1:11" ht="24.75" customHeight="1">
      <c r="A118" s="2520" t="str">
        <f>项目基本情况!S2</f>
        <v>浙江省宁波市宁穿路960号1-2号等249套房地产</v>
      </c>
      <c r="B118" s="1793">
        <f>M18</f>
        <v>140.88999999999999</v>
      </c>
      <c r="C118" s="1793">
        <f>M19</f>
        <v>25.01</v>
      </c>
      <c r="D118" s="1793">
        <f ca="1">ROUND(IF(D32="总价",C34,E118*B118/10000),0)</f>
        <v>466</v>
      </c>
      <c r="E118" s="1793">
        <f ca="1">ROUND(IF(C33="自定义",IF(D32="楼面单价",C34,D118*10000/B118),I118-G118),0)</f>
        <v>33075</v>
      </c>
      <c r="F118" s="1793">
        <f ca="1">ROUND(IF(D32="总价",C35,G118*B118/10000),0)</f>
        <v>133</v>
      </c>
      <c r="G118" s="1793">
        <f ca="1">ROUND(IF(D32="楼面单价",C35,F118*10000/B118),0)</f>
        <v>9440</v>
      </c>
      <c r="H118" s="1793">
        <f ca="1">ROUND(IF(D32="总价",C32,I118*B118/10000),0)</f>
        <v>599</v>
      </c>
      <c r="I118" s="1793">
        <f ca="1">ROUND(IF(D32="楼面单价",C32,H118*10000/B118),0)</f>
        <v>42515</v>
      </c>
    </row>
    <row r="119" spans="1:11" ht="18.75" customHeight="1">
      <c r="A119" s="3090" t="s">
        <v>2312</v>
      </c>
      <c r="B119" s="3090"/>
      <c r="C119" s="3090"/>
      <c r="D119" s="3135" t="str">
        <f ca="1">NUMBERSTRING(INT(D118*10000),2)&amp;"元整"</f>
        <v>肆佰陆拾陆万元整</v>
      </c>
      <c r="E119" s="3136"/>
      <c r="F119" s="3135" t="str">
        <f ca="1">NUMBERSTRING(INT(F118*10000),2)&amp;"元整"</f>
        <v>壹佰叁拾叁万元整</v>
      </c>
      <c r="G119" s="3136"/>
      <c r="H119" s="3135" t="str">
        <f ca="1">NUMBERSTRING(INT(H118*10000),2)&amp;"元整"</f>
        <v>伍佰玖拾玖万元整</v>
      </c>
      <c r="I119" s="3136"/>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17" t="str">
        <f>IF(D120=0,"故，本次评估不存在"&amp;A120,"故，本次评估"&amp;A120&amp;"为人民币"&amp;D120&amp;"万元整。")</f>
        <v>故，本次评估不存在估价师知悉的法定优先受偿款</v>
      </c>
    </row>
    <row r="121" spans="1:11" ht="18.75" customHeight="1">
      <c r="A121" s="3176" t="s">
        <v>2312</v>
      </c>
      <c r="B121" s="3177"/>
      <c r="C121" s="3178"/>
      <c r="D121" s="3135" t="str">
        <f>IF(D120=0,"零元整",NUMBERSTRING(INT(D120*10000),2)&amp;"元整")</f>
        <v>零元整</v>
      </c>
      <c r="E121" s="3137"/>
      <c r="F121" s="3137"/>
      <c r="G121" s="3137"/>
      <c r="H121" s="3137"/>
      <c r="I121" s="3136"/>
    </row>
    <row r="122" spans="1:11" ht="18.75" customHeight="1">
      <c r="A122" s="3141" t="str">
        <f>IF(项目基本情况!B9="房地产市场价值","",MID(E107,3,LEN(E107)-2))</f>
        <v/>
      </c>
      <c r="B122" s="3141"/>
      <c r="C122" s="3141"/>
      <c r="D122" s="3130" t="str">
        <f>H107</f>
        <v>——</v>
      </c>
      <c r="E122" s="3131"/>
      <c r="F122" s="3131"/>
      <c r="G122" s="3131"/>
      <c r="H122" s="3131"/>
      <c r="I122" s="3132"/>
    </row>
    <row r="123" spans="1:11" ht="18.75" customHeight="1">
      <c r="A123" s="3090" t="s">
        <v>2312</v>
      </c>
      <c r="B123" s="3090"/>
      <c r="C123" s="3090"/>
      <c r="D123" s="3135" t="e">
        <f>NUMBERSTRING(INT(D122*10000),2)&amp;"元整"</f>
        <v>#VALUE!</v>
      </c>
      <c r="E123" s="3137"/>
      <c r="F123" s="3137"/>
      <c r="G123" s="3137"/>
      <c r="H123" s="3137"/>
      <c r="I123" s="3136"/>
    </row>
    <row r="124" spans="1:11" ht="18.75" customHeight="1">
      <c r="A124" s="3141" t="str">
        <f>IF(项目基本情况!B9="房地产市场价值","",MID(E109,3,LEN(E109)-2))</f>
        <v>抵押担保权已注销时的房地产抵押价值</v>
      </c>
      <c r="B124" s="3141"/>
      <c r="C124" s="3141"/>
      <c r="D124" s="3130">
        <f ca="1">H109</f>
        <v>599</v>
      </c>
      <c r="E124" s="3131"/>
      <c r="F124" s="3131"/>
      <c r="G124" s="3131"/>
      <c r="H124" s="3131"/>
      <c r="I124" s="3132"/>
    </row>
    <row r="125" spans="1:11" ht="18.75" customHeight="1">
      <c r="A125" s="3090" t="s">
        <v>2312</v>
      </c>
      <c r="B125" s="3090"/>
      <c r="C125" s="3090"/>
      <c r="D125" s="3135" t="str">
        <f ca="1">NUMBERSTRING(INT(D124*10000),2)&amp;"元整"</f>
        <v>伍佰玖拾玖万元整</v>
      </c>
      <c r="E125" s="3137"/>
      <c r="F125" s="3137"/>
      <c r="G125" s="3137"/>
      <c r="H125" s="3137"/>
      <c r="I125" s="3136"/>
    </row>
    <row r="126" spans="1:11" ht="18.75" customHeight="1">
      <c r="A126" s="3141" t="str">
        <f>IF(项目基本情况!B9="房地产市场价值","",MID(E111,3,LEN(E111)-2))</f>
        <v/>
      </c>
      <c r="B126" s="3141"/>
      <c r="C126" s="3141"/>
      <c r="D126" s="3130" t="str">
        <f>H111</f>
        <v>——</v>
      </c>
      <c r="E126" s="3131"/>
      <c r="F126" s="3131"/>
      <c r="G126" s="3131"/>
      <c r="H126" s="3131"/>
      <c r="I126" s="3132"/>
    </row>
    <row r="127" spans="1:11" ht="18.75" customHeight="1">
      <c r="A127" s="3090" t="s">
        <v>2312</v>
      </c>
      <c r="B127" s="3090"/>
      <c r="C127" s="3090"/>
      <c r="D127" s="3135" t="e">
        <f>NUMBERSTRING(INT(D126*10000),2)&amp;"元整"</f>
        <v>#VALUE!</v>
      </c>
      <c r="E127" s="3137"/>
      <c r="F127" s="3137"/>
      <c r="G127" s="3137"/>
      <c r="H127" s="3137"/>
      <c r="I127" s="3136"/>
    </row>
    <row r="128" spans="1:11" ht="21.75" customHeight="1">
      <c r="A128" s="3138" t="s">
        <v>2313</v>
      </c>
      <c r="B128" s="3138"/>
      <c r="C128" s="3138"/>
      <c r="D128" s="3138"/>
      <c r="E128" s="3138"/>
      <c r="F128" s="3138"/>
      <c r="G128" s="3138"/>
      <c r="H128" s="3138"/>
      <c r="I128" s="3138"/>
    </row>
    <row r="129" spans="1:35" ht="21.75" customHeight="1">
      <c r="A129" s="2521" t="s">
        <v>2314</v>
      </c>
      <c r="B129" s="2522"/>
      <c r="C129" s="2523" t="s">
        <v>2315</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2316</v>
      </c>
      <c r="G135" s="2538"/>
      <c r="H135" s="2538"/>
      <c r="I135" s="2539" t="s">
        <v>2317</v>
      </c>
    </row>
    <row r="136" spans="1:35" ht="21.75" customHeight="1">
      <c r="A136" s="794"/>
      <c r="B136" s="2540" t="s">
        <v>2318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2319</v>
      </c>
    </row>
    <row r="139" spans="1:35" ht="21.75" customHeight="1">
      <c r="A139" s="794"/>
      <c r="B139" s="2540" t="s">
        <v>2320</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2319</v>
      </c>
    </row>
    <row r="142" spans="1:35" ht="21.75" customHeight="1">
      <c r="A142" s="794"/>
      <c r="B142" s="2540"/>
      <c r="C142" s="2541"/>
      <c r="D142" s="2542"/>
      <c r="E142" s="2542"/>
      <c r="F142" s="2335"/>
      <c r="G142" s="794"/>
      <c r="H142" s="794"/>
      <c r="I142" s="794"/>
    </row>
    <row r="143" spans="1:35" s="139"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5"/>
      <c r="C1" s="242"/>
      <c r="D1" s="242"/>
      <c r="E1" s="242"/>
      <c r="F1" s="242"/>
      <c r="G1" s="1379">
        <f>MATCH(B1,'数据-取费表'!A6:A16,0)+5</f>
        <v>8</v>
      </c>
    </row>
    <row r="2" spans="1:9" s="244" customFormat="1" ht="18" customHeight="1">
      <c r="A2" s="245" t="s">
        <v>2322</v>
      </c>
      <c r="B2" s="246">
        <f ca="1">IF(D2="——",C52,C52-E2)</f>
        <v>8730</v>
      </c>
      <c r="C2" s="243" t="s">
        <v>2323</v>
      </c>
      <c r="D2" s="2543" t="s">
        <v>70</v>
      </c>
      <c r="E2" s="1440" t="e">
        <f ca="1">SUMIF(INDIRECT("'"&amp;G2&amp;"'"&amp;"!A:A"),"承租人权益价值",INDIRECT("'"&amp;G2&amp;"'"&amp;"!c:c"))</f>
        <v>#REF!</v>
      </c>
      <c r="F2" s="2544" t="s">
        <v>2323</v>
      </c>
      <c r="G2" s="2545"/>
    </row>
    <row r="3" spans="1:9" s="244" customFormat="1" ht="18" customHeight="1" thickBot="1">
      <c r="A3" s="247" t="s">
        <v>2324</v>
      </c>
      <c r="B3" s="248">
        <f ca="1">ROUND(B2*10000/(IF(B1="",'数据-汇总表'!E3,INDIRECT("'数据-取费表'!k"&amp;$G$1))),0)</f>
        <v>4740</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0</v>
      </c>
      <c r="D5" s="255" t="s">
        <v>2329</v>
      </c>
      <c r="E5" s="256" t="s">
        <v>2330</v>
      </c>
      <c r="F5" s="256" t="s">
        <v>2331</v>
      </c>
      <c r="G5" s="257"/>
    </row>
    <row r="6" spans="1:9" s="258" customFormat="1" ht="13.5" customHeight="1">
      <c r="A6" s="951" t="s">
        <v>2332</v>
      </c>
      <c r="B6" s="259" t="s">
        <v>2333</v>
      </c>
      <c r="C6" s="260"/>
      <c r="D6" s="261"/>
      <c r="E6" s="262"/>
      <c r="F6" s="262"/>
      <c r="G6" s="263"/>
    </row>
    <row r="7" spans="1:9" s="258" customFormat="1" ht="13.5" customHeight="1">
      <c r="A7" s="951" t="s">
        <v>2334</v>
      </c>
      <c r="B7" s="259" t="s">
        <v>2335</v>
      </c>
      <c r="C7" s="264">
        <f>ROUND(C6*F7,0)</f>
        <v>0</v>
      </c>
      <c r="D7" s="264"/>
      <c r="E7" s="262"/>
      <c r="F7" s="265">
        <f>'数据-取费表'!B48+'数据-取费表'!B49</f>
        <v>3.0499999999999999E-2</v>
      </c>
      <c r="G7" s="263"/>
    </row>
    <row r="8" spans="1:9" s="267" customFormat="1">
      <c r="A8" s="951" t="s">
        <v>2336</v>
      </c>
      <c r="B8" s="259" t="s">
        <v>2337</v>
      </c>
      <c r="C8" s="264">
        <f>IF(G8="已包含在土地购买价格中","0",IF(B1="",'数据-取费表'!B29,IF(G9="全部缴纳",C9+C10,H9)))</f>
        <v>0</v>
      </c>
      <c r="D8" s="266"/>
      <c r="E8" s="264"/>
      <c r="F8" s="265"/>
      <c r="G8" s="2546"/>
    </row>
    <row r="9" spans="1:9" s="258" customFormat="1" ht="13.5" customHeight="1">
      <c r="A9" s="952" t="s">
        <v>800</v>
      </c>
      <c r="B9" s="268" t="s">
        <v>2338</v>
      </c>
      <c r="C9" s="269">
        <f ca="1">ROUND(D9*E9/10000,0)</f>
        <v>0</v>
      </c>
      <c r="D9" s="1034">
        <f ca="1">IF(B1="",'数据-汇总表'!E5,IF(INDIRECT("'数据-取费表'!c"&amp;$G$1)="住宅",INDIRECT("'数据-取费表'!k"&amp;$G$1),0))</f>
        <v>0</v>
      </c>
      <c r="E9" s="269">
        <f>'数据-取费表'!B27</f>
        <v>90</v>
      </c>
      <c r="F9" s="265"/>
      <c r="G9" s="2547"/>
      <c r="H9" s="1390"/>
      <c r="I9" s="2548" t="s">
        <v>2339</v>
      </c>
    </row>
    <row r="10" spans="1:9" s="258" customFormat="1" ht="13.5" customHeight="1">
      <c r="A10" s="952" t="s">
        <v>801</v>
      </c>
      <c r="B10" s="268" t="s">
        <v>2340</v>
      </c>
      <c r="C10" s="269">
        <f ca="1">ROUND(D10*E10/10000,0)</f>
        <v>258</v>
      </c>
      <c r="D10" s="1034">
        <f ca="1">IF(B1="",'数据-汇总表'!E6,IF(INDIRECT("'数据-取费表'!c"&amp;$G$1)="住宅",INDIRECT("'数据-取费表'!s"&amp;$G$1),INDIRECT("'数据-取费表'!k"&amp;$G$1)+INDIRECT("'数据-取费表'!s"&amp;$G$1)))</f>
        <v>18418.460000000006</v>
      </c>
      <c r="E10" s="269">
        <f>'数据-取费表'!B28</f>
        <v>140</v>
      </c>
      <c r="F10" s="265"/>
      <c r="G10" s="270"/>
    </row>
    <row r="11" spans="1:9" s="258" customFormat="1" ht="13.5" hidden="1" customHeight="1">
      <c r="A11" s="271" t="s">
        <v>7</v>
      </c>
      <c r="B11" s="259" t="s">
        <v>2341</v>
      </c>
      <c r="C11" s="255"/>
      <c r="D11" s="1036"/>
      <c r="E11" s="262"/>
      <c r="F11" s="262"/>
      <c r="G11" s="263"/>
    </row>
    <row r="12" spans="1:9" s="258" customFormat="1" ht="13.5" hidden="1" customHeight="1">
      <c r="A12" s="271" t="s">
        <v>8</v>
      </c>
      <c r="B12" s="259" t="s">
        <v>2342</v>
      </c>
      <c r="C12" s="255">
        <v>0</v>
      </c>
      <c r="D12" s="1036"/>
      <c r="E12" s="272"/>
      <c r="F12" s="265">
        <v>3.0499999999999999E-2</v>
      </c>
      <c r="G12" s="263"/>
    </row>
    <row r="13" spans="1:9" s="258" customFormat="1" ht="13.5" hidden="1" customHeight="1">
      <c r="A13" s="271" t="s">
        <v>9</v>
      </c>
      <c r="B13" s="259" t="s">
        <v>2343</v>
      </c>
      <c r="C13" s="255"/>
      <c r="D13" s="1036"/>
      <c r="E13" s="262"/>
      <c r="F13" s="262"/>
      <c r="G13" s="263"/>
    </row>
    <row r="14" spans="1:9" s="258" customFormat="1" ht="13.5" hidden="1" customHeight="1">
      <c r="A14" s="271" t="s">
        <v>10</v>
      </c>
      <c r="B14" s="259" t="s">
        <v>2344</v>
      </c>
      <c r="C14" s="255"/>
      <c r="D14" s="1036"/>
      <c r="E14" s="262"/>
      <c r="F14" s="262"/>
      <c r="G14" s="263" t="s">
        <v>2345</v>
      </c>
    </row>
    <row r="15" spans="1:9" s="258" customFormat="1" ht="13.5" hidden="1" customHeight="1">
      <c r="A15" s="271" t="s">
        <v>11</v>
      </c>
      <c r="B15" s="259" t="s">
        <v>2346</v>
      </c>
      <c r="C15" s="264"/>
      <c r="D15" s="1036"/>
      <c r="E15" s="262"/>
      <c r="F15" s="262"/>
      <c r="G15" s="263" t="s">
        <v>2347</v>
      </c>
    </row>
    <row r="16" spans="1:9" s="258" customFormat="1" ht="13.5" hidden="1" customHeight="1">
      <c r="A16" s="271" t="s">
        <v>12</v>
      </c>
      <c r="B16" s="259" t="s">
        <v>2344</v>
      </c>
      <c r="C16" s="264"/>
      <c r="D16" s="1036"/>
      <c r="E16" s="262"/>
      <c r="F16" s="262"/>
      <c r="G16" s="263"/>
    </row>
    <row r="17" spans="1:7" s="258" customFormat="1" ht="13.5" hidden="1" customHeight="1">
      <c r="A17" s="271" t="s">
        <v>13</v>
      </c>
      <c r="B17" s="259" t="s">
        <v>2348</v>
      </c>
      <c r="C17" s="273"/>
      <c r="D17" s="1037"/>
      <c r="E17" s="273"/>
      <c r="F17" s="273"/>
      <c r="G17" s="263" t="s">
        <v>2347</v>
      </c>
    </row>
    <row r="18" spans="1:7" s="258" customFormat="1" ht="13.5" hidden="1" customHeight="1">
      <c r="A18" s="271" t="s">
        <v>14</v>
      </c>
      <c r="B18" s="259" t="s">
        <v>2349</v>
      </c>
      <c r="C18" s="264">
        <v>0</v>
      </c>
      <c r="D18" s="1036"/>
      <c r="E18" s="262"/>
      <c r="F18" s="265">
        <v>3.0499999999999999E-2</v>
      </c>
      <c r="G18" s="263" t="s">
        <v>2350</v>
      </c>
    </row>
    <row r="19" spans="1:7" s="267" customFormat="1" ht="13.5" customHeight="1">
      <c r="A19" s="299" t="s">
        <v>2351</v>
      </c>
      <c r="B19" s="254" t="s">
        <v>2352</v>
      </c>
      <c r="C19" s="255">
        <f ca="1">IF(G19="已包含在土地取得成本中","0",ROUND(D19*E19/10000,0))</f>
        <v>368</v>
      </c>
      <c r="D19" s="1038">
        <f ca="1">D9+D10</f>
        <v>18418.460000000006</v>
      </c>
      <c r="E19" s="255">
        <f>'数据-取费表'!B31</f>
        <v>200</v>
      </c>
      <c r="F19" s="275"/>
      <c r="G19" s="2546"/>
    </row>
    <row r="20" spans="1:7" s="258" customFormat="1" ht="13.5" customHeight="1">
      <c r="A20" s="299" t="s">
        <v>2353</v>
      </c>
      <c r="B20" s="254" t="s">
        <v>2354</v>
      </c>
      <c r="C20" s="276">
        <f ca="1">ROUND((C5+C19)*F20,0)</f>
        <v>7</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36</v>
      </c>
      <c r="D22" s="279">
        <f ca="1">C26</f>
        <v>1E-3</v>
      </c>
      <c r="E22" s="280" t="s">
        <v>2358</v>
      </c>
      <c r="F22" s="281">
        <f ca="1">'数据-取费表'!B40</f>
        <v>4.7500000000000001E-2</v>
      </c>
      <c r="G22" s="278" t="str">
        <f>IF('数据-取费表'!B22&lt;=1,"单利计息","复利计息")</f>
        <v>复利计息</v>
      </c>
    </row>
    <row r="23" spans="1:7" s="258" customFormat="1" ht="13.5" customHeight="1">
      <c r="A23" s="953" t="s">
        <v>2362</v>
      </c>
      <c r="B23" s="259" t="s">
        <v>2363</v>
      </c>
      <c r="C23" s="1355">
        <f ca="1">ROUND(IF('数据-取费表'!B22&lt;=1,C5*F22*'数据-取费表'!B23,C5*(POWER((1+F22),'数据-取费表'!B23)-1)),0)</f>
        <v>0</v>
      </c>
      <c r="D23" s="282"/>
      <c r="E23" s="282"/>
      <c r="F23" s="283"/>
      <c r="G23" s="284" t="s">
        <v>2364</v>
      </c>
    </row>
    <row r="24" spans="1:7" s="258" customFormat="1" ht="13.5" customHeight="1">
      <c r="A24" s="953" t="s">
        <v>2365</v>
      </c>
      <c r="B24" s="259" t="s">
        <v>2366</v>
      </c>
      <c r="C24" s="1355">
        <f ca="1">ROUND(IF('数据-取费表'!B22&lt;=1,C19*F22*('数据-取费表'!B19/2+'数据-取费表'!B21),C19*(POWER((1+F22),('数据-取费表'!B19/2+'数据-取费表'!B21))-1)),0)</f>
        <v>36</v>
      </c>
      <c r="D24" s="282"/>
      <c r="E24" s="282"/>
      <c r="F24" s="283"/>
      <c r="G24" s="284" t="s">
        <v>2367</v>
      </c>
    </row>
    <row r="25" spans="1:7" s="258" customFormat="1" ht="24">
      <c r="A25" s="953" t="s">
        <v>2368</v>
      </c>
      <c r="B25" s="259" t="s">
        <v>2369</v>
      </c>
      <c r="C25" s="1355">
        <f ca="1">ROUND(IF('数据-取费表'!B22&lt;=1,C20*F22*'数据-取费表'!B23/2,C20*(POWER((1+F22),'数据-取费表'!B23/2)-1)),0)</f>
        <v>0</v>
      </c>
      <c r="D25" s="282"/>
      <c r="E25" s="285"/>
      <c r="F25" s="283"/>
      <c r="G25" s="286" t="s">
        <v>2370</v>
      </c>
    </row>
    <row r="26" spans="1:7" s="258" customFormat="1">
      <c r="A26" s="953"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94</v>
      </c>
      <c r="D27" s="279">
        <f ca="1">C29</f>
        <v>5.0000000000000001E-3</v>
      </c>
      <c r="E27" s="280" t="s">
        <v>2374</v>
      </c>
      <c r="F27" s="290">
        <f ca="1">IF(B1="",'数据-取费表'!Q16,INDIRECT("'数据-取费表'!q"&amp;$G$1))</f>
        <v>0.25</v>
      </c>
      <c r="G27" s="291" t="s">
        <v>2375</v>
      </c>
    </row>
    <row r="28" spans="1:7" s="258" customFormat="1" ht="13.5" customHeight="1">
      <c r="A28" s="953" t="s">
        <v>791</v>
      </c>
      <c r="B28" s="292" t="s">
        <v>2376</v>
      </c>
      <c r="C28" s="293">
        <f ca="1">ROUND((C5+C19+C20)*F27*'数据-取费表'!B21/'数据-取费表'!B20,0)</f>
        <v>94</v>
      </c>
      <c r="D28" s="279"/>
      <c r="E28" s="280"/>
      <c r="F28" s="290"/>
      <c r="G28" s="291"/>
    </row>
    <row r="29" spans="1:7" s="258" customFormat="1" ht="13.5" customHeight="1">
      <c r="A29" s="953" t="s">
        <v>792</v>
      </c>
      <c r="B29" s="292" t="s">
        <v>2377</v>
      </c>
      <c r="C29" s="282">
        <f ca="1">ROUND(C21*F27*'数据-取费表'!B21/'数据-取费表'!B20,4)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548</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5808</v>
      </c>
      <c r="D33" s="276"/>
      <c r="E33" s="256"/>
      <c r="F33" s="285"/>
      <c r="G33" s="278"/>
    </row>
    <row r="34" spans="1:7" s="302" customFormat="1" ht="13.5" customHeight="1">
      <c r="A34" s="953" t="s">
        <v>791</v>
      </c>
      <c r="B34" s="259" t="s">
        <v>2385</v>
      </c>
      <c r="C34" s="264">
        <f ca="1">IF(B1="",IF(F34=100%,'数据-取费表'!M16,'数据-取费表'!O16),IF(F34=100%,INDIRECT("'数据-取费表'!m"&amp;$G$1)+INDIRECT("'数据-取费表'!t"&amp;$G$1),INDIRECT("'数据-取费表'!o"&amp;$G$1)+INDIRECT("'数据-取费表'!aq"&amp;$G$1)))</f>
        <v>5157</v>
      </c>
      <c r="D34" s="261"/>
      <c r="E34" s="264"/>
      <c r="F34" s="301">
        <f ca="1">IF('数据-取费表'!B24=0,1,IF(B1="",'数据-取费表'!N16,INDIRECT("'数据-取费表'!n"&amp;$G$1)))</f>
        <v>1</v>
      </c>
      <c r="G34" s="263" t="s">
        <v>2386</v>
      </c>
    </row>
    <row r="35" spans="1:7" ht="13.5" customHeight="1">
      <c r="A35" s="953" t="s">
        <v>796</v>
      </c>
      <c r="B35" s="259" t="s">
        <v>2387</v>
      </c>
      <c r="C35" s="264">
        <f ca="1">ROUND(C34*F35,0)</f>
        <v>206</v>
      </c>
      <c r="D35" s="264"/>
      <c r="E35" s="264"/>
      <c r="F35" s="303">
        <f>'数据-取费表'!B33</f>
        <v>0.04</v>
      </c>
      <c r="G35" s="263" t="s">
        <v>2388</v>
      </c>
    </row>
    <row r="36" spans="1:7" ht="24">
      <c r="A36" s="953"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3" t="s">
        <v>798</v>
      </c>
      <c r="B37" s="259" t="s">
        <v>2391</v>
      </c>
      <c r="C37" s="293">
        <f ca="1">ROUND(E37*D37*F34/10000,0)</f>
        <v>368</v>
      </c>
      <c r="D37" s="261">
        <f ca="1">D19</f>
        <v>18418.460000000006</v>
      </c>
      <c r="E37" s="293">
        <f>'数据-取费表'!B35</f>
        <v>200</v>
      </c>
      <c r="F37" s="303"/>
      <c r="G37" s="305" t="s">
        <v>2392</v>
      </c>
    </row>
    <row r="38" spans="1:7" ht="13.5" customHeight="1">
      <c r="A38" s="953" t="s">
        <v>799</v>
      </c>
      <c r="B38" s="259" t="s">
        <v>2393</v>
      </c>
      <c r="C38" s="264">
        <f ca="1">ROUND(C34*F38,0)</f>
        <v>77</v>
      </c>
      <c r="D38" s="264"/>
      <c r="E38" s="264"/>
      <c r="F38" s="303">
        <f>'数据-取费表'!B36</f>
        <v>1.4999999999999999E-2</v>
      </c>
      <c r="G38" s="263" t="s">
        <v>2388</v>
      </c>
    </row>
    <row r="39" spans="1:7" s="258" customFormat="1" ht="13.5" customHeight="1">
      <c r="A39" s="299" t="s">
        <v>2394</v>
      </c>
      <c r="B39" s="254" t="s">
        <v>2395</v>
      </c>
      <c r="C39" s="276">
        <f ca="1">ROUND(C33*F20,0)</f>
        <v>116</v>
      </c>
      <c r="D39" s="276"/>
      <c r="E39" s="276"/>
      <c r="F39" s="277"/>
      <c r="G39" s="278" t="s">
        <v>2396</v>
      </c>
    </row>
    <row r="40" spans="1:7" s="258" customFormat="1" ht="13.5" customHeight="1">
      <c r="A40" s="299" t="s">
        <v>2397</v>
      </c>
      <c r="B40" s="254" t="s">
        <v>2398</v>
      </c>
      <c r="C40" s="1727">
        <f>F21</f>
        <v>0.02</v>
      </c>
      <c r="D40" s="280" t="s">
        <v>2399</v>
      </c>
      <c r="E40" s="276"/>
      <c r="F40" s="277"/>
      <c r="G40" s="278" t="s">
        <v>2400</v>
      </c>
    </row>
    <row r="41" spans="1:7" s="258" customFormat="1" ht="13.5" customHeight="1">
      <c r="A41" s="299" t="s">
        <v>2401</v>
      </c>
      <c r="B41" s="254" t="s">
        <v>2402</v>
      </c>
      <c r="C41" s="276">
        <f ca="1">ROUND(SUM(C42:C43),0)</f>
        <v>282</v>
      </c>
      <c r="D41" s="279">
        <f ca="1">C44</f>
        <v>1E-3</v>
      </c>
      <c r="E41" s="280" t="s">
        <v>2399</v>
      </c>
      <c r="F41" s="281"/>
      <c r="G41" s="278" t="str">
        <f>IF('数据-取费表'!B22&lt;=1,"单利计息","复利计息")</f>
        <v>复利计息</v>
      </c>
    </row>
    <row r="42" spans="1:7" ht="13.5" customHeight="1">
      <c r="A42" s="953" t="s">
        <v>791</v>
      </c>
      <c r="B42" s="259" t="s">
        <v>2403</v>
      </c>
      <c r="C42" s="282">
        <f ca="1">ROUND(IF('数据-取费表'!B22&lt;=1,C33*F22*'数据-取费表'!B21/2,C33*(POWER((1+F22),'数据-取费表'!B21/2)-1)),0)</f>
        <v>276</v>
      </c>
      <c r="D42" s="282"/>
      <c r="E42" s="282"/>
      <c r="F42" s="283"/>
      <c r="G42" s="3210" t="s">
        <v>2404</v>
      </c>
    </row>
    <row r="43" spans="1:7" ht="13.5" customHeight="1">
      <c r="A43" s="953" t="s">
        <v>792</v>
      </c>
      <c r="B43" s="259" t="s">
        <v>2405</v>
      </c>
      <c r="C43" s="282">
        <f ca="1">ROUND(IF('数据-取费表'!B22&lt;=1,C39*F22*'数据-取费表'!B21/2,C39*(POWER((1+F22),'数据-取费表'!B21/2)-1)),0)</f>
        <v>6</v>
      </c>
      <c r="D43" s="282"/>
      <c r="E43" s="282"/>
      <c r="F43" s="283"/>
      <c r="G43" s="3211"/>
    </row>
    <row r="44" spans="1:7" ht="13.5" customHeight="1">
      <c r="A44" s="953" t="s">
        <v>793</v>
      </c>
      <c r="B44" s="259" t="s">
        <v>2406</v>
      </c>
      <c r="C44" s="282">
        <f ca="1">ROUND(IF('数据-取费表'!B22&lt;=1,C40*F22*'数据-取费表'!B21/2,C40*(POWER((1+F22),'数据-取费表'!B21/2)-1)),4)</f>
        <v>1E-3</v>
      </c>
      <c r="D44" s="282"/>
      <c r="E44" s="282"/>
      <c r="F44" s="283"/>
      <c r="G44" s="3212"/>
    </row>
    <row r="45" spans="1:7" s="258" customFormat="1" ht="13.5" customHeight="1">
      <c r="A45" s="299" t="s">
        <v>2407</v>
      </c>
      <c r="B45" s="288" t="s">
        <v>2373</v>
      </c>
      <c r="C45" s="289">
        <f ca="1">C46</f>
        <v>1481</v>
      </c>
      <c r="D45" s="279">
        <f ca="1">C47</f>
        <v>5.0000000000000001E-3</v>
      </c>
      <c r="E45" s="280" t="s">
        <v>2399</v>
      </c>
      <c r="F45" s="290"/>
      <c r="G45" s="291" t="s">
        <v>2408</v>
      </c>
    </row>
    <row r="46" spans="1:7" s="258" customFormat="1" ht="13.5" customHeight="1">
      <c r="A46" s="953" t="s">
        <v>791</v>
      </c>
      <c r="B46" s="292" t="s">
        <v>2409</v>
      </c>
      <c r="C46" s="293">
        <f ca="1">ROUND((C33+C39)*F27,0)</f>
        <v>1481</v>
      </c>
      <c r="D46" s="307"/>
      <c r="E46" s="280"/>
      <c r="F46" s="290"/>
      <c r="G46" s="291"/>
    </row>
    <row r="47" spans="1:7" s="258" customFormat="1" ht="13.5" customHeight="1">
      <c r="A47" s="953" t="s">
        <v>792</v>
      </c>
      <c r="B47" s="292" t="s">
        <v>2410</v>
      </c>
      <c r="C47" s="282">
        <f ca="1">ROUND(C40*F27,4)</f>
        <v>5.0000000000000001E-3</v>
      </c>
      <c r="D47" s="307"/>
      <c r="E47" s="280"/>
      <c r="F47" s="290"/>
      <c r="G47" s="291"/>
    </row>
    <row r="48" spans="1:7" s="258" customFormat="1" ht="13.5" customHeight="1">
      <c r="A48" s="299" t="s">
        <v>2372</v>
      </c>
      <c r="B48" s="254" t="s">
        <v>2411</v>
      </c>
      <c r="C48" s="1727">
        <f>ROUND(F30/(1+'数据-取费表'!C42),4)</f>
        <v>5.33E-2</v>
      </c>
      <c r="D48" s="280" t="s">
        <v>2399</v>
      </c>
      <c r="E48" s="276"/>
      <c r="F48" s="281"/>
      <c r="G48" s="278" t="s">
        <v>2412</v>
      </c>
    </row>
    <row r="49" spans="1:7" ht="16.5" customHeight="1">
      <c r="A49" s="299" t="s">
        <v>2378</v>
      </c>
      <c r="B49" s="254" t="s">
        <v>2413</v>
      </c>
      <c r="C49" s="276">
        <f ca="1">ROUND((C33+C39+C41+C45)/(1-C40-D41-D45-C48),0)</f>
        <v>8349</v>
      </c>
      <c r="D49" s="276"/>
      <c r="E49" s="276"/>
      <c r="F49" s="308"/>
      <c r="G49" s="278" t="s">
        <v>2414</v>
      </c>
    </row>
    <row r="50" spans="1:7" s="302" customFormat="1" ht="24">
      <c r="A50" s="299" t="s">
        <v>2415</v>
      </c>
      <c r="B50" s="254" t="s">
        <v>2416</v>
      </c>
      <c r="C50" s="276"/>
      <c r="D50" s="276"/>
      <c r="E50" s="276"/>
      <c r="F50" s="308">
        <f>IF('数据-取费表'!B24=0,'数据-取费表'!N16,1)</f>
        <v>0.98</v>
      </c>
      <c r="G50" s="291" t="s">
        <v>2417</v>
      </c>
    </row>
    <row r="51" spans="1:7" ht="16.5" customHeight="1">
      <c r="A51" s="299" t="s">
        <v>2418</v>
      </c>
      <c r="B51" s="254" t="s">
        <v>2419</v>
      </c>
      <c r="C51" s="276">
        <f ca="1">ROUND(C49*F50,0)</f>
        <v>8182</v>
      </c>
      <c r="D51" s="276"/>
      <c r="E51" s="276"/>
      <c r="F51" s="308"/>
      <c r="G51" s="278" t="s">
        <v>2420</v>
      </c>
    </row>
    <row r="52" spans="1:7" s="252" customFormat="1" ht="16.5" thickBot="1">
      <c r="A52" s="309" t="s">
        <v>2421</v>
      </c>
      <c r="B52" s="310"/>
      <c r="C52" s="311">
        <f ca="1">C31+C51</f>
        <v>8730</v>
      </c>
      <c r="D52" s="310"/>
      <c r="E52" s="310"/>
      <c r="F52" s="310"/>
      <c r="G52" s="312"/>
    </row>
    <row r="55" spans="1:7" ht="15">
      <c r="B55" s="314" t="s">
        <v>2422</v>
      </c>
      <c r="C55" s="315"/>
    </row>
    <row r="56" spans="1:7">
      <c r="B56" s="317" t="s">
        <v>1513</v>
      </c>
      <c r="C56" s="319">
        <f ca="1">1-C57</f>
        <v>6.2999999999999945E-2</v>
      </c>
    </row>
    <row r="57" spans="1:7">
      <c r="B57" s="317" t="s">
        <v>1514</v>
      </c>
      <c r="C57" s="318">
        <f ca="1">ROUND(C51/C52,3)</f>
        <v>0.93700000000000006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24" t="str">
        <f>项目基本情况!B1</f>
        <v>浙江省宁波市宁穿路960号1-2号等249套房地产抵押价值预评估</v>
      </c>
      <c r="C37" s="3024"/>
      <c r="D37" s="3024"/>
      <c r="E37" s="3024"/>
      <c r="F37" s="3024"/>
      <c r="G37" s="3024"/>
      <c r="H37" s="3024"/>
      <c r="I37" s="3024"/>
    </row>
    <row r="38" spans="1:9">
      <c r="A38" s="1018"/>
      <c r="B38" s="1018"/>
    </row>
    <row r="39" spans="1:9">
      <c r="A39" s="1016" t="s">
        <v>818</v>
      </c>
      <c r="B39" s="1016" t="s">
        <v>820</v>
      </c>
    </row>
    <row r="40" spans="1:9">
      <c r="A40" s="1016"/>
      <c r="B40" s="1940" t="str">
        <f>项目基本情况!B5</f>
        <v>宁波银亿新城置业有限公司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吴薇（注册号：1419970001)、刘梅（注册号：1120140022)</v>
      </c>
    </row>
    <row r="47" spans="1:9">
      <c r="A47" s="1016"/>
      <c r="B47" s="1016" t="str">
        <f>项目基本情况!K5</f>
        <v/>
      </c>
    </row>
    <row r="48" spans="1:9">
      <c r="A48" s="1016" t="s">
        <v>818</v>
      </c>
      <c r="B48" s="1016" t="s">
        <v>824</v>
      </c>
    </row>
    <row r="49" spans="2:2">
      <c r="B49" s="1940" t="str">
        <f>"康正预评字"&amp;项目基本情况!B2&amp;"号"</f>
        <v>康正预评字2018-1-0477-P01DYGJ2号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5"/>
      <c r="C1" s="2549" t="s">
        <v>2423</v>
      </c>
      <c r="D1" s="242"/>
      <c r="E1" s="242"/>
      <c r="F1" s="242"/>
      <c r="G1" s="1379">
        <f>MATCH(B1,'数据-取费表'!A6:A16,0)+5</f>
        <v>8</v>
      </c>
      <c r="H1" s="1282" t="str">
        <f>IF(ISERROR(FIND("住宅",B1)),"非住宅","住宅")</f>
        <v>非住宅</v>
      </c>
    </row>
    <row r="2" spans="1:8" s="244" customFormat="1" ht="18" customHeight="1">
      <c r="A2" s="245" t="s">
        <v>2322</v>
      </c>
      <c r="B2" s="246">
        <f ca="1">ROUND(IF(D2="——",C52/10000,C52/10000-E2),0)</f>
        <v>9117</v>
      </c>
      <c r="C2" s="243" t="s">
        <v>2323</v>
      </c>
      <c r="D2" s="2543" t="s">
        <v>70</v>
      </c>
      <c r="E2" s="1440" t="e">
        <f ca="1">SUMIF(INDIRECT("'"&amp;G2&amp;"'"&amp;"!A:A"),"承租人权益价值",INDIRECT("'"&amp;G2&amp;"'"&amp;"!c:c"))</f>
        <v>#REF!</v>
      </c>
      <c r="F2" s="2544" t="s">
        <v>2323</v>
      </c>
      <c r="G2" s="2545"/>
    </row>
    <row r="3" spans="1:8" s="244" customFormat="1" ht="18" customHeight="1" thickBot="1">
      <c r="A3" s="247" t="s">
        <v>2324</v>
      </c>
      <c r="B3" s="248">
        <f ca="1">ROUND(B2*10000/(IF(B1="",'数据-汇总表'!E3,INDIRECT("'数据-取费表'!k"&amp;$G$1))),0)</f>
        <v>4950</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2578584</v>
      </c>
      <c r="D5" s="255" t="s">
        <v>2329</v>
      </c>
      <c r="E5" s="256" t="s">
        <v>2330</v>
      </c>
      <c r="F5" s="256" t="s">
        <v>2331</v>
      </c>
      <c r="G5" s="257"/>
    </row>
    <row r="6" spans="1:8" s="258" customFormat="1" ht="13.5" customHeight="1">
      <c r="A6" s="951" t="s">
        <v>2332</v>
      </c>
      <c r="B6" s="259" t="s">
        <v>2333</v>
      </c>
      <c r="C6" s="260"/>
      <c r="D6" s="261"/>
      <c r="E6" s="262"/>
      <c r="F6" s="262"/>
      <c r="G6" s="263"/>
    </row>
    <row r="7" spans="1:8" s="258" customFormat="1" ht="13.5" customHeight="1">
      <c r="A7" s="951" t="s">
        <v>2334</v>
      </c>
      <c r="B7" s="259" t="s">
        <v>2335</v>
      </c>
      <c r="C7" s="264">
        <f>ROUND(C6*F7,0)</f>
        <v>0</v>
      </c>
      <c r="D7" s="264"/>
      <c r="E7" s="262"/>
      <c r="F7" s="265">
        <f>'数据-取费表'!B48+'数据-取费表'!B49</f>
        <v>3.0499999999999999E-2</v>
      </c>
      <c r="G7" s="263"/>
    </row>
    <row r="8" spans="1:8" s="267" customFormat="1">
      <c r="A8" s="951" t="s">
        <v>2336</v>
      </c>
      <c r="B8" s="259" t="s">
        <v>2337</v>
      </c>
      <c r="C8" s="264">
        <f ca="1">IF(G8="已包含在土地购买价格中",0,C9+C10)</f>
        <v>2578584</v>
      </c>
      <c r="D8" s="266"/>
      <c r="E8" s="264"/>
      <c r="F8" s="265"/>
      <c r="G8" s="2546"/>
    </row>
    <row r="9" spans="1:8" s="258" customFormat="1" ht="13.5" customHeight="1">
      <c r="A9" s="952" t="s">
        <v>800</v>
      </c>
      <c r="B9" s="268" t="s">
        <v>2338</v>
      </c>
      <c r="C9" s="269">
        <f ca="1">ROUND(D9*E9,0)</f>
        <v>0</v>
      </c>
      <c r="D9" s="1034">
        <f ca="1">IF(B1="",'数据-汇总表'!E5,IF(INDIRECT("'数据-取费表'!c"&amp;$G$1)="住宅",INDIRECT("'数据-取费表'!k"&amp;$G$1),0))</f>
        <v>0</v>
      </c>
      <c r="E9" s="269">
        <f>'数据-取费表'!B27</f>
        <v>90</v>
      </c>
      <c r="F9" s="265"/>
      <c r="G9" s="270"/>
    </row>
    <row r="10" spans="1:8" s="258" customFormat="1" ht="13.5" customHeight="1">
      <c r="A10" s="952" t="s">
        <v>801</v>
      </c>
      <c r="B10" s="268" t="s">
        <v>2340</v>
      </c>
      <c r="C10" s="269">
        <f ca="1">ROUND(D10*E10,0)</f>
        <v>2578584</v>
      </c>
      <c r="D10" s="1034">
        <f ca="1">IF(B1="",'数据-汇总表'!E6,IF(INDIRECT("'数据-取费表'!c"&amp;$G$1)="住宅",INDIRECT("'数据-取费表'!s"&amp;$G$1),INDIRECT("'数据-取费表'!k"&amp;$G$1)+INDIRECT("'数据-取费表'!s"&amp;$G$1)))</f>
        <v>18418.460000000006</v>
      </c>
      <c r="E10" s="269">
        <f>'数据-取费表'!B28</f>
        <v>140</v>
      </c>
      <c r="F10" s="265"/>
      <c r="G10" s="270"/>
    </row>
    <row r="11" spans="1:8" s="258" customFormat="1" ht="13.5" hidden="1" customHeight="1">
      <c r="A11" s="271" t="s">
        <v>7</v>
      </c>
      <c r="B11" s="259" t="s">
        <v>2341</v>
      </c>
      <c r="C11" s="255"/>
      <c r="D11" s="1036"/>
      <c r="E11" s="262"/>
      <c r="F11" s="262"/>
      <c r="G11" s="263"/>
    </row>
    <row r="12" spans="1:8" s="258" customFormat="1" ht="13.5" hidden="1" customHeight="1">
      <c r="A12" s="271" t="s">
        <v>8</v>
      </c>
      <c r="B12" s="259" t="s">
        <v>2424</v>
      </c>
      <c r="C12" s="255">
        <v>0</v>
      </c>
      <c r="D12" s="1036"/>
      <c r="E12" s="272"/>
      <c r="F12" s="265">
        <v>3.0499999999999999E-2</v>
      </c>
      <c r="G12" s="263"/>
    </row>
    <row r="13" spans="1:8" s="258" customFormat="1" ht="13.5" hidden="1" customHeight="1">
      <c r="A13" s="271" t="s">
        <v>9</v>
      </c>
      <c r="B13" s="259" t="s">
        <v>2425</v>
      </c>
      <c r="C13" s="255"/>
      <c r="D13" s="1036"/>
      <c r="E13" s="262"/>
      <c r="F13" s="262"/>
      <c r="G13" s="263"/>
    </row>
    <row r="14" spans="1:8" s="258" customFormat="1" ht="13.5" hidden="1" customHeight="1">
      <c r="A14" s="271" t="s">
        <v>10</v>
      </c>
      <c r="B14" s="259" t="s">
        <v>2337</v>
      </c>
      <c r="C14" s="255"/>
      <c r="D14" s="1036"/>
      <c r="E14" s="262"/>
      <c r="F14" s="262"/>
      <c r="G14" s="263" t="s">
        <v>2426</v>
      </c>
    </row>
    <row r="15" spans="1:8" s="258" customFormat="1" ht="13.5" hidden="1" customHeight="1">
      <c r="A15" s="271" t="s">
        <v>11</v>
      </c>
      <c r="B15" s="259" t="s">
        <v>2427</v>
      </c>
      <c r="C15" s="264"/>
      <c r="D15" s="1036"/>
      <c r="E15" s="262"/>
      <c r="F15" s="262"/>
      <c r="G15" s="263" t="s">
        <v>2428</v>
      </c>
    </row>
    <row r="16" spans="1:8" s="258" customFormat="1" ht="13.5" hidden="1" customHeight="1">
      <c r="A16" s="271" t="s">
        <v>12</v>
      </c>
      <c r="B16" s="259" t="s">
        <v>2337</v>
      </c>
      <c r="C16" s="264"/>
      <c r="D16" s="1036"/>
      <c r="E16" s="262"/>
      <c r="F16" s="262"/>
      <c r="G16" s="263"/>
    </row>
    <row r="17" spans="1:7" s="258" customFormat="1" ht="13.5" hidden="1" customHeight="1">
      <c r="A17" s="271" t="s">
        <v>13</v>
      </c>
      <c r="B17" s="259" t="s">
        <v>2429</v>
      </c>
      <c r="C17" s="273"/>
      <c r="D17" s="1037"/>
      <c r="E17" s="273"/>
      <c r="F17" s="273"/>
      <c r="G17" s="263" t="s">
        <v>2428</v>
      </c>
    </row>
    <row r="18" spans="1:7" s="258" customFormat="1" ht="13.5" hidden="1" customHeight="1">
      <c r="A18" s="271" t="s">
        <v>14</v>
      </c>
      <c r="B18" s="259" t="s">
        <v>2430</v>
      </c>
      <c r="C18" s="264">
        <v>0</v>
      </c>
      <c r="D18" s="1036"/>
      <c r="E18" s="262"/>
      <c r="F18" s="265">
        <v>3.0499999999999999E-2</v>
      </c>
      <c r="G18" s="263" t="s">
        <v>2431</v>
      </c>
    </row>
    <row r="19" spans="1:7" s="267" customFormat="1" ht="13.5" customHeight="1">
      <c r="A19" s="299" t="s">
        <v>2432</v>
      </c>
      <c r="B19" s="254" t="s">
        <v>2433</v>
      </c>
      <c r="C19" s="255">
        <f ca="1">IF(G19="已包含在土地取得成本中","0",ROUND(D19*E19,0))</f>
        <v>3683692</v>
      </c>
      <c r="D19" s="1038">
        <f ca="1">D9+D10</f>
        <v>18418.460000000006</v>
      </c>
      <c r="E19" s="255">
        <f>'数据-取费表'!B31</f>
        <v>200</v>
      </c>
      <c r="F19" s="275"/>
      <c r="G19" s="2546"/>
    </row>
    <row r="20" spans="1:7" s="258" customFormat="1" ht="13.5" customHeight="1">
      <c r="A20" s="299" t="s">
        <v>2434</v>
      </c>
      <c r="B20" s="254" t="s">
        <v>2435</v>
      </c>
      <c r="C20" s="276">
        <f ca="1">ROUND((C5+C19)*F20,0)</f>
        <v>125246</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614994</v>
      </c>
      <c r="D22" s="279">
        <f ca="1">C26</f>
        <v>1E-3</v>
      </c>
      <c r="E22" s="280" t="s">
        <v>2439</v>
      </c>
      <c r="F22" s="281">
        <f ca="1">'数据-取费表'!B40</f>
        <v>4.7500000000000001E-2</v>
      </c>
      <c r="G22" s="278" t="str">
        <f>IF('数据-取费表'!B22&lt;=1,"单利计息","复利计息")</f>
        <v>复利计息</v>
      </c>
    </row>
    <row r="23" spans="1:7" s="258" customFormat="1" ht="13.5" customHeight="1">
      <c r="A23" s="953" t="s">
        <v>2332</v>
      </c>
      <c r="B23" s="259" t="s">
        <v>2443</v>
      </c>
      <c r="C23" s="1381">
        <f ca="1">ROUND(IF('数据-取费表'!B22&lt;=1,C5*F22*'数据-取费表'!B22,C5*(POWER((1+F22),'数据-取费表'!B22)-1)),0)</f>
        <v>250783</v>
      </c>
      <c r="D23" s="282"/>
      <c r="E23" s="282"/>
      <c r="F23" s="283"/>
      <c r="G23" s="284" t="s">
        <v>2444</v>
      </c>
    </row>
    <row r="24" spans="1:7" s="258" customFormat="1" ht="13.5" customHeight="1">
      <c r="A24" s="953" t="s">
        <v>2334</v>
      </c>
      <c r="B24" s="259" t="s">
        <v>2445</v>
      </c>
      <c r="C24" s="1381">
        <f ca="1">ROUND(IF('数据-取费表'!B22&lt;=1,C19*F22*('数据-取费表'!B19/2+'数据-取费表'!B20),C19*(POWER((1+F22),('数据-取费表'!B19/2+'数据-取费表'!B20))-1)),0)</f>
        <v>358262</v>
      </c>
      <c r="D24" s="282"/>
      <c r="E24" s="282"/>
      <c r="F24" s="283"/>
      <c r="G24" s="284" t="s">
        <v>2446</v>
      </c>
    </row>
    <row r="25" spans="1:7" s="258" customFormat="1" ht="24">
      <c r="A25" s="953" t="s">
        <v>2336</v>
      </c>
      <c r="B25" s="259" t="s">
        <v>2447</v>
      </c>
      <c r="C25" s="1381">
        <f ca="1">ROUND(IF('数据-取费表'!B22&lt;=1,C20*F22*'数据-取费表'!B22/2,C20*(POWER((1+F22),'数据-取费表'!B22/2)-1)),0)</f>
        <v>5949</v>
      </c>
      <c r="D25" s="282"/>
      <c r="E25" s="285"/>
      <c r="F25" s="283"/>
      <c r="G25" s="286" t="s">
        <v>2448</v>
      </c>
    </row>
    <row r="26" spans="1:7" s="258" customFormat="1">
      <c r="A26" s="953"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1596881</v>
      </c>
      <c r="D27" s="279">
        <f ca="1">C29</f>
        <v>5.0000000000000001E-3</v>
      </c>
      <c r="E27" s="280" t="s">
        <v>2374</v>
      </c>
      <c r="F27" s="290">
        <f ca="1">IF(B1="",'数据-取费表'!Q16,INDIRECT("'数据-取费表'!q"&amp;$G$1))</f>
        <v>0.25</v>
      </c>
      <c r="G27" s="291" t="s">
        <v>2375</v>
      </c>
    </row>
    <row r="28" spans="1:7" s="258" customFormat="1" ht="13.5" customHeight="1">
      <c r="A28" s="953" t="s">
        <v>791</v>
      </c>
      <c r="B28" s="292" t="s">
        <v>2376</v>
      </c>
      <c r="C28" s="293">
        <f ca="1">ROUND((C5+C19+C20)*F27,0)</f>
        <v>1596881</v>
      </c>
      <c r="D28" s="279"/>
      <c r="E28" s="280"/>
      <c r="F28" s="290"/>
      <c r="G28" s="291"/>
    </row>
    <row r="29" spans="1:7" s="258" customFormat="1" ht="13.5" customHeight="1">
      <c r="A29" s="953" t="s">
        <v>792</v>
      </c>
      <c r="B29" s="292" t="s">
        <v>2377</v>
      </c>
      <c r="C29" s="282">
        <f ca="1">ROUND(C21*F27,4)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9340064</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58091823</v>
      </c>
      <c r="D33" s="276"/>
      <c r="E33" s="256"/>
      <c r="F33" s="285"/>
      <c r="G33" s="278"/>
    </row>
    <row r="34" spans="1:7" s="302" customFormat="1" ht="13.5" customHeight="1">
      <c r="A34" s="953" t="s">
        <v>791</v>
      </c>
      <c r="B34" s="259" t="s">
        <v>2385</v>
      </c>
      <c r="C34" s="264">
        <f ca="1">ROUND(IF(B1="",SUMPRODUCT('数据-取费表'!K6:K14,'数据-取费表'!L6:L14),INDIRECT("'数据-取费表'!l"&amp;$G$1)*INDIRECT("'数据-取费表'!k"&amp;$G$1)+'数据-取费表'!L14*INDIRECT("'数据-取费表'!S"&amp;$G$1)),0)</f>
        <v>51571688</v>
      </c>
      <c r="D34" s="261"/>
      <c r="E34" s="264"/>
      <c r="F34" s="301"/>
      <c r="G34" s="263"/>
    </row>
    <row r="35" spans="1:7" ht="13.5" customHeight="1">
      <c r="A35" s="953" t="s">
        <v>796</v>
      </c>
      <c r="B35" s="259" t="s">
        <v>2387</v>
      </c>
      <c r="C35" s="264">
        <f ca="1">ROUND(C34*F35,0)</f>
        <v>2062868</v>
      </c>
      <c r="D35" s="264"/>
      <c r="E35" s="264"/>
      <c r="F35" s="303">
        <f>'数据-取费表'!B33</f>
        <v>0.04</v>
      </c>
      <c r="G35" s="263" t="s">
        <v>2388</v>
      </c>
    </row>
    <row r="36" spans="1:7" ht="24">
      <c r="A36" s="953"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3" t="s">
        <v>798</v>
      </c>
      <c r="B37" s="259" t="s">
        <v>2391</v>
      </c>
      <c r="C37" s="293">
        <f ca="1">ROUND(E37*D37,0)</f>
        <v>3683692</v>
      </c>
      <c r="D37" s="261">
        <f ca="1">D19</f>
        <v>18418.460000000006</v>
      </c>
      <c r="E37" s="293">
        <f>'数据-取费表'!B35</f>
        <v>200</v>
      </c>
      <c r="F37" s="303"/>
      <c r="G37" s="305"/>
    </row>
    <row r="38" spans="1:7" ht="13.5" customHeight="1">
      <c r="A38" s="953" t="s">
        <v>799</v>
      </c>
      <c r="B38" s="259" t="s">
        <v>2393</v>
      </c>
      <c r="C38" s="264">
        <f ca="1">ROUND(C34*F38,0)</f>
        <v>773575</v>
      </c>
      <c r="D38" s="264"/>
      <c r="E38" s="264"/>
      <c r="F38" s="303">
        <f>'数据-取费表'!B36</f>
        <v>1.4999999999999999E-2</v>
      </c>
      <c r="G38" s="263" t="s">
        <v>2388</v>
      </c>
    </row>
    <row r="39" spans="1:7" s="258" customFormat="1" ht="13.5" customHeight="1">
      <c r="A39" s="299" t="s">
        <v>2394</v>
      </c>
      <c r="B39" s="254" t="s">
        <v>2395</v>
      </c>
      <c r="C39" s="276">
        <f ca="1">ROUND(C33*F20,0)</f>
        <v>1161836</v>
      </c>
      <c r="D39" s="276"/>
      <c r="E39" s="276"/>
      <c r="F39" s="277"/>
      <c r="G39" s="278" t="s">
        <v>2396</v>
      </c>
    </row>
    <row r="40" spans="1:7" s="258" customFormat="1" ht="13.5" customHeight="1">
      <c r="A40" s="299" t="s">
        <v>2397</v>
      </c>
      <c r="B40" s="254" t="s">
        <v>2398</v>
      </c>
      <c r="C40" s="1727">
        <f>F21</f>
        <v>0.02</v>
      </c>
      <c r="D40" s="280" t="s">
        <v>2399</v>
      </c>
      <c r="E40" s="276"/>
      <c r="F40" s="277"/>
      <c r="G40" s="278" t="s">
        <v>2400</v>
      </c>
    </row>
    <row r="41" spans="1:7" s="258" customFormat="1" ht="13.5" customHeight="1">
      <c r="A41" s="299" t="s">
        <v>2401</v>
      </c>
      <c r="B41" s="254" t="s">
        <v>2402</v>
      </c>
      <c r="C41" s="276">
        <f ca="1">ROUND(SUM(C42:C43),0)</f>
        <v>2814549</v>
      </c>
      <c r="D41" s="279">
        <f ca="1">C44</f>
        <v>1E-3</v>
      </c>
      <c r="E41" s="280" t="s">
        <v>2399</v>
      </c>
      <c r="F41" s="281"/>
      <c r="G41" s="278" t="str">
        <f>IF('数据-取费表'!B22&lt;=1,"单利计息","复利计息")</f>
        <v>复利计息</v>
      </c>
    </row>
    <row r="42" spans="1:7" ht="13.5" customHeight="1">
      <c r="A42" s="953" t="s">
        <v>791</v>
      </c>
      <c r="B42" s="259" t="s">
        <v>2403</v>
      </c>
      <c r="C42" s="282">
        <f ca="1">ROUND(IF('数据-取费表'!B22&lt;=1,C33*F22*'数据-取费表'!B20/2,C33*(POWER((1+F22),'数据-取费表'!B20/2)-1)),0)</f>
        <v>2759362</v>
      </c>
      <c r="D42" s="282"/>
      <c r="E42" s="282"/>
      <c r="F42" s="283"/>
      <c r="G42" s="3210" t="s">
        <v>2451</v>
      </c>
    </row>
    <row r="43" spans="1:7" ht="13.5" customHeight="1">
      <c r="A43" s="953" t="s">
        <v>792</v>
      </c>
      <c r="B43" s="259" t="s">
        <v>2405</v>
      </c>
      <c r="C43" s="282">
        <f ca="1">ROUND(IF('数据-取费表'!B22&lt;=1,C39*F22*'数据-取费表'!B20/2,C39*(POWER((1+F22),'数据-取费表'!B20/2)-1)),0)</f>
        <v>55187</v>
      </c>
      <c r="D43" s="282"/>
      <c r="E43" s="282"/>
      <c r="F43" s="283"/>
      <c r="G43" s="3211"/>
    </row>
    <row r="44" spans="1:7" ht="13.5" customHeight="1">
      <c r="A44" s="953" t="s">
        <v>793</v>
      </c>
      <c r="B44" s="259" t="s">
        <v>2406</v>
      </c>
      <c r="C44" s="282">
        <f ca="1">ROUND(IF('数据-取费表'!B22&lt;=1,C40*F22*'数据-取费表'!B20/2,C40*(POWER((1+F22),'数据-取费表'!B20/2)-1)),4)</f>
        <v>1E-3</v>
      </c>
      <c r="D44" s="282"/>
      <c r="E44" s="282"/>
      <c r="F44" s="283"/>
      <c r="G44" s="3212"/>
    </row>
    <row r="45" spans="1:7" s="258" customFormat="1" ht="13.5" customHeight="1">
      <c r="A45" s="299" t="s">
        <v>2407</v>
      </c>
      <c r="B45" s="288" t="s">
        <v>2373</v>
      </c>
      <c r="C45" s="289">
        <f ca="1">C46</f>
        <v>14813415</v>
      </c>
      <c r="D45" s="279">
        <f ca="1">C47</f>
        <v>5.0000000000000001E-3</v>
      </c>
      <c r="E45" s="280" t="s">
        <v>2399</v>
      </c>
      <c r="F45" s="290"/>
      <c r="G45" s="291" t="s">
        <v>2408</v>
      </c>
    </row>
    <row r="46" spans="1:7" s="258" customFormat="1" ht="13.5" customHeight="1">
      <c r="A46" s="953" t="s">
        <v>791</v>
      </c>
      <c r="B46" s="292" t="s">
        <v>2409</v>
      </c>
      <c r="C46" s="293">
        <f ca="1">ROUND((C33+C39)*F27,0)</f>
        <v>14813415</v>
      </c>
      <c r="D46" s="307"/>
      <c r="E46" s="280"/>
      <c r="F46" s="290"/>
      <c r="G46" s="291"/>
    </row>
    <row r="47" spans="1:7" s="258" customFormat="1" ht="13.5" customHeight="1">
      <c r="A47" s="953" t="s">
        <v>792</v>
      </c>
      <c r="B47" s="292" t="s">
        <v>2410</v>
      </c>
      <c r="C47" s="282">
        <f ca="1">ROUND(C40*F27,4)</f>
        <v>5.0000000000000001E-3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83503446</v>
      </c>
      <c r="D49" s="276"/>
      <c r="E49" s="276"/>
      <c r="F49" s="308"/>
      <c r="G49" s="278" t="s">
        <v>2414</v>
      </c>
    </row>
    <row r="50" spans="1:7" s="302" customFormat="1">
      <c r="A50" s="299" t="s">
        <v>2415</v>
      </c>
      <c r="B50" s="254" t="s">
        <v>2416</v>
      </c>
      <c r="C50" s="276"/>
      <c r="D50" s="276"/>
      <c r="E50" s="276"/>
      <c r="F50" s="308">
        <f>IF('数据-取费表'!B24=0,'数据-取费表'!N16,1)</f>
        <v>0.98</v>
      </c>
      <c r="G50" s="291"/>
    </row>
    <row r="51" spans="1:7" ht="16.5" customHeight="1">
      <c r="A51" s="299" t="s">
        <v>2418</v>
      </c>
      <c r="B51" s="254" t="s">
        <v>2453</v>
      </c>
      <c r="C51" s="276">
        <f ca="1">ROUND(C49*F50,0)</f>
        <v>81833377</v>
      </c>
      <c r="D51" s="276"/>
      <c r="E51" s="276"/>
      <c r="F51" s="308"/>
      <c r="G51" s="278" t="s">
        <v>2420</v>
      </c>
    </row>
    <row r="52" spans="1:7" s="252" customFormat="1" ht="16.5" thickBot="1">
      <c r="A52" s="309" t="s">
        <v>2421</v>
      </c>
      <c r="B52" s="310"/>
      <c r="C52" s="311">
        <f ca="1">C31+C51</f>
        <v>91173441</v>
      </c>
      <c r="D52" s="310"/>
      <c r="E52" s="310"/>
      <c r="F52" s="310"/>
      <c r="G52" s="312"/>
    </row>
    <row r="55" spans="1:7" ht="15">
      <c r="B55" s="314" t="s">
        <v>2422</v>
      </c>
      <c r="C55" s="315"/>
    </row>
    <row r="56" spans="1:7">
      <c r="B56" s="317" t="s">
        <v>1513</v>
      </c>
      <c r="C56" s="319">
        <f ca="1">1-C57</f>
        <v>0.10199999999999998</v>
      </c>
    </row>
    <row r="57" spans="1:7">
      <c r="B57" s="317" t="s">
        <v>1514</v>
      </c>
      <c r="C57" s="318">
        <f ca="1">ROUND(C51/C52,3)</f>
        <v>0.89800000000000002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2454</v>
      </c>
      <c r="B1" s="1581"/>
      <c r="C1" s="1582"/>
      <c r="D1" s="1580"/>
      <c r="E1" s="320"/>
      <c r="F1" s="320"/>
      <c r="G1" s="1581"/>
      <c r="H1" s="320"/>
      <c r="I1" s="320"/>
      <c r="J1" s="320"/>
      <c r="K1" s="320">
        <f>MATCH(C1,'数据-取费表'!A6:A16,0)+5</f>
        <v>8</v>
      </c>
    </row>
    <row r="2" spans="1:33" ht="18" customHeight="1">
      <c r="A2" s="245" t="s">
        <v>2322</v>
      </c>
      <c r="B2" s="248">
        <f ca="1">C32</f>
        <v>-320</v>
      </c>
      <c r="C2" s="320" t="s">
        <v>2455</v>
      </c>
      <c r="D2" s="320"/>
      <c r="E2" s="320"/>
      <c r="F2" s="320"/>
      <c r="G2" s="320"/>
      <c r="H2" s="320"/>
      <c r="I2" s="320"/>
      <c r="J2" s="320"/>
      <c r="K2" s="320"/>
    </row>
    <row r="3" spans="1:33" ht="18" customHeight="1" thickBot="1">
      <c r="A3" s="247" t="s">
        <v>2324</v>
      </c>
      <c r="B3" s="248">
        <f ca="1">ROUND(B2*10000/IF(C1="",'数据-汇总表'!E3,INDIRECT("'数据-取费表'!K"&amp;$K$1)),0)</f>
        <v>-174</v>
      </c>
      <c r="C3" s="320" t="s">
        <v>2456</v>
      </c>
      <c r="D3" s="320"/>
      <c r="E3" s="320"/>
      <c r="F3" s="320"/>
      <c r="G3" s="320"/>
      <c r="H3" s="320"/>
      <c r="I3" s="320"/>
      <c r="J3" s="320"/>
      <c r="K3" s="320"/>
    </row>
    <row r="4" spans="1:33" s="958" customFormat="1" ht="16.5" customHeight="1">
      <c r="A4" s="955" t="s">
        <v>2457</v>
      </c>
      <c r="B4" s="956"/>
      <c r="C4" s="998">
        <f>SUM(C8:K8)</f>
        <v>0</v>
      </c>
      <c r="D4" s="956"/>
      <c r="E4" s="956"/>
      <c r="F4" s="956"/>
      <c r="G4" s="956"/>
      <c r="H4" s="956"/>
      <c r="I4" s="956"/>
      <c r="J4" s="956"/>
      <c r="K4" s="957"/>
    </row>
    <row r="5" spans="1:33" s="962" customFormat="1" ht="24.75">
      <c r="A5" s="959" t="s">
        <v>2458</v>
      </c>
      <c r="B5" s="960" t="s">
        <v>2459</v>
      </c>
      <c r="C5" s="2550" t="s">
        <v>2460</v>
      </c>
      <c r="D5" s="2550" t="s">
        <v>2461</v>
      </c>
      <c r="E5" s="2550" t="s">
        <v>2462</v>
      </c>
      <c r="F5" s="2550"/>
      <c r="G5" s="2550"/>
      <c r="H5" s="2550"/>
      <c r="I5" s="2550"/>
      <c r="J5" s="2550"/>
      <c r="K5" s="255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1" t="s">
        <v>2466</v>
      </c>
      <c r="B8" s="177" t="s">
        <v>2467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2468</v>
      </c>
      <c r="B9" s="956"/>
      <c r="C9" s="956"/>
      <c r="D9" s="956"/>
      <c r="E9" s="956"/>
      <c r="F9" s="956"/>
      <c r="G9" s="956"/>
      <c r="H9" s="956"/>
      <c r="I9" s="956"/>
      <c r="J9" s="956"/>
      <c r="K9" s="957"/>
    </row>
    <row r="10" spans="1:33" s="972" customFormat="1" ht="13.5" customHeight="1">
      <c r="A10" s="959" t="s">
        <v>2469</v>
      </c>
      <c r="B10" s="8" t="s">
        <v>2470</v>
      </c>
      <c r="C10" s="968" t="s">
        <v>2471</v>
      </c>
      <c r="D10" s="969" t="s">
        <v>2472</v>
      </c>
      <c r="E10" s="969" t="s">
        <v>2473</v>
      </c>
      <c r="F10" s="969" t="s">
        <v>2474</v>
      </c>
      <c r="G10" s="8"/>
      <c r="H10" s="970"/>
      <c r="I10" s="970"/>
      <c r="J10" s="970"/>
      <c r="K10" s="971"/>
    </row>
    <row r="11" spans="1:33" s="977" customFormat="1" ht="13.5" customHeight="1">
      <c r="A11" s="973" t="s">
        <v>1334</v>
      </c>
      <c r="B11" s="974" t="s">
        <v>2475</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2476</v>
      </c>
      <c r="C12" s="24">
        <f ca="1">ROUND(C11*F12,0)</f>
        <v>0</v>
      </c>
      <c r="D12" s="975"/>
      <c r="E12" s="375"/>
      <c r="F12" s="978">
        <f>'数据-取费表'!B33</f>
        <v>0.04</v>
      </c>
      <c r="G12" s="8" t="s">
        <v>2477</v>
      </c>
      <c r="H12" s="970"/>
      <c r="I12" s="970"/>
      <c r="J12" s="970"/>
      <c r="K12" s="971"/>
    </row>
    <row r="13" spans="1:33" s="977" customFormat="1" ht="13.5" customHeight="1">
      <c r="A13" s="973" t="s">
        <v>1336</v>
      </c>
      <c r="B13" s="974" t="s">
        <v>2478</v>
      </c>
      <c r="C13" s="24">
        <f ca="1">ROUND(IF(C1="",SUMIF('数据-取费表'!C:C,"住宅",'数据-取费表'!P:P)*F13,IF(INDIRECT("'数据-取费表'!c"&amp;$K$1)="住宅",INDIRECT("'数据-取费表'!P"&amp;$K$1)*F13,0)),0)</f>
        <v>0</v>
      </c>
      <c r="D13" s="1035"/>
      <c r="E13" s="375"/>
      <c r="F13" s="978">
        <f>'数据-取费表'!B34</f>
        <v>0</v>
      </c>
      <c r="G13" s="8" t="s">
        <v>2479</v>
      </c>
      <c r="H13" s="970"/>
      <c r="I13" s="970"/>
      <c r="J13" s="970"/>
      <c r="K13" s="971"/>
    </row>
    <row r="14" spans="1:33" s="979" customFormat="1" ht="13.5" customHeight="1">
      <c r="A14" s="973" t="s">
        <v>1337</v>
      </c>
      <c r="B14" s="974" t="s">
        <v>2480</v>
      </c>
      <c r="C14" s="24">
        <f ca="1">ROUND(D14*E14*F11/10000,0)</f>
        <v>0</v>
      </c>
      <c r="D14" s="1035">
        <f ca="1">IF(C1="",'数据-汇总表'!E3,INDIRECT("'数据-取费表'!K"&amp;$K$1)+INDIRECT("'数据-取费表'!S"&amp;$K$1))</f>
        <v>18418.460000000006</v>
      </c>
      <c r="E14" s="24">
        <f>'数据-取费表'!B35</f>
        <v>200</v>
      </c>
      <c r="F14" s="978"/>
      <c r="G14" s="8" t="s">
        <v>2481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2482</v>
      </c>
      <c r="C15" s="985">
        <f ca="1">ROUND(C11*F15,0)</f>
        <v>0</v>
      </c>
      <c r="D15" s="980"/>
      <c r="E15" s="985"/>
      <c r="F15" s="986">
        <f>'数据-取费表'!B36</f>
        <v>1.4999999999999999E-2</v>
      </c>
      <c r="G15" s="140" t="s">
        <v>2483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2484</v>
      </c>
      <c r="C16" s="985">
        <f ca="1">SUM(C11:C15)</f>
        <v>0</v>
      </c>
      <c r="D16" s="980"/>
      <c r="E16" s="985"/>
      <c r="F16" s="986"/>
      <c r="G16" s="140"/>
      <c r="H16" s="1578"/>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2485</v>
      </c>
      <c r="C17" s="24">
        <f ca="1">ROUND(D17*E17/10000,0)</f>
        <v>0</v>
      </c>
      <c r="D17" s="1035">
        <f ca="1">D14</f>
        <v>18418.460000000006</v>
      </c>
      <c r="E17" s="24">
        <f>'数据-取费表'!B32</f>
        <v>0</v>
      </c>
      <c r="F17" s="980"/>
      <c r="G17" s="140" t="s">
        <v>2486</v>
      </c>
      <c r="H17" s="1578"/>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2487</v>
      </c>
      <c r="C18" s="24">
        <f ca="1">C19+C20-IF(C1="",'数据-取费表'!B29,IF(G18="已全部缴纳",C19+C20,H18))</f>
        <v>258</v>
      </c>
      <c r="D18" s="1035"/>
      <c r="E18" s="24"/>
      <c r="F18" s="978"/>
      <c r="G18" s="2552"/>
      <c r="H18" s="1577"/>
      <c r="I18" s="2553" t="s">
        <v>2488</v>
      </c>
      <c r="J18" s="981"/>
      <c r="K18" s="982"/>
    </row>
    <row r="19" spans="1:33" s="977" customFormat="1" ht="13.5" customHeight="1">
      <c r="A19" s="973" t="s">
        <v>805</v>
      </c>
      <c r="B19" s="974" t="s">
        <v>2489</v>
      </c>
      <c r="C19" s="24">
        <f ca="1">ROUND(D19*E19/10000,0)</f>
        <v>0</v>
      </c>
      <c r="D19" s="1035">
        <f ca="1">IF(C1="",'数据-汇总表'!E5,IF(INDIRECT("'数据-取费表'!c"&amp;$K$1)="住宅",INDIRECT("'数据-取费表'!k"&amp;$K$1),0))</f>
        <v>0</v>
      </c>
      <c r="E19" s="24">
        <f>'数据-取费表'!B27</f>
        <v>90</v>
      </c>
      <c r="F19" s="978"/>
      <c r="G19" s="15"/>
      <c r="H19" s="1579"/>
      <c r="I19" s="983"/>
      <c r="J19" s="983"/>
      <c r="K19" s="984"/>
    </row>
    <row r="20" spans="1:33" s="977" customFormat="1" ht="13.5" customHeight="1">
      <c r="A20" s="973" t="s">
        <v>806</v>
      </c>
      <c r="B20" s="974" t="s">
        <v>2490</v>
      </c>
      <c r="C20" s="24">
        <f ca="1">ROUND(D20*E20/10000,0)</f>
        <v>258</v>
      </c>
      <c r="D20" s="1035">
        <f ca="1">IF(C1="",'数据-汇总表'!E6,IF(INDIRECT("'数据-取费表'!c"&amp;$K$1)="住宅",INDIRECT("'数据-取费表'!s"&amp;$K$1),INDIRECT("'数据-取费表'!k"&amp;$K$1)+INDIRECT("'数据-取费表'!s"&amp;$K$1)))</f>
        <v>18418.460000000006</v>
      </c>
      <c r="E20" s="24">
        <f>'数据-取费表'!B28</f>
        <v>140</v>
      </c>
      <c r="F20" s="978"/>
      <c r="G20" s="15"/>
      <c r="H20" s="983"/>
      <c r="I20" s="983"/>
      <c r="J20" s="983"/>
      <c r="K20" s="984"/>
    </row>
    <row r="21" spans="1:33" s="977" customFormat="1" ht="13.5" customHeight="1">
      <c r="A21" s="963" t="s">
        <v>802</v>
      </c>
      <c r="B21" s="987" t="s">
        <v>2491</v>
      </c>
      <c r="C21" s="988">
        <f ca="1">C16+C17+C18</f>
        <v>258</v>
      </c>
      <c r="D21" s="989"/>
      <c r="E21" s="325"/>
      <c r="F21" s="325"/>
      <c r="G21" s="140" t="s">
        <v>2492</v>
      </c>
      <c r="H21" s="981"/>
      <c r="I21" s="981"/>
      <c r="J21" s="981"/>
      <c r="K21" s="982"/>
    </row>
    <row r="22" spans="1:33" s="977" customFormat="1" ht="13.5" customHeight="1">
      <c r="A22" s="963" t="s">
        <v>2464</v>
      </c>
      <c r="B22" s="987" t="s">
        <v>2493</v>
      </c>
      <c r="C22" s="988">
        <f ca="1">ROUND(C21*F22,0)</f>
        <v>5</v>
      </c>
      <c r="D22" s="325"/>
      <c r="E22" s="325"/>
      <c r="F22" s="990">
        <f>'数据-取费表'!B37</f>
        <v>0.02</v>
      </c>
      <c r="G22" s="8" t="s">
        <v>2494</v>
      </c>
      <c r="H22" s="970"/>
      <c r="I22" s="970"/>
      <c r="J22" s="970"/>
      <c r="K22" s="971"/>
    </row>
    <row r="23" spans="1:33" s="977" customFormat="1" ht="13.5" customHeight="1">
      <c r="A23" s="963" t="s">
        <v>2466</v>
      </c>
      <c r="B23" s="987" t="s">
        <v>2495</v>
      </c>
      <c r="C23" s="988">
        <f ca="1">ROUND(C4*F23*F11,0)</f>
        <v>0</v>
      </c>
      <c r="D23" s="325"/>
      <c r="E23" s="325"/>
      <c r="F23" s="990">
        <f>'数据-取费表'!B38</f>
        <v>0.02</v>
      </c>
      <c r="G23" s="8" t="s">
        <v>2496</v>
      </c>
      <c r="H23" s="970"/>
      <c r="I23" s="970"/>
      <c r="J23" s="970"/>
      <c r="K23" s="971"/>
    </row>
    <row r="24" spans="1:33" s="977" customFormat="1" ht="13.5" customHeight="1">
      <c r="A24" s="963" t="s">
        <v>2497</v>
      </c>
      <c r="B24" s="987" t="s">
        <v>2498</v>
      </c>
      <c r="C24" s="324">
        <f>ROUND(F24/(1+'数据-取费表'!C42),4)</f>
        <v>2.9000000000000001E-2</v>
      </c>
      <c r="D24" s="325" t="s">
        <v>15</v>
      </c>
      <c r="E24" s="325"/>
      <c r="F24" s="990">
        <f>'数据-取费表'!B48+'数据-取费表'!B49</f>
        <v>3.0499999999999999E-2</v>
      </c>
      <c r="G24" s="8" t="s">
        <v>2499</v>
      </c>
      <c r="H24" s="992"/>
      <c r="I24" s="992"/>
      <c r="J24" s="992"/>
      <c r="K24" s="993"/>
    </row>
    <row r="25" spans="1:33" s="977" customFormat="1" ht="13.5" customHeight="1">
      <c r="A25" s="963" t="s">
        <v>2500</v>
      </c>
      <c r="B25" s="989"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2502</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2503</v>
      </c>
      <c r="C27" s="1358">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81"/>
      <c r="I27" s="981"/>
      <c r="J27" s="981"/>
      <c r="K27" s="982"/>
    </row>
    <row r="28" spans="1:33" s="333" customFormat="1" ht="13.5" customHeight="1">
      <c r="A28" s="963" t="s">
        <v>2504</v>
      </c>
      <c r="B28" s="2555" t="s">
        <v>2505</v>
      </c>
      <c r="C28" s="331">
        <f ca="1">C30</f>
        <v>66</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2506</v>
      </c>
      <c r="C29" s="328">
        <f ca="1">ROUND((1+C24)*F28*'数据-取费表'!B24/'数据-取费表'!B20,4)</f>
        <v>0</v>
      </c>
      <c r="D29" s="328"/>
      <c r="E29" s="329"/>
      <c r="F29" s="334"/>
      <c r="G29" s="140" t="s">
        <v>2507</v>
      </c>
      <c r="H29" s="981"/>
      <c r="I29" s="981"/>
      <c r="J29" s="981"/>
      <c r="K29" s="982"/>
    </row>
    <row r="30" spans="1:33" s="335" customFormat="1" ht="13.5" customHeight="1">
      <c r="A30" s="973" t="s">
        <v>804</v>
      </c>
      <c r="B30" s="996" t="s">
        <v>2508</v>
      </c>
      <c r="C30" s="336">
        <f ca="1">ROUND((C21+C22+C23)*F28,0)</f>
        <v>66</v>
      </c>
      <c r="D30" s="328"/>
      <c r="E30" s="329"/>
      <c r="F30" s="334"/>
      <c r="G30" s="140"/>
      <c r="H30" s="981"/>
      <c r="I30" s="981"/>
      <c r="J30" s="981"/>
      <c r="K30" s="982"/>
    </row>
    <row r="31" spans="1:33" s="977" customFormat="1" ht="13.5" customHeight="1" thickBot="1">
      <c r="A31" s="2556" t="s">
        <v>2509</v>
      </c>
      <c r="B31" s="1007" t="s">
        <v>2510</v>
      </c>
      <c r="C31" s="1008">
        <f>ROUND(C4*F31/(1+'数据-取费表'!C42),0)</f>
        <v>0</v>
      </c>
      <c r="D31" s="1009"/>
      <c r="E31" s="1010"/>
      <c r="F31" s="1011">
        <f>'数据-取费表'!B41</f>
        <v>5.6000000000000001E-2</v>
      </c>
      <c r="G31" s="1012" t="s">
        <v>2511</v>
      </c>
      <c r="H31" s="1013"/>
      <c r="I31" s="1013"/>
      <c r="J31" s="1013"/>
      <c r="K31" s="1014"/>
    </row>
    <row r="32" spans="1:33" s="972" customFormat="1" ht="13.5" customHeight="1" thickBot="1">
      <c r="A32" s="1002" t="s">
        <v>2512</v>
      </c>
      <c r="B32" s="1003"/>
      <c r="C32" s="1004">
        <f ca="1">ROUND((C4-C21-C22-C23-C25-C28-C31)/(1+C24+D25+D28),0)</f>
        <v>-320</v>
      </c>
      <c r="D32" s="1003"/>
      <c r="E32" s="1003"/>
      <c r="F32" s="1003"/>
      <c r="G32" s="1005" t="s">
        <v>2513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90" zoomScaleNormal="90" workbookViewId="0">
      <selection activeCell="G27" sqref="G2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8" t="s">
        <v>2637</v>
      </c>
      <c r="C1" s="1634" t="s">
        <v>2525</v>
      </c>
      <c r="D1" s="1621" t="s">
        <v>3732</v>
      </c>
      <c r="E1" s="2653"/>
      <c r="F1" s="2580" t="s">
        <v>3838</v>
      </c>
      <c r="G1" s="1631" t="s">
        <v>2638</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2322</v>
      </c>
      <c r="B2" s="1418">
        <f>IF(C2="——",ROUND(C49*D3/10000,0),ROUND(C49*D3/10000,0)-D2)</f>
        <v>651</v>
      </c>
      <c r="C2" s="2582" t="s">
        <v>70</v>
      </c>
      <c r="D2" s="1365" t="e">
        <f ca="1">SUMIF(INDIRECT("'"&amp;F2&amp;"'"&amp;"!A:A"),"承租人权益价值",INDIRECT("'"&amp;F2&amp;"'"&amp;"!c:c"))</f>
        <v>#REF!</v>
      </c>
      <c r="E2" s="2583" t="s">
        <v>2323</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2324</v>
      </c>
      <c r="B3" s="609">
        <f>IF(C2="——",C49,ROUND(B2*10000/D3,0))</f>
        <v>46180</v>
      </c>
      <c r="C3" s="400" t="s">
        <v>2639</v>
      </c>
      <c r="D3" s="399">
        <f>IF(D1="",'数据-汇总表'!E3,SUMIF('数据-汇总表'!$C19:$C33,D1,'数据-汇总表'!$E19:$E33))</f>
        <v>140.88999999999999</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2640</v>
      </c>
      <c r="B4" s="402"/>
      <c r="C4" s="3232" t="s">
        <v>2641</v>
      </c>
      <c r="D4" s="3233"/>
      <c r="E4" s="3234" t="s">
        <v>2642</v>
      </c>
      <c r="F4" s="3235"/>
      <c r="G4" s="3232" t="s">
        <v>2643</v>
      </c>
      <c r="H4" s="3233"/>
      <c r="I4" s="3232" t="s">
        <v>2644</v>
      </c>
      <c r="J4" s="3233"/>
      <c r="K4" s="610" t="s">
        <v>2645</v>
      </c>
      <c r="L4" s="1130"/>
      <c r="M4" s="1131"/>
      <c r="N4" s="1131"/>
      <c r="O4" s="1131"/>
      <c r="P4" s="3236" t="s">
        <v>2646</v>
      </c>
      <c r="Q4" s="3237"/>
      <c r="R4" s="3219" t="s">
        <v>2642</v>
      </c>
      <c r="S4" s="3220"/>
      <c r="T4" s="3219" t="s">
        <v>2643</v>
      </c>
      <c r="U4" s="3220"/>
      <c r="V4" s="3216" t="s">
        <v>2644</v>
      </c>
      <c r="W4" s="3216"/>
      <c r="X4" s="1811"/>
      <c r="Y4" s="3219" t="s">
        <v>2646</v>
      </c>
      <c r="Z4" s="3220"/>
      <c r="AA4" s="3213" t="s">
        <v>2642</v>
      </c>
      <c r="AB4" s="3216" t="s">
        <v>2643</v>
      </c>
      <c r="AC4" s="3213" t="s">
        <v>2644</v>
      </c>
    </row>
    <row r="5" spans="1:29" ht="15">
      <c r="A5" s="404"/>
      <c r="B5" s="405"/>
      <c r="C5" s="3225" t="s">
        <v>3839</v>
      </c>
      <c r="D5" s="3226"/>
      <c r="E5" s="3223" t="s">
        <v>3888</v>
      </c>
      <c r="F5" s="3224"/>
      <c r="G5" s="3225" t="s">
        <v>3889</v>
      </c>
      <c r="H5" s="3226"/>
      <c r="I5" s="3225" t="s">
        <v>3892</v>
      </c>
      <c r="J5" s="3226"/>
      <c r="K5" s="610"/>
      <c r="L5" s="1130"/>
      <c r="M5" s="1131"/>
      <c r="N5" s="1131"/>
      <c r="O5" s="1131"/>
      <c r="P5" s="3238"/>
      <c r="Q5" s="3239"/>
      <c r="R5" s="3221"/>
      <c r="S5" s="3222"/>
      <c r="T5" s="3221"/>
      <c r="U5" s="3222"/>
      <c r="V5" s="3216"/>
      <c r="W5" s="3216"/>
      <c r="X5" s="1811"/>
      <c r="Y5" s="3221"/>
      <c r="Z5" s="3222"/>
      <c r="AA5" s="3214"/>
      <c r="AB5" s="3216"/>
      <c r="AC5" s="3214"/>
    </row>
    <row r="6" spans="1:29" ht="15.75" thickBot="1">
      <c r="A6" s="406"/>
      <c r="B6" s="407"/>
      <c r="C6" s="3227" t="s">
        <v>3840</v>
      </c>
      <c r="D6" s="3228"/>
      <c r="E6" s="3229" t="s">
        <v>3890</v>
      </c>
      <c r="F6" s="3230"/>
      <c r="G6" s="3227" t="s">
        <v>3991</v>
      </c>
      <c r="H6" s="3228"/>
      <c r="I6" s="3227" t="s">
        <v>3991</v>
      </c>
      <c r="J6" s="3228"/>
      <c r="K6" s="610" t="s">
        <v>2542</v>
      </c>
      <c r="L6" s="1130"/>
      <c r="M6" s="1131"/>
      <c r="N6" s="1131"/>
      <c r="O6" s="1131"/>
      <c r="P6" s="3240"/>
      <c r="Q6" s="3241"/>
      <c r="R6" s="3221"/>
      <c r="S6" s="3222"/>
      <c r="T6" s="3242"/>
      <c r="U6" s="3243"/>
      <c r="V6" s="3216"/>
      <c r="W6" s="3216"/>
      <c r="X6" s="1811"/>
      <c r="Y6" s="3242"/>
      <c r="Z6" s="3243"/>
      <c r="AA6" s="3215"/>
      <c r="AB6" s="3216"/>
      <c r="AC6" s="3215"/>
    </row>
    <row r="7" spans="1:29" s="117" customFormat="1" ht="15.75" thickBot="1">
      <c r="A7" s="408" t="s">
        <v>2543</v>
      </c>
      <c r="B7" s="409"/>
      <c r="C7" s="410">
        <f>'数据-取费表'!B2</f>
        <v>43279</v>
      </c>
      <c r="D7" s="411">
        <v>100</v>
      </c>
      <c r="E7" s="412">
        <f>C7</f>
        <v>43279</v>
      </c>
      <c r="F7" s="413">
        <f>SUMIF(58:58,YEAR(E7)&amp;"-"&amp;MONTH(E7),59:59)</f>
        <v>100</v>
      </c>
      <c r="G7" s="412">
        <f>C7</f>
        <v>43279</v>
      </c>
      <c r="H7" s="411">
        <f>SUMIF(58:58,YEAR(G7)&amp;"-"&amp;MONTH(G7),59:59)</f>
        <v>100</v>
      </c>
      <c r="I7" s="412">
        <f>C7</f>
        <v>43279</v>
      </c>
      <c r="J7" s="411">
        <f>SUMIF(58:58,YEAR(I7)&amp;"-"&amp;MONTH(I7),59:59)</f>
        <v>100</v>
      </c>
      <c r="K7" s="611"/>
      <c r="L7" s="1132"/>
      <c r="M7" s="1133"/>
      <c r="N7" s="1133"/>
      <c r="O7" s="1133"/>
      <c r="P7" s="3217" t="s">
        <v>2544</v>
      </c>
      <c r="Q7" s="3244"/>
      <c r="R7" s="769" t="s">
        <v>17</v>
      </c>
      <c r="S7" s="770">
        <f t="shared" ref="S7:S15" si="0">F7</f>
        <v>100</v>
      </c>
      <c r="T7" s="769" t="s">
        <v>17</v>
      </c>
      <c r="U7" s="770">
        <f t="shared" ref="U7:U15" si="1">H7</f>
        <v>100</v>
      </c>
      <c r="V7" s="769" t="s">
        <v>17</v>
      </c>
      <c r="W7" s="770">
        <f t="shared" ref="W7:W15" si="2">J7</f>
        <v>100</v>
      </c>
      <c r="X7" s="771"/>
      <c r="Y7" s="3217" t="s">
        <v>2544</v>
      </c>
      <c r="Z7" s="3218"/>
      <c r="AA7" s="772">
        <f>D7/F7</f>
        <v>1</v>
      </c>
      <c r="AB7" s="772">
        <f>D7/H7</f>
        <v>1</v>
      </c>
      <c r="AC7" s="772">
        <f>D7/J7</f>
        <v>1</v>
      </c>
    </row>
    <row r="8" spans="1:29" s="117" customFormat="1" ht="15.75" thickBot="1">
      <c r="A8" s="408" t="s">
        <v>2545</v>
      </c>
      <c r="B8" s="409"/>
      <c r="C8" s="414" t="s">
        <v>3056</v>
      </c>
      <c r="D8" s="411">
        <v>100</v>
      </c>
      <c r="E8" s="414" t="s">
        <v>3056</v>
      </c>
      <c r="F8" s="413">
        <f>SUMIF(61:61,E8,62:62)-SUMIF(61:61,C8,62:62)+100</f>
        <v>100</v>
      </c>
      <c r="G8" s="414" t="s">
        <v>3056</v>
      </c>
      <c r="H8" s="411">
        <f>SUMIF(61:61,G8,62:62)-SUMIF(61:61,C8,62:62)+100</f>
        <v>100</v>
      </c>
      <c r="I8" s="414" t="s">
        <v>3056</v>
      </c>
      <c r="J8" s="411">
        <f>SUMIF(61:61,I8,62:62)-SUMIF(61:61,C8,62:62)+100</f>
        <v>100</v>
      </c>
      <c r="K8" s="611"/>
      <c r="L8" s="1132"/>
      <c r="M8" s="1133"/>
      <c r="N8" s="1133"/>
      <c r="O8" s="1133"/>
      <c r="P8" s="3217" t="s">
        <v>2547</v>
      </c>
      <c r="Q8" s="3218"/>
      <c r="R8" s="769" t="s">
        <v>17</v>
      </c>
      <c r="S8" s="770">
        <f t="shared" si="0"/>
        <v>100</v>
      </c>
      <c r="T8" s="769" t="s">
        <v>17</v>
      </c>
      <c r="U8" s="770">
        <f t="shared" si="1"/>
        <v>100</v>
      </c>
      <c r="V8" s="769" t="s">
        <v>17</v>
      </c>
      <c r="W8" s="770">
        <f t="shared" si="2"/>
        <v>100</v>
      </c>
      <c r="X8" s="771"/>
      <c r="Y8" s="3217" t="s">
        <v>2547</v>
      </c>
      <c r="Z8" s="3218"/>
      <c r="AA8" s="772">
        <f t="shared" ref="AA8:AA46" si="3">D8/F8</f>
        <v>1</v>
      </c>
      <c r="AB8" s="772">
        <f t="shared" ref="AB8:AB46" si="4">D8/H8</f>
        <v>1</v>
      </c>
      <c r="AC8" s="772">
        <f t="shared" ref="AC8:AC46" si="5">D8/J8</f>
        <v>1</v>
      </c>
    </row>
    <row r="9" spans="1:29" s="117" customFormat="1">
      <c r="A9" s="415" t="s">
        <v>2548</v>
      </c>
      <c r="B9" s="71" t="s">
        <v>2549</v>
      </c>
      <c r="C9" s="2977" t="s">
        <v>3841</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31" t="s">
        <v>2550</v>
      </c>
      <c r="Q9" s="1793" t="str">
        <f t="shared" ref="Q9:Q15" si="6">B9</f>
        <v>用途</v>
      </c>
      <c r="R9" s="769" t="s">
        <v>17</v>
      </c>
      <c r="S9" s="770">
        <f t="shared" si="0"/>
        <v>100</v>
      </c>
      <c r="T9" s="769" t="s">
        <v>17</v>
      </c>
      <c r="U9" s="770">
        <f t="shared" si="1"/>
        <v>100</v>
      </c>
      <c r="V9" s="769" t="s">
        <v>17</v>
      </c>
      <c r="W9" s="770">
        <f t="shared" si="2"/>
        <v>100</v>
      </c>
      <c r="X9" s="771"/>
      <c r="Y9" s="3090" t="s">
        <v>2551</v>
      </c>
      <c r="Z9" s="55" t="str">
        <f t="shared" ref="Z9:Z15" si="7">Q9</f>
        <v>用途</v>
      </c>
      <c r="AA9" s="772">
        <f t="shared" si="3"/>
        <v>1</v>
      </c>
      <c r="AB9" s="772">
        <f t="shared" si="4"/>
        <v>1</v>
      </c>
      <c r="AC9" s="772">
        <f t="shared" si="5"/>
        <v>1</v>
      </c>
    </row>
    <row r="10" spans="1:29" s="427" customFormat="1" ht="27">
      <c r="A10" s="421"/>
      <c r="B10" s="422" t="s">
        <v>2552</v>
      </c>
      <c r="C10" s="423" t="s">
        <v>3842</v>
      </c>
      <c r="D10" s="136">
        <v>100</v>
      </c>
      <c r="E10" s="424" t="s">
        <v>3842</v>
      </c>
      <c r="F10" s="425">
        <f>SUMIF(65:65,E10,66:66)-SUMIF(65:65,C10,66:66)+100</f>
        <v>100</v>
      </c>
      <c r="G10" s="423" t="s">
        <v>3842</v>
      </c>
      <c r="H10" s="136">
        <f>SUMIF(65:65,G10,66:66)-SUMIF(65:65,C10,66:66)+100</f>
        <v>100</v>
      </c>
      <c r="I10" s="423" t="s">
        <v>3842</v>
      </c>
      <c r="J10" s="136">
        <f>SUMIF(65:65,I10,66:66)-SUMIF(65:65,C10,66:66)+100</f>
        <v>100</v>
      </c>
      <c r="K10" s="612">
        <v>2</v>
      </c>
      <c r="L10" s="1135"/>
      <c r="M10" s="1136"/>
      <c r="N10" s="1136"/>
      <c r="O10" s="1136"/>
      <c r="P10" s="3231"/>
      <c r="Q10" s="1793" t="str">
        <f t="shared" si="6"/>
        <v>土地使用年限（年）</v>
      </c>
      <c r="R10" s="769" t="s">
        <v>17</v>
      </c>
      <c r="S10" s="770">
        <f t="shared" si="0"/>
        <v>100</v>
      </c>
      <c r="T10" s="769" t="s">
        <v>17</v>
      </c>
      <c r="U10" s="770">
        <f t="shared" si="1"/>
        <v>100</v>
      </c>
      <c r="V10" s="769" t="s">
        <v>17</v>
      </c>
      <c r="W10" s="770">
        <f t="shared" si="2"/>
        <v>100</v>
      </c>
      <c r="X10" s="771"/>
      <c r="Y10" s="3090"/>
      <c r="Z10" s="55" t="str">
        <f t="shared" si="7"/>
        <v>土地使用年限（年）</v>
      </c>
      <c r="AA10" s="772">
        <f t="shared" si="3"/>
        <v>1</v>
      </c>
      <c r="AB10" s="772">
        <f t="shared" si="4"/>
        <v>1</v>
      </c>
      <c r="AC10" s="772">
        <f t="shared" si="5"/>
        <v>1</v>
      </c>
    </row>
    <row r="11" spans="1:29" ht="15.75" thickBot="1">
      <c r="A11" s="428"/>
      <c r="B11" s="422" t="s">
        <v>2553</v>
      </c>
      <c r="C11" s="429">
        <f>'数据-汇总表'!I6</f>
        <v>5.63</v>
      </c>
      <c r="D11" s="136">
        <v>100</v>
      </c>
      <c r="E11" s="430">
        <v>2.79</v>
      </c>
      <c r="F11" s="425">
        <f>LOOKUP(E11,68:68,69:69)-LOOKUP(C11,68:68,69:69)+100</f>
        <v>106</v>
      </c>
      <c r="G11" s="429">
        <v>3.84</v>
      </c>
      <c r="H11" s="136">
        <f>LOOKUP(G11,68:68,69:69)-LOOKUP(C11,68:68,69:69)+100</f>
        <v>104</v>
      </c>
      <c r="I11" s="429">
        <v>4.8</v>
      </c>
      <c r="J11" s="136">
        <f>LOOKUP(I11,68:68,69:69)-LOOKUP(C11,68:68,69:69)+100</f>
        <v>102</v>
      </c>
      <c r="K11" s="612">
        <v>2</v>
      </c>
      <c r="L11" s="1138"/>
      <c r="M11" s="1131"/>
      <c r="N11" s="1131"/>
      <c r="O11" s="1131"/>
      <c r="P11" s="3231"/>
      <c r="Q11" s="1793" t="str">
        <f t="shared" si="6"/>
        <v>容积率</v>
      </c>
      <c r="R11" s="769" t="s">
        <v>17</v>
      </c>
      <c r="S11" s="770">
        <f t="shared" si="0"/>
        <v>106</v>
      </c>
      <c r="T11" s="769" t="s">
        <v>17</v>
      </c>
      <c r="U11" s="770">
        <f t="shared" si="1"/>
        <v>104</v>
      </c>
      <c r="V11" s="769" t="s">
        <v>17</v>
      </c>
      <c r="W11" s="770">
        <f t="shared" si="2"/>
        <v>102</v>
      </c>
      <c r="X11" s="771"/>
      <c r="Y11" s="3090"/>
      <c r="Z11" s="55" t="str">
        <f t="shared" si="7"/>
        <v>容积率</v>
      </c>
      <c r="AA11" s="772">
        <f t="shared" si="3"/>
        <v>0.94339622641509435</v>
      </c>
      <c r="AB11" s="772">
        <f t="shared" si="4"/>
        <v>0.96153846153846156</v>
      </c>
      <c r="AC11" s="772">
        <f t="shared" si="5"/>
        <v>0.98039215686274506</v>
      </c>
    </row>
    <row r="12" spans="1:29" s="117" customFormat="1" ht="15" hidden="1">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1"/>
      <c r="Q12" s="1793">
        <f t="shared" si="6"/>
        <v>111</v>
      </c>
      <c r="R12" s="769" t="s">
        <v>17</v>
      </c>
      <c r="S12" s="770">
        <f t="shared" si="0"/>
        <v>100</v>
      </c>
      <c r="T12" s="769" t="s">
        <v>17</v>
      </c>
      <c r="U12" s="770">
        <f t="shared" si="1"/>
        <v>100</v>
      </c>
      <c r="V12" s="769" t="s">
        <v>17</v>
      </c>
      <c r="W12" s="770">
        <f t="shared" si="2"/>
        <v>100</v>
      </c>
      <c r="X12" s="771"/>
      <c r="Y12" s="3090"/>
      <c r="Z12" s="55">
        <f t="shared" si="7"/>
        <v>111</v>
      </c>
      <c r="AA12" s="772">
        <f>D12/F12</f>
        <v>1</v>
      </c>
      <c r="AB12" s="772">
        <f>D12/H12</f>
        <v>1</v>
      </c>
      <c r="AC12" s="772">
        <f>D12/J12</f>
        <v>1</v>
      </c>
    </row>
    <row r="13" spans="1:29" ht="15" hidden="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1"/>
      <c r="Q13" s="1793">
        <f t="shared" si="6"/>
        <v>111</v>
      </c>
      <c r="R13" s="769" t="s">
        <v>17</v>
      </c>
      <c r="S13" s="770">
        <f t="shared" si="0"/>
        <v>100</v>
      </c>
      <c r="T13" s="769" t="s">
        <v>17</v>
      </c>
      <c r="U13" s="770">
        <f t="shared" si="1"/>
        <v>100</v>
      </c>
      <c r="V13" s="769" t="s">
        <v>17</v>
      </c>
      <c r="W13" s="770">
        <f t="shared" si="2"/>
        <v>100</v>
      </c>
      <c r="X13" s="771"/>
      <c r="Y13" s="3090"/>
      <c r="Z13" s="55">
        <f t="shared" si="7"/>
        <v>111</v>
      </c>
      <c r="AA13" s="772">
        <f t="shared" si="3"/>
        <v>1</v>
      </c>
      <c r="AB13" s="772">
        <f t="shared" si="4"/>
        <v>1</v>
      </c>
      <c r="AC13" s="772">
        <f t="shared" si="5"/>
        <v>1</v>
      </c>
    </row>
    <row r="14" spans="1:29" ht="15.75" hidden="1"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1"/>
      <c r="Q14" s="1793">
        <f t="shared" si="6"/>
        <v>111</v>
      </c>
      <c r="R14" s="769" t="s">
        <v>17</v>
      </c>
      <c r="S14" s="770">
        <f t="shared" si="0"/>
        <v>100</v>
      </c>
      <c r="T14" s="769" t="s">
        <v>17</v>
      </c>
      <c r="U14" s="770">
        <f t="shared" si="1"/>
        <v>100</v>
      </c>
      <c r="V14" s="769" t="s">
        <v>17</v>
      </c>
      <c r="W14" s="770">
        <f t="shared" si="2"/>
        <v>100</v>
      </c>
      <c r="X14" s="771"/>
      <c r="Y14" s="3090"/>
      <c r="Z14" s="55">
        <f t="shared" si="7"/>
        <v>111</v>
      </c>
      <c r="AA14" s="772">
        <f t="shared" si="3"/>
        <v>1</v>
      </c>
      <c r="AB14" s="772">
        <f t="shared" si="4"/>
        <v>1</v>
      </c>
      <c r="AC14" s="772">
        <f t="shared" si="5"/>
        <v>1</v>
      </c>
    </row>
    <row r="15" spans="1:29" ht="71.25">
      <c r="A15" s="440" t="s">
        <v>2554</v>
      </c>
      <c r="B15" s="69" t="s">
        <v>2648</v>
      </c>
      <c r="C15" s="2599" t="str">
        <f>估价对象房地状况!C4</f>
        <v>估价对象位于江东新城，周边商业氛围一般，人流量一般，商业繁华度一般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245" t="s">
        <v>2555</v>
      </c>
      <c r="Q15" s="1808" t="str">
        <f t="shared" si="6"/>
        <v>商业繁华度</v>
      </c>
      <c r="R15" s="773" t="s">
        <v>17</v>
      </c>
      <c r="S15" s="774">
        <f t="shared" si="0"/>
        <v>100</v>
      </c>
      <c r="T15" s="773" t="s">
        <v>17</v>
      </c>
      <c r="U15" s="774">
        <f t="shared" si="1"/>
        <v>100</v>
      </c>
      <c r="V15" s="773" t="s">
        <v>17</v>
      </c>
      <c r="W15" s="774">
        <f t="shared" si="2"/>
        <v>100</v>
      </c>
      <c r="X15" s="1811"/>
      <c r="Y15" s="3247" t="s">
        <v>2555</v>
      </c>
      <c r="Z15" s="1812" t="str">
        <f t="shared" si="7"/>
        <v>商业繁华度</v>
      </c>
      <c r="AA15" s="1809">
        <f t="shared" si="3"/>
        <v>1</v>
      </c>
      <c r="AB15" s="1809">
        <f t="shared" si="4"/>
        <v>1</v>
      </c>
      <c r="AC15" s="1809">
        <f t="shared" si="5"/>
        <v>1</v>
      </c>
    </row>
    <row r="16" spans="1:29" ht="15">
      <c r="A16" s="428"/>
      <c r="B16" s="446"/>
      <c r="C16" s="447" t="s">
        <v>3843</v>
      </c>
      <c r="D16" s="448"/>
      <c r="E16" s="447" t="s">
        <v>3843</v>
      </c>
      <c r="F16" s="449"/>
      <c r="G16" s="447" t="s">
        <v>3843</v>
      </c>
      <c r="H16" s="450"/>
      <c r="I16" s="447" t="s">
        <v>3843</v>
      </c>
      <c r="J16" s="448"/>
      <c r="K16" s="615"/>
      <c r="L16" s="1140"/>
      <c r="M16" s="1131"/>
      <c r="N16" s="1131"/>
      <c r="O16" s="1131"/>
      <c r="P16" s="3246"/>
      <c r="Q16" s="1808"/>
      <c r="R16" s="773"/>
      <c r="S16" s="774"/>
      <c r="T16" s="773"/>
      <c r="U16" s="774"/>
      <c r="V16" s="773"/>
      <c r="W16" s="774"/>
      <c r="X16" s="1811"/>
      <c r="Y16" s="3248"/>
      <c r="Z16" s="1812"/>
      <c r="AA16" s="1809">
        <v>1</v>
      </c>
      <c r="AB16" s="1809">
        <v>1</v>
      </c>
      <c r="AC16" s="1809">
        <v>1</v>
      </c>
    </row>
    <row r="17" spans="1:29" ht="99.75">
      <c r="A17" s="428"/>
      <c r="B17" s="451" t="s">
        <v>2095</v>
      </c>
      <c r="C17" s="2603"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46"/>
      <c r="Q17" s="1808" t="str">
        <f>B17</f>
        <v>交通便捷度</v>
      </c>
      <c r="R17" s="773" t="s">
        <v>17</v>
      </c>
      <c r="S17" s="774">
        <f>F17</f>
        <v>100</v>
      </c>
      <c r="T17" s="773" t="s">
        <v>17</v>
      </c>
      <c r="U17" s="774">
        <f>H17</f>
        <v>100</v>
      </c>
      <c r="V17" s="773" t="s">
        <v>17</v>
      </c>
      <c r="W17" s="774">
        <f>J17</f>
        <v>100</v>
      </c>
      <c r="X17" s="1811"/>
      <c r="Y17" s="3248"/>
      <c r="Z17" s="1812" t="str">
        <f>Q17</f>
        <v>交通便捷度</v>
      </c>
      <c r="AA17" s="1809">
        <f t="shared" si="3"/>
        <v>1</v>
      </c>
      <c r="AB17" s="1809">
        <f t="shared" si="4"/>
        <v>1</v>
      </c>
      <c r="AC17" s="1809">
        <f t="shared" si="5"/>
        <v>1</v>
      </c>
    </row>
    <row r="18" spans="1:29" ht="15">
      <c r="A18" s="428"/>
      <c r="B18" s="456"/>
      <c r="C18" s="2604" t="s">
        <v>3844</v>
      </c>
      <c r="D18" s="450"/>
      <c r="E18" s="2606" t="s">
        <v>3844</v>
      </c>
      <c r="F18" s="453"/>
      <c r="G18" s="2605" t="s">
        <v>3844</v>
      </c>
      <c r="H18" s="448"/>
      <c r="I18" s="2606" t="s">
        <v>3844</v>
      </c>
      <c r="J18" s="448"/>
      <c r="K18" s="615"/>
      <c r="L18" s="1140"/>
      <c r="M18" s="1131"/>
      <c r="N18" s="1131"/>
      <c r="O18" s="1131"/>
      <c r="P18" s="3246"/>
      <c r="Q18" s="1808"/>
      <c r="R18" s="773"/>
      <c r="S18" s="774"/>
      <c r="T18" s="773"/>
      <c r="U18" s="774"/>
      <c r="V18" s="773"/>
      <c r="W18" s="774"/>
      <c r="X18" s="1811"/>
      <c r="Y18" s="3248"/>
      <c r="Z18" s="1812"/>
      <c r="AA18" s="1809">
        <v>1</v>
      </c>
      <c r="AB18" s="1809">
        <v>1</v>
      </c>
      <c r="AC18" s="1809">
        <v>1</v>
      </c>
    </row>
    <row r="19" spans="1:29" ht="42.75">
      <c r="A19" s="428"/>
      <c r="B19" s="451" t="s">
        <v>2649</v>
      </c>
      <c r="C19" s="2603"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46"/>
      <c r="Q19" s="1808" t="str">
        <f>B19</f>
        <v>公共配套设施</v>
      </c>
      <c r="R19" s="773" t="s">
        <v>17</v>
      </c>
      <c r="S19" s="774">
        <f>F19</f>
        <v>100</v>
      </c>
      <c r="T19" s="773" t="s">
        <v>17</v>
      </c>
      <c r="U19" s="774">
        <f>H19</f>
        <v>100</v>
      </c>
      <c r="V19" s="773" t="s">
        <v>17</v>
      </c>
      <c r="W19" s="774">
        <f>J19</f>
        <v>100</v>
      </c>
      <c r="X19" s="1811"/>
      <c r="Y19" s="3248"/>
      <c r="Z19" s="1812" t="str">
        <f>Q19</f>
        <v>公共配套设施</v>
      </c>
      <c r="AA19" s="1809">
        <f t="shared" si="3"/>
        <v>1</v>
      </c>
      <c r="AB19" s="1809">
        <f t="shared" si="4"/>
        <v>1</v>
      </c>
      <c r="AC19" s="1809">
        <f t="shared" si="5"/>
        <v>1</v>
      </c>
    </row>
    <row r="20" spans="1:29" ht="15">
      <c r="A20" s="428"/>
      <c r="B20" s="456"/>
      <c r="C20" s="447" t="s">
        <v>3844</v>
      </c>
      <c r="D20" s="448"/>
      <c r="E20" s="2601" t="s">
        <v>3844</v>
      </c>
      <c r="F20" s="449"/>
      <c r="G20" s="2600" t="s">
        <v>3844</v>
      </c>
      <c r="H20" s="448"/>
      <c r="I20" s="2601" t="s">
        <v>3844</v>
      </c>
      <c r="J20" s="448"/>
      <c r="K20" s="615"/>
      <c r="L20" s="1140"/>
      <c r="M20" s="1131"/>
      <c r="N20" s="1131"/>
      <c r="O20" s="1131"/>
      <c r="P20" s="3246"/>
      <c r="Q20" s="1808"/>
      <c r="R20" s="773"/>
      <c r="S20" s="774"/>
      <c r="T20" s="773"/>
      <c r="U20" s="774"/>
      <c r="V20" s="773"/>
      <c r="W20" s="774"/>
      <c r="X20" s="1811"/>
      <c r="Y20" s="3248"/>
      <c r="Z20" s="1812"/>
      <c r="AA20" s="1809">
        <v>1</v>
      </c>
      <c r="AB20" s="1809">
        <v>1</v>
      </c>
      <c r="AC20" s="1809">
        <v>1</v>
      </c>
    </row>
    <row r="21" spans="1:29" ht="42.75">
      <c r="A21" s="428"/>
      <c r="B21" s="1384" t="s">
        <v>2650</v>
      </c>
      <c r="C21" s="2603" t="str">
        <f>估价对象房地状况!C8</f>
        <v>估价对象所在区域基础设施水平为六通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46"/>
      <c r="Q21" s="1808" t="str">
        <f>B21</f>
        <v>基础设施水平</v>
      </c>
      <c r="R21" s="773" t="s">
        <v>17</v>
      </c>
      <c r="S21" s="774">
        <f>F21</f>
        <v>100</v>
      </c>
      <c r="T21" s="773" t="s">
        <v>17</v>
      </c>
      <c r="U21" s="774">
        <f>H21</f>
        <v>100</v>
      </c>
      <c r="V21" s="773" t="s">
        <v>17</v>
      </c>
      <c r="W21" s="774">
        <f>J21</f>
        <v>100</v>
      </c>
      <c r="X21" s="1811"/>
      <c r="Y21" s="3248"/>
      <c r="Z21" s="1812" t="str">
        <f>Q21</f>
        <v>基础设施水平</v>
      </c>
      <c r="AA21" s="1809">
        <f t="shared" ref="AA21" si="8">D21/F21</f>
        <v>1</v>
      </c>
      <c r="AB21" s="1809">
        <f t="shared" ref="AB21" si="9">D21/H21</f>
        <v>1</v>
      </c>
      <c r="AC21" s="1809">
        <f t="shared" ref="AC21" si="10">D21/J21</f>
        <v>1</v>
      </c>
    </row>
    <row r="22" spans="1:29" ht="15">
      <c r="A22" s="428"/>
      <c r="B22" s="1384"/>
      <c r="C22" s="2604" t="s">
        <v>3845</v>
      </c>
      <c r="D22" s="448"/>
      <c r="E22" s="447" t="s">
        <v>3845</v>
      </c>
      <c r="F22" s="449"/>
      <c r="G22" s="447" t="s">
        <v>3845</v>
      </c>
      <c r="H22" s="448"/>
      <c r="I22" s="447" t="s">
        <v>3845</v>
      </c>
      <c r="J22" s="448"/>
      <c r="K22" s="1383"/>
      <c r="L22" s="1140"/>
      <c r="M22" s="1131"/>
      <c r="N22" s="1131"/>
      <c r="O22" s="1131"/>
      <c r="P22" s="3246"/>
      <c r="Q22" s="1808"/>
      <c r="R22" s="773"/>
      <c r="S22" s="774"/>
      <c r="T22" s="773"/>
      <c r="U22" s="774"/>
      <c r="V22" s="773"/>
      <c r="W22" s="774"/>
      <c r="X22" s="1811"/>
      <c r="Y22" s="3248"/>
      <c r="Z22" s="1812"/>
      <c r="AA22" s="1809">
        <v>1</v>
      </c>
      <c r="AB22" s="1809">
        <v>1</v>
      </c>
      <c r="AC22" s="1809">
        <v>1</v>
      </c>
    </row>
    <row r="23" spans="1:29" ht="71.25">
      <c r="A23" s="428"/>
      <c r="B23" s="451" t="s">
        <v>2100</v>
      </c>
      <c r="C23" s="2660" t="str">
        <f>估价对象房地状况!C9</f>
        <v>区域：江东公园，自然环境一般：；人文环境一般；综合评价环境状况一般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46"/>
      <c r="Q23" s="1808" t="str">
        <f>B23</f>
        <v>自然及人文环境</v>
      </c>
      <c r="R23" s="773" t="s">
        <v>17</v>
      </c>
      <c r="S23" s="774">
        <f>F23</f>
        <v>100</v>
      </c>
      <c r="T23" s="773" t="s">
        <v>17</v>
      </c>
      <c r="U23" s="774">
        <f>H23</f>
        <v>100</v>
      </c>
      <c r="V23" s="773" t="s">
        <v>17</v>
      </c>
      <c r="W23" s="774">
        <f>J23</f>
        <v>100</v>
      </c>
      <c r="X23" s="1811"/>
      <c r="Y23" s="3248"/>
      <c r="Z23" s="1812" t="str">
        <f>Q23</f>
        <v>自然及人文环境</v>
      </c>
      <c r="AA23" s="1809">
        <f t="shared" si="3"/>
        <v>1</v>
      </c>
      <c r="AB23" s="1809">
        <f t="shared" si="4"/>
        <v>1</v>
      </c>
      <c r="AC23" s="1809">
        <f t="shared" si="5"/>
        <v>1</v>
      </c>
    </row>
    <row r="24" spans="1:29" ht="15">
      <c r="A24" s="428"/>
      <c r="B24" s="456"/>
      <c r="C24" s="447" t="s">
        <v>3843</v>
      </c>
      <c r="D24" s="448"/>
      <c r="E24" s="2601" t="s">
        <v>3843</v>
      </c>
      <c r="F24" s="449"/>
      <c r="G24" s="2600" t="s">
        <v>3843</v>
      </c>
      <c r="H24" s="448"/>
      <c r="I24" s="2601" t="s">
        <v>3843</v>
      </c>
      <c r="J24" s="448"/>
      <c r="K24" s="615"/>
      <c r="L24" s="1140"/>
      <c r="M24" s="1131"/>
      <c r="N24" s="1131"/>
      <c r="O24" s="1131"/>
      <c r="P24" s="3246"/>
      <c r="Q24" s="1808"/>
      <c r="R24" s="773"/>
      <c r="S24" s="774"/>
      <c r="T24" s="773"/>
      <c r="U24" s="774"/>
      <c r="V24" s="773"/>
      <c r="W24" s="774"/>
      <c r="X24" s="1811"/>
      <c r="Y24" s="3248"/>
      <c r="Z24" s="1812"/>
      <c r="AA24" s="1809">
        <v>1</v>
      </c>
      <c r="AB24" s="1809">
        <v>1</v>
      </c>
      <c r="AC24" s="1809">
        <v>1</v>
      </c>
    </row>
    <row r="25" spans="1:29" ht="15">
      <c r="A25" s="428"/>
      <c r="B25" s="422" t="s">
        <v>2651</v>
      </c>
      <c r="C25" s="616" t="s">
        <v>3847</v>
      </c>
      <c r="D25" s="435">
        <v>100</v>
      </c>
      <c r="E25" s="616" t="s">
        <v>3849</v>
      </c>
      <c r="F25" s="461">
        <f>SUMIF(86:86,E25,87:87)-SUMIF(86:86,C25,87:87)+100</f>
        <v>98</v>
      </c>
      <c r="G25" s="616" t="s">
        <v>3849</v>
      </c>
      <c r="H25" s="435">
        <f>SUMIF(86:86,G25,87:87)-SUMIF(86:86,C25,87:87)+100</f>
        <v>98</v>
      </c>
      <c r="I25" s="616" t="s">
        <v>3849</v>
      </c>
      <c r="J25" s="435">
        <f>SUMIF(86:86,I25,87:87)-SUMIF(86:86,C25,87:87)+100</f>
        <v>98</v>
      </c>
      <c r="K25" s="612">
        <v>2</v>
      </c>
      <c r="L25" s="1140"/>
      <c r="M25" s="1131"/>
      <c r="N25" s="1131"/>
      <c r="O25" s="1131"/>
      <c r="P25" s="3246"/>
      <c r="Q25" s="1808" t="str">
        <f t="shared" ref="Q25:Q46" si="11">B25</f>
        <v>临街状况</v>
      </c>
      <c r="R25" s="773" t="s">
        <v>17</v>
      </c>
      <c r="S25" s="774">
        <f>F25</f>
        <v>98</v>
      </c>
      <c r="T25" s="773" t="s">
        <v>17</v>
      </c>
      <c r="U25" s="774">
        <f>H25</f>
        <v>98</v>
      </c>
      <c r="V25" s="773" t="s">
        <v>17</v>
      </c>
      <c r="W25" s="774">
        <f>J25</f>
        <v>98</v>
      </c>
      <c r="X25" s="1811"/>
      <c r="Y25" s="3248"/>
      <c r="Z25" s="1812" t="str">
        <f>Q25</f>
        <v>临街状况</v>
      </c>
      <c r="AA25" s="1809">
        <f t="shared" si="3"/>
        <v>1.0204081632653061</v>
      </c>
      <c r="AB25" s="1809">
        <f t="shared" si="4"/>
        <v>1.0204081632653061</v>
      </c>
      <c r="AC25" s="1809">
        <f t="shared" si="5"/>
        <v>1.0204081632653061</v>
      </c>
    </row>
    <row r="26" spans="1:29" ht="15">
      <c r="A26" s="428"/>
      <c r="B26" s="1386" t="s">
        <v>2652</v>
      </c>
      <c r="C26" s="2980" t="s">
        <v>3853</v>
      </c>
      <c r="D26" s="435">
        <v>100</v>
      </c>
      <c r="E26" s="2980" t="s">
        <v>3853</v>
      </c>
      <c r="F26" s="461">
        <f>SUMIF(88:88,E26,89:89)-SUMIF(88:88,C26,89:89)+100</f>
        <v>100</v>
      </c>
      <c r="G26" s="2980" t="s">
        <v>3992</v>
      </c>
      <c r="H26" s="435">
        <f>SUMIF(88:88,G26,89:89)-SUMIF(88:88,C26,89:89)+100</f>
        <v>97</v>
      </c>
      <c r="I26" s="2980" t="s">
        <v>3853</v>
      </c>
      <c r="J26" s="435">
        <f>SUMIF(88:88,I26,89:89)-SUMIF(88:88,C26,89:89)+100</f>
        <v>100</v>
      </c>
      <c r="K26" s="613"/>
      <c r="L26" s="1140"/>
      <c r="M26" s="1131"/>
      <c r="N26" s="1131"/>
      <c r="O26" s="1131"/>
      <c r="P26" s="3246"/>
      <c r="Q26" s="1808" t="str">
        <f t="shared" si="11"/>
        <v>平面位置/可视性</v>
      </c>
      <c r="R26" s="773" t="s">
        <v>17</v>
      </c>
      <c r="S26" s="774">
        <f>F26</f>
        <v>100</v>
      </c>
      <c r="T26" s="773" t="s">
        <v>17</v>
      </c>
      <c r="U26" s="774">
        <f>H26</f>
        <v>97</v>
      </c>
      <c r="V26" s="773" t="s">
        <v>17</v>
      </c>
      <c r="W26" s="774">
        <f>J26</f>
        <v>100</v>
      </c>
      <c r="X26" s="1811"/>
      <c r="Y26" s="3248"/>
      <c r="Z26" s="1812" t="str">
        <f>Q26</f>
        <v>平面位置/可视性</v>
      </c>
      <c r="AA26" s="1809">
        <f t="shared" si="3"/>
        <v>1</v>
      </c>
      <c r="AB26" s="1809">
        <f t="shared" si="4"/>
        <v>1.0309278350515463</v>
      </c>
      <c r="AC26" s="1809">
        <f t="shared" si="5"/>
        <v>1</v>
      </c>
    </row>
    <row r="27" spans="1:29" s="117" customFormat="1" ht="15">
      <c r="A27" s="431"/>
      <c r="B27" s="451" t="s">
        <v>2653</v>
      </c>
      <c r="C27" s="2661" t="s">
        <v>3843</v>
      </c>
      <c r="D27" s="462">
        <v>100</v>
      </c>
      <c r="E27" s="2661" t="s">
        <v>3843</v>
      </c>
      <c r="F27" s="464">
        <f>SUMIF(90:90,E27,91:91)-SUMIF(90:90,C27,91:91)+100</f>
        <v>100</v>
      </c>
      <c r="G27" s="2661" t="s">
        <v>3843</v>
      </c>
      <c r="H27" s="462">
        <f>SUMIF(90:90,G27,91:91)-SUMIF(90:90,C27,91:91)+100</f>
        <v>100</v>
      </c>
      <c r="I27" s="2661" t="s">
        <v>3843</v>
      </c>
      <c r="J27" s="462">
        <f>SUMIF(90:90,I27,91:91)-SUMIF(90:90,C27,91:91)+100</f>
        <v>100</v>
      </c>
      <c r="K27" s="612">
        <v>2</v>
      </c>
      <c r="L27" s="1132"/>
      <c r="M27" s="1133"/>
      <c r="N27" s="1133"/>
      <c r="O27" s="1133"/>
      <c r="P27" s="3246"/>
      <c r="Q27" s="1793" t="str">
        <f t="shared" si="11"/>
        <v>人流量</v>
      </c>
      <c r="R27" s="769" t="s">
        <v>17</v>
      </c>
      <c r="S27" s="770">
        <f>F27</f>
        <v>100</v>
      </c>
      <c r="T27" s="769" t="s">
        <v>17</v>
      </c>
      <c r="U27" s="770">
        <f>H27</f>
        <v>100</v>
      </c>
      <c r="V27" s="769" t="s">
        <v>17</v>
      </c>
      <c r="W27" s="770">
        <f>J27</f>
        <v>100</v>
      </c>
      <c r="X27" s="771"/>
      <c r="Y27" s="3248"/>
      <c r="Z27" s="55" t="str">
        <f>Q27</f>
        <v>人流量</v>
      </c>
      <c r="AA27" s="1809">
        <f>D27/F27</f>
        <v>1</v>
      </c>
      <c r="AB27" s="1809">
        <f>D27/H27</f>
        <v>1</v>
      </c>
      <c r="AC27" s="1809">
        <f>D27/J27</f>
        <v>1</v>
      </c>
    </row>
    <row r="28" spans="1:29" ht="15.75" thickBot="1">
      <c r="A28" s="428"/>
      <c r="B28" s="422" t="s">
        <v>2654</v>
      </c>
      <c r="C28" s="616" t="s">
        <v>3862</v>
      </c>
      <c r="D28" s="435">
        <v>100</v>
      </c>
      <c r="E28" s="616" t="s">
        <v>3862</v>
      </c>
      <c r="F28" s="461">
        <f>SUMIF(92:92,E28,93:93)-SUMIF(92:92,C28,93:93)+100</f>
        <v>100</v>
      </c>
      <c r="G28" s="616" t="s">
        <v>3862</v>
      </c>
      <c r="H28" s="435">
        <f>SUMIF(92:92,G28,93:93)-SUMIF(92:92,C28,93:93)+100</f>
        <v>100</v>
      </c>
      <c r="I28" s="616" t="s">
        <v>3862</v>
      </c>
      <c r="J28" s="435">
        <f>SUMIF(92:92,I28,93:93)-SUMIF(92:92,C28,93:93)+100</f>
        <v>100</v>
      </c>
      <c r="K28" s="613"/>
      <c r="L28" s="1140"/>
      <c r="M28" s="1131"/>
      <c r="N28" s="1131"/>
      <c r="O28" s="1131"/>
      <c r="P28" s="3246"/>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48"/>
      <c r="Z28" s="1812" t="str">
        <f t="shared" ref="Z28:Z46" si="15">Q28</f>
        <v>楼层</v>
      </c>
      <c r="AA28" s="1809">
        <f t="shared" si="3"/>
        <v>1</v>
      </c>
      <c r="AB28" s="1809">
        <f t="shared" si="4"/>
        <v>1</v>
      </c>
      <c r="AC28" s="1809">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6"/>
      <c r="Q29" s="1808">
        <f t="shared" si="11"/>
        <v>111</v>
      </c>
      <c r="R29" s="773" t="s">
        <v>17</v>
      </c>
      <c r="S29" s="774">
        <f t="shared" si="12"/>
        <v>100</v>
      </c>
      <c r="T29" s="773" t="s">
        <v>17</v>
      </c>
      <c r="U29" s="774">
        <f t="shared" si="13"/>
        <v>100</v>
      </c>
      <c r="V29" s="773" t="s">
        <v>17</v>
      </c>
      <c r="W29" s="774">
        <f t="shared" si="14"/>
        <v>100</v>
      </c>
      <c r="X29" s="1811"/>
      <c r="Y29" s="3248"/>
      <c r="Z29" s="1812">
        <f t="shared" si="15"/>
        <v>111</v>
      </c>
      <c r="AA29" s="1809">
        <f t="shared" si="3"/>
        <v>1</v>
      </c>
      <c r="AB29" s="1809">
        <f t="shared" si="4"/>
        <v>1</v>
      </c>
      <c r="AC29" s="1809">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6"/>
      <c r="Q30" s="1808">
        <f t="shared" si="11"/>
        <v>111</v>
      </c>
      <c r="R30" s="773" t="s">
        <v>17</v>
      </c>
      <c r="S30" s="774">
        <f t="shared" si="12"/>
        <v>100</v>
      </c>
      <c r="T30" s="773" t="s">
        <v>17</v>
      </c>
      <c r="U30" s="774">
        <f t="shared" si="13"/>
        <v>100</v>
      </c>
      <c r="V30" s="773" t="s">
        <v>17</v>
      </c>
      <c r="W30" s="774">
        <f t="shared" si="14"/>
        <v>100</v>
      </c>
      <c r="X30" s="1811"/>
      <c r="Y30" s="3248"/>
      <c r="Z30" s="1812">
        <f t="shared" si="15"/>
        <v>111</v>
      </c>
      <c r="AA30" s="1809">
        <f t="shared" si="3"/>
        <v>1</v>
      </c>
      <c r="AB30" s="1809">
        <f t="shared" si="4"/>
        <v>1</v>
      </c>
      <c r="AC30" s="1809">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6"/>
      <c r="Q31" s="1808">
        <f t="shared" si="11"/>
        <v>111</v>
      </c>
      <c r="R31" s="773" t="s">
        <v>17</v>
      </c>
      <c r="S31" s="774">
        <f t="shared" si="12"/>
        <v>100</v>
      </c>
      <c r="T31" s="773" t="s">
        <v>17</v>
      </c>
      <c r="U31" s="774">
        <f t="shared" si="13"/>
        <v>100</v>
      </c>
      <c r="V31" s="773" t="s">
        <v>17</v>
      </c>
      <c r="W31" s="774">
        <f t="shared" si="14"/>
        <v>100</v>
      </c>
      <c r="X31" s="1811"/>
      <c r="Y31" s="3248"/>
      <c r="Z31" s="1812">
        <f t="shared" si="15"/>
        <v>111</v>
      </c>
      <c r="AA31" s="1809">
        <f t="shared" si="3"/>
        <v>1</v>
      </c>
      <c r="AB31" s="1809">
        <f t="shared" si="4"/>
        <v>1</v>
      </c>
      <c r="AC31" s="1809">
        <f t="shared" si="5"/>
        <v>1</v>
      </c>
    </row>
    <row r="32" spans="1:29" ht="15">
      <c r="A32" s="440" t="s">
        <v>2558</v>
      </c>
      <c r="B32" s="71" t="s">
        <v>2655</v>
      </c>
      <c r="C32" s="2613" t="s">
        <v>3316</v>
      </c>
      <c r="D32" s="467">
        <v>100</v>
      </c>
      <c r="E32" s="2613" t="s">
        <v>3891</v>
      </c>
      <c r="F32" s="461">
        <f>SUMIF(100:100,E32,101:101)-SUMIF(100:100,C32,101:101)+100</f>
        <v>102</v>
      </c>
      <c r="G32" s="2613" t="s">
        <v>3316</v>
      </c>
      <c r="H32" s="435">
        <f>SUMIF(100:100,G32,101:101)-SUMIF(100:100,C32,101:101)+100</f>
        <v>100</v>
      </c>
      <c r="I32" s="2613" t="s">
        <v>3891</v>
      </c>
      <c r="J32" s="467">
        <f>SUMIF(100:100,I32,101:101)-SUMIF(100:100,C32,101:101)+100</f>
        <v>102</v>
      </c>
      <c r="K32" s="612">
        <v>2</v>
      </c>
      <c r="L32" s="1140"/>
      <c r="M32" s="1131"/>
      <c r="N32" s="1131"/>
      <c r="O32" s="1131"/>
      <c r="P32" s="3249" t="s">
        <v>2560</v>
      </c>
      <c r="Q32" s="1808" t="str">
        <f t="shared" si="11"/>
        <v>商业类型</v>
      </c>
      <c r="R32" s="773" t="s">
        <v>17</v>
      </c>
      <c r="S32" s="774">
        <f t="shared" si="12"/>
        <v>102</v>
      </c>
      <c r="T32" s="773" t="s">
        <v>17</v>
      </c>
      <c r="U32" s="774">
        <f t="shared" si="13"/>
        <v>100</v>
      </c>
      <c r="V32" s="773" t="s">
        <v>17</v>
      </c>
      <c r="W32" s="774">
        <f t="shared" si="14"/>
        <v>102</v>
      </c>
      <c r="X32" s="1811"/>
      <c r="Y32" s="3252" t="s">
        <v>2560</v>
      </c>
      <c r="Z32" s="1812" t="str">
        <f t="shared" si="15"/>
        <v>商业类型</v>
      </c>
      <c r="AA32" s="1809">
        <f t="shared" si="3"/>
        <v>0.98039215686274506</v>
      </c>
      <c r="AB32" s="1809">
        <f t="shared" si="4"/>
        <v>1</v>
      </c>
      <c r="AC32" s="1809">
        <f t="shared" si="5"/>
        <v>0.98039215686274506</v>
      </c>
    </row>
    <row r="33" spans="1:29" s="471" customFormat="1" ht="15">
      <c r="A33" s="468"/>
      <c r="B33" s="422" t="s">
        <v>2561</v>
      </c>
      <c r="C33" s="469">
        <v>110000</v>
      </c>
      <c r="D33" s="136">
        <v>100</v>
      </c>
      <c r="E33" s="430">
        <v>65810</v>
      </c>
      <c r="F33" s="425">
        <f>LOOKUP(E33,103:103,104:104)-LOOKUP(C33,103:103,104:104)+100</f>
        <v>98</v>
      </c>
      <c r="G33" s="429">
        <v>132402</v>
      </c>
      <c r="H33" s="136">
        <f>LOOKUP(G33,103:103,104:104)-LOOKUP(C33,103:103,104:104)+100</f>
        <v>100</v>
      </c>
      <c r="I33" s="429">
        <v>89231.9</v>
      </c>
      <c r="J33" s="136">
        <f>LOOKUP(I33,103:103,104:104)-LOOKUP(C33,103:103,104:104)+100</f>
        <v>98</v>
      </c>
      <c r="K33" s="613"/>
      <c r="L33" s="1138"/>
      <c r="M33" s="1141"/>
      <c r="N33" s="1141"/>
      <c r="O33" s="1141"/>
      <c r="P33" s="3250"/>
      <c r="Q33" s="775" t="str">
        <f t="shared" si="11"/>
        <v>项目建筑规模</v>
      </c>
      <c r="R33" s="776" t="s">
        <v>17</v>
      </c>
      <c r="S33" s="777">
        <f t="shared" si="12"/>
        <v>98</v>
      </c>
      <c r="T33" s="776" t="s">
        <v>17</v>
      </c>
      <c r="U33" s="777">
        <f t="shared" si="13"/>
        <v>100</v>
      </c>
      <c r="V33" s="776" t="s">
        <v>17</v>
      </c>
      <c r="W33" s="777">
        <f t="shared" si="14"/>
        <v>98</v>
      </c>
      <c r="X33" s="778"/>
      <c r="Y33" s="3252"/>
      <c r="Z33" s="779" t="str">
        <f t="shared" si="15"/>
        <v>项目建筑规模</v>
      </c>
      <c r="AA33" s="1809">
        <f t="shared" si="3"/>
        <v>1.0204081632653061</v>
      </c>
      <c r="AB33" s="1809">
        <f t="shared" si="4"/>
        <v>1</v>
      </c>
      <c r="AC33" s="1809">
        <f t="shared" si="5"/>
        <v>1.0204081632653061</v>
      </c>
    </row>
    <row r="34" spans="1:29" ht="15">
      <c r="A34" s="472"/>
      <c r="B34" s="422" t="s">
        <v>2562</v>
      </c>
      <c r="C34" s="2615" t="s">
        <v>3885</v>
      </c>
      <c r="D34" s="435">
        <v>100</v>
      </c>
      <c r="E34" s="2615" t="s">
        <v>3885</v>
      </c>
      <c r="F34" s="461">
        <f>SUMIF(105:105,E34,106:106)-SUMIF(105:105,C34,106:106)+100</f>
        <v>100</v>
      </c>
      <c r="G34" s="2615" t="s">
        <v>3885</v>
      </c>
      <c r="H34" s="435">
        <f>SUMIF(105:105,G34,106:106)-SUMIF(105:105,C34,106:106)+100</f>
        <v>100</v>
      </c>
      <c r="I34" s="2615" t="s">
        <v>3885</v>
      </c>
      <c r="J34" s="435">
        <f>SUMIF(105:105,I34,106:106)-SUMIF(105:105,C34,106:106)+100</f>
        <v>100</v>
      </c>
      <c r="K34" s="612">
        <v>2</v>
      </c>
      <c r="L34" s="1140"/>
      <c r="M34" s="1131"/>
      <c r="N34" s="1131"/>
      <c r="O34" s="1131"/>
      <c r="P34" s="3250"/>
      <c r="Q34" s="1808" t="str">
        <f t="shared" si="11"/>
        <v>建筑结构</v>
      </c>
      <c r="R34" s="773" t="s">
        <v>17</v>
      </c>
      <c r="S34" s="774">
        <f t="shared" si="12"/>
        <v>100</v>
      </c>
      <c r="T34" s="773" t="s">
        <v>17</v>
      </c>
      <c r="U34" s="774">
        <f t="shared" si="13"/>
        <v>100</v>
      </c>
      <c r="V34" s="773" t="s">
        <v>17</v>
      </c>
      <c r="W34" s="774">
        <f t="shared" si="14"/>
        <v>100</v>
      </c>
      <c r="X34" s="1811"/>
      <c r="Y34" s="3252"/>
      <c r="Z34" s="1812" t="str">
        <f t="shared" si="15"/>
        <v>建筑结构</v>
      </c>
      <c r="AA34" s="1809">
        <f t="shared" si="3"/>
        <v>1</v>
      </c>
      <c r="AB34" s="1809">
        <f t="shared" si="4"/>
        <v>1</v>
      </c>
      <c r="AC34" s="1809">
        <f t="shared" si="5"/>
        <v>1</v>
      </c>
    </row>
    <row r="35" spans="1:29" ht="15">
      <c r="A35" s="472"/>
      <c r="B35" s="422" t="s">
        <v>2656</v>
      </c>
      <c r="C35" s="2609" t="s">
        <v>3870</v>
      </c>
      <c r="D35" s="435">
        <v>100</v>
      </c>
      <c r="E35" s="2609" t="s">
        <v>3870</v>
      </c>
      <c r="F35" s="461">
        <f>SUMIF(107:107,E35,108:108)-SUMIF(107:107,C35,108:108)+100</f>
        <v>100</v>
      </c>
      <c r="G35" s="2609" t="s">
        <v>3872</v>
      </c>
      <c r="H35" s="435">
        <f>SUMIF(107:107,G35,108:108)-SUMIF(107:107,C35,108:108)+100</f>
        <v>98</v>
      </c>
      <c r="I35" s="2609" t="s">
        <v>3870</v>
      </c>
      <c r="J35" s="435">
        <f>SUMIF(107:107,I35,108:108)-SUMIF(107:107,C35,108:108)+100</f>
        <v>100</v>
      </c>
      <c r="K35" s="612">
        <v>2</v>
      </c>
      <c r="L35" s="1140"/>
      <c r="M35" s="1131"/>
      <c r="N35" s="1131"/>
      <c r="O35" s="1131"/>
      <c r="P35" s="3250"/>
      <c r="Q35" s="1808" t="str">
        <f t="shared" si="11"/>
        <v>公共部分装修</v>
      </c>
      <c r="R35" s="773" t="s">
        <v>17</v>
      </c>
      <c r="S35" s="774">
        <f t="shared" si="12"/>
        <v>100</v>
      </c>
      <c r="T35" s="773" t="s">
        <v>17</v>
      </c>
      <c r="U35" s="774">
        <f t="shared" si="13"/>
        <v>98</v>
      </c>
      <c r="V35" s="773" t="s">
        <v>17</v>
      </c>
      <c r="W35" s="774">
        <f t="shared" si="14"/>
        <v>100</v>
      </c>
      <c r="X35" s="1811"/>
      <c r="Y35" s="3252"/>
      <c r="Z35" s="1812" t="str">
        <f t="shared" si="15"/>
        <v>公共部分装修</v>
      </c>
      <c r="AA35" s="1809">
        <f t="shared" si="3"/>
        <v>1</v>
      </c>
      <c r="AB35" s="1809">
        <f t="shared" si="4"/>
        <v>1.0204081632653061</v>
      </c>
      <c r="AC35" s="1809">
        <f t="shared" si="5"/>
        <v>1</v>
      </c>
    </row>
    <row r="36" spans="1:29" ht="15">
      <c r="A36" s="472"/>
      <c r="B36" s="422" t="s">
        <v>2657</v>
      </c>
      <c r="C36" s="474">
        <f>'数据-取费表'!N6</f>
        <v>0.98</v>
      </c>
      <c r="D36" s="435">
        <v>100</v>
      </c>
      <c r="E36" s="474">
        <v>1</v>
      </c>
      <c r="F36" s="461">
        <f>LOOKUP(E36,110:110,111:111)-LOOKUP(C36,110:110,111:111)+100</f>
        <v>100</v>
      </c>
      <c r="G36" s="474">
        <f>ROUND(1-(2018-2010)/60,2)</f>
        <v>0.87</v>
      </c>
      <c r="H36" s="461">
        <f>LOOKUP(G36,110:110,111:111)-LOOKUP(C36,110:110,111:111)+100</f>
        <v>98</v>
      </c>
      <c r="I36" s="474">
        <v>1</v>
      </c>
      <c r="J36" s="435">
        <f>LOOKUP(I36,110:110,111:111)-LOOKUP(C36,110:110,111:111)+100</f>
        <v>100</v>
      </c>
      <c r="K36" s="612">
        <v>2</v>
      </c>
      <c r="L36" s="1140"/>
      <c r="M36" s="1131"/>
      <c r="N36" s="1131"/>
      <c r="O36" s="1131"/>
      <c r="P36" s="3250"/>
      <c r="Q36" s="1808" t="str">
        <f t="shared" si="11"/>
        <v>成新度</v>
      </c>
      <c r="R36" s="773" t="s">
        <v>17</v>
      </c>
      <c r="S36" s="774">
        <f t="shared" si="12"/>
        <v>100</v>
      </c>
      <c r="T36" s="773" t="s">
        <v>17</v>
      </c>
      <c r="U36" s="774">
        <f t="shared" si="13"/>
        <v>98</v>
      </c>
      <c r="V36" s="773" t="s">
        <v>17</v>
      </c>
      <c r="W36" s="774">
        <f t="shared" si="14"/>
        <v>100</v>
      </c>
      <c r="X36" s="1811"/>
      <c r="Y36" s="3252"/>
      <c r="Z36" s="1812" t="str">
        <f t="shared" si="15"/>
        <v>成新度</v>
      </c>
      <c r="AA36" s="1809">
        <f t="shared" si="3"/>
        <v>1</v>
      </c>
      <c r="AB36" s="1809">
        <f t="shared" si="4"/>
        <v>1.0204081632653061</v>
      </c>
      <c r="AC36" s="1809">
        <f t="shared" si="5"/>
        <v>1</v>
      </c>
    </row>
    <row r="37" spans="1:29" s="117" customFormat="1" ht="15">
      <c r="A37" s="473"/>
      <c r="B37" s="422" t="s">
        <v>2658</v>
      </c>
      <c r="C37" s="2609" t="s">
        <v>3879</v>
      </c>
      <c r="D37" s="136">
        <v>100</v>
      </c>
      <c r="E37" s="2609" t="s">
        <v>3879</v>
      </c>
      <c r="F37" s="461">
        <f>SUMIF(112:112,E37,113:113)-SUMIF(112:112,C37,113:113)+100</f>
        <v>100</v>
      </c>
      <c r="G37" s="2609" t="s">
        <v>3845</v>
      </c>
      <c r="H37" s="435">
        <f>SUMIF(112:112,G37,113:113)-SUMIF(112:112,C37,113:113)+100</f>
        <v>101</v>
      </c>
      <c r="I37" s="2609" t="s">
        <v>3879</v>
      </c>
      <c r="J37" s="435">
        <f>SUMIF(112:112,I37,113:113)-SUMIF(112:112,C37,113:113)+100</f>
        <v>100</v>
      </c>
      <c r="K37" s="612">
        <v>1</v>
      </c>
      <c r="L37" s="1132"/>
      <c r="M37" s="1133"/>
      <c r="N37" s="1133"/>
      <c r="O37" s="1133"/>
      <c r="P37" s="3250"/>
      <c r="Q37" s="1793" t="str">
        <f t="shared" si="11"/>
        <v>市政基础设施</v>
      </c>
      <c r="R37" s="769" t="s">
        <v>17</v>
      </c>
      <c r="S37" s="770">
        <f t="shared" si="12"/>
        <v>100</v>
      </c>
      <c r="T37" s="769" t="s">
        <v>17</v>
      </c>
      <c r="U37" s="770">
        <f t="shared" si="13"/>
        <v>101</v>
      </c>
      <c r="V37" s="769" t="s">
        <v>17</v>
      </c>
      <c r="W37" s="770">
        <f t="shared" si="14"/>
        <v>100</v>
      </c>
      <c r="X37" s="771"/>
      <c r="Y37" s="3252"/>
      <c r="Z37" s="55" t="str">
        <f t="shared" si="15"/>
        <v>市政基础设施</v>
      </c>
      <c r="AA37" s="772">
        <f t="shared" si="3"/>
        <v>1</v>
      </c>
      <c r="AB37" s="772">
        <f t="shared" si="4"/>
        <v>0.99009900990099009</v>
      </c>
      <c r="AC37" s="772">
        <f t="shared" si="5"/>
        <v>1</v>
      </c>
    </row>
    <row r="38" spans="1:29" ht="15">
      <c r="A38" s="472"/>
      <c r="B38" s="422" t="s">
        <v>2659</v>
      </c>
      <c r="C38" s="2609" t="s">
        <v>3887</v>
      </c>
      <c r="D38" s="435">
        <v>100</v>
      </c>
      <c r="E38" s="2609" t="s">
        <v>3886</v>
      </c>
      <c r="F38" s="461">
        <f>SUMIF(114:114,E38,115:115)-SUMIF(114:114,C38,115:115)+100</f>
        <v>103</v>
      </c>
      <c r="G38" s="2609" t="s">
        <v>3886</v>
      </c>
      <c r="H38" s="435">
        <f>SUMIF(114:114,G38,115:115)-SUMIF(114:114,C38,115:115)+100</f>
        <v>103</v>
      </c>
      <c r="I38" s="2609" t="s">
        <v>3887</v>
      </c>
      <c r="J38" s="435">
        <f>SUMIF(114:114,I38,115:115)-SUMIF(114:114,C38,115:115)+100</f>
        <v>100</v>
      </c>
      <c r="K38" s="612">
        <v>3</v>
      </c>
      <c r="L38" s="1140"/>
      <c r="M38" s="1131"/>
      <c r="N38" s="1131"/>
      <c r="O38" s="1131"/>
      <c r="P38" s="3250" t="s">
        <v>2560</v>
      </c>
      <c r="Q38" s="1808" t="str">
        <f t="shared" si="11"/>
        <v>业态</v>
      </c>
      <c r="R38" s="773" t="s">
        <v>17</v>
      </c>
      <c r="S38" s="774">
        <f t="shared" si="12"/>
        <v>103</v>
      </c>
      <c r="T38" s="773" t="s">
        <v>17</v>
      </c>
      <c r="U38" s="774">
        <f t="shared" si="13"/>
        <v>103</v>
      </c>
      <c r="V38" s="773" t="s">
        <v>17</v>
      </c>
      <c r="W38" s="774">
        <f t="shared" si="14"/>
        <v>100</v>
      </c>
      <c r="X38" s="1811"/>
      <c r="Y38" s="3252" t="s">
        <v>2560</v>
      </c>
      <c r="Z38" s="1812" t="str">
        <f t="shared" si="15"/>
        <v>业态</v>
      </c>
      <c r="AA38" s="1809">
        <f t="shared" si="3"/>
        <v>0.970873786407767</v>
      </c>
      <c r="AB38" s="1809">
        <f t="shared" si="4"/>
        <v>0.970873786407767</v>
      </c>
      <c r="AC38" s="1809">
        <f t="shared" si="5"/>
        <v>1</v>
      </c>
    </row>
    <row r="39" spans="1:29" ht="15">
      <c r="A39" s="472"/>
      <c r="B39" s="422" t="s">
        <v>2660</v>
      </c>
      <c r="C39" s="2609" t="s">
        <v>3883</v>
      </c>
      <c r="D39" s="435">
        <v>100</v>
      </c>
      <c r="E39" s="2609" t="s">
        <v>3883</v>
      </c>
      <c r="F39" s="461">
        <f>SUMIF(116:116,E39,117:117)-SUMIF(116:116,C39,117:117)+100</f>
        <v>100</v>
      </c>
      <c r="G39" s="2609" t="s">
        <v>3883</v>
      </c>
      <c r="H39" s="435">
        <f>SUMIF(116:116,G39,117:117)-SUMIF(116:116,C39,117:117)+100</f>
        <v>100</v>
      </c>
      <c r="I39" s="2609" t="s">
        <v>3883</v>
      </c>
      <c r="J39" s="435">
        <f>SUMIF(116:116,I39,117:117)-SUMIF(116:116,C39,117:117)+100</f>
        <v>100</v>
      </c>
      <c r="K39" s="612">
        <v>2</v>
      </c>
      <c r="L39" s="1140"/>
      <c r="M39" s="1131">
        <v>30</v>
      </c>
      <c r="N39" s="1131">
        <v>100</v>
      </c>
      <c r="O39" s="1131"/>
      <c r="P39" s="3250"/>
      <c r="Q39" s="1808" t="str">
        <f t="shared" si="11"/>
        <v>层高</v>
      </c>
      <c r="R39" s="773" t="s">
        <v>17</v>
      </c>
      <c r="S39" s="774">
        <f t="shared" si="12"/>
        <v>100</v>
      </c>
      <c r="T39" s="773" t="s">
        <v>17</v>
      </c>
      <c r="U39" s="774">
        <f t="shared" si="13"/>
        <v>100</v>
      </c>
      <c r="V39" s="773" t="s">
        <v>17</v>
      </c>
      <c r="W39" s="774">
        <f t="shared" si="14"/>
        <v>100</v>
      </c>
      <c r="X39" s="1811"/>
      <c r="Y39" s="3252"/>
      <c r="Z39" s="1812" t="str">
        <f t="shared" si="15"/>
        <v>层高</v>
      </c>
      <c r="AA39" s="1809">
        <f t="shared" si="3"/>
        <v>1</v>
      </c>
      <c r="AB39" s="1809">
        <f t="shared" si="4"/>
        <v>1</v>
      </c>
      <c r="AC39" s="1809">
        <f t="shared" si="5"/>
        <v>1</v>
      </c>
    </row>
    <row r="40" spans="1:29" ht="15">
      <c r="A40" s="472"/>
      <c r="B40" s="422" t="s">
        <v>2661</v>
      </c>
      <c r="C40" s="2983">
        <f>'数据-基础表'!I13</f>
        <v>140.88999999999999</v>
      </c>
      <c r="D40" s="435">
        <v>100</v>
      </c>
      <c r="E40" s="617">
        <v>150</v>
      </c>
      <c r="F40" s="461">
        <f>SUMIF(118:118,E40,119:119)-SUMIF(118:118,C40,119:119)+100</f>
        <v>100</v>
      </c>
      <c r="G40" s="617">
        <v>133</v>
      </c>
      <c r="H40" s="435">
        <f>SUMIF(118:118,G40,119:119)-SUMIF(118:118,C40,119:119)+100</f>
        <v>100</v>
      </c>
      <c r="I40" s="617">
        <v>70</v>
      </c>
      <c r="J40" s="435">
        <f>SUMIF(118:118,I40,119:119)-SUMIF(118:118,C40,119:119)+100</f>
        <v>104</v>
      </c>
      <c r="K40" s="613"/>
      <c r="L40" s="1140"/>
      <c r="M40" s="1131" t="s">
        <v>3894</v>
      </c>
      <c r="N40" s="1131">
        <v>98</v>
      </c>
      <c r="O40" s="1131"/>
      <c r="P40" s="3250"/>
      <c r="Q40" s="1808" t="str">
        <f t="shared" si="11"/>
        <v>单套建筑面积</v>
      </c>
      <c r="R40" s="773" t="s">
        <v>17</v>
      </c>
      <c r="S40" s="774">
        <f t="shared" si="12"/>
        <v>100</v>
      </c>
      <c r="T40" s="773" t="s">
        <v>17</v>
      </c>
      <c r="U40" s="774">
        <f t="shared" si="13"/>
        <v>100</v>
      </c>
      <c r="V40" s="773" t="s">
        <v>17</v>
      </c>
      <c r="W40" s="774">
        <f t="shared" si="14"/>
        <v>104</v>
      </c>
      <c r="X40" s="1811"/>
      <c r="Y40" s="3252"/>
      <c r="Z40" s="1812" t="str">
        <f t="shared" si="15"/>
        <v>单套建筑面积</v>
      </c>
      <c r="AA40" s="1809">
        <f t="shared" si="3"/>
        <v>1</v>
      </c>
      <c r="AB40" s="1809">
        <f t="shared" si="4"/>
        <v>1</v>
      </c>
      <c r="AC40" s="1809">
        <f t="shared" si="5"/>
        <v>0.96153846153846156</v>
      </c>
    </row>
    <row r="41" spans="1:29" s="471" customFormat="1" ht="15" hidden="1">
      <c r="A41" s="468"/>
      <c r="B41" s="1810"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0"/>
      <c r="Q41" s="775" t="str">
        <f t="shared" si="11"/>
        <v>进深比</v>
      </c>
      <c r="R41" s="776" t="s">
        <v>17</v>
      </c>
      <c r="S41" s="777">
        <f t="shared" si="12"/>
        <v>100</v>
      </c>
      <c r="T41" s="776" t="s">
        <v>17</v>
      </c>
      <c r="U41" s="777">
        <f t="shared" si="13"/>
        <v>100</v>
      </c>
      <c r="V41" s="776" t="s">
        <v>17</v>
      </c>
      <c r="W41" s="777">
        <f t="shared" si="14"/>
        <v>100</v>
      </c>
      <c r="X41" s="778"/>
      <c r="Y41" s="3252"/>
      <c r="Z41" s="779" t="str">
        <f t="shared" si="15"/>
        <v>进深比</v>
      </c>
      <c r="AA41" s="1809">
        <f t="shared" si="3"/>
        <v>1</v>
      </c>
      <c r="AB41" s="1809">
        <f t="shared" si="4"/>
        <v>1</v>
      </c>
      <c r="AC41" s="1809">
        <f t="shared" si="5"/>
        <v>1</v>
      </c>
    </row>
    <row r="42" spans="1:29" ht="15">
      <c r="A42" s="472"/>
      <c r="B42" s="422" t="s">
        <v>2663</v>
      </c>
      <c r="C42" s="2609" t="s">
        <v>3870</v>
      </c>
      <c r="D42" s="435">
        <v>100</v>
      </c>
      <c r="E42" s="2609" t="s">
        <v>3875</v>
      </c>
      <c r="F42" s="461">
        <f>SUMIF(122:122,E42,123:123)-SUMIF(122:122,C42,123:123)+100</f>
        <v>94</v>
      </c>
      <c r="G42" s="2609" t="s">
        <v>3872</v>
      </c>
      <c r="H42" s="435">
        <f>SUMIF(122:122,G42,123:123)-SUMIF(122:122,C42,123:123)+100</f>
        <v>98</v>
      </c>
      <c r="I42" s="2609" t="s">
        <v>3875</v>
      </c>
      <c r="J42" s="435">
        <f>SUMIF(122:122,I42,123:123)-SUMIF(122:122,C42,123:123)+100</f>
        <v>94</v>
      </c>
      <c r="K42" s="612">
        <v>2</v>
      </c>
      <c r="L42" s="1140"/>
      <c r="M42" s="1131" t="s">
        <v>3895</v>
      </c>
      <c r="N42" s="1131">
        <v>96</v>
      </c>
      <c r="O42" s="1131"/>
      <c r="P42" s="3250"/>
      <c r="Q42" s="1808" t="str">
        <f t="shared" si="11"/>
        <v>内部装修</v>
      </c>
      <c r="R42" s="773" t="s">
        <v>17</v>
      </c>
      <c r="S42" s="774">
        <f t="shared" si="12"/>
        <v>94</v>
      </c>
      <c r="T42" s="773" t="s">
        <v>17</v>
      </c>
      <c r="U42" s="774">
        <f t="shared" si="13"/>
        <v>98</v>
      </c>
      <c r="V42" s="773" t="s">
        <v>17</v>
      </c>
      <c r="W42" s="774">
        <f t="shared" si="14"/>
        <v>94</v>
      </c>
      <c r="X42" s="1811"/>
      <c r="Y42" s="3252"/>
      <c r="Z42" s="1812" t="str">
        <f t="shared" si="15"/>
        <v>内部装修</v>
      </c>
      <c r="AA42" s="1809">
        <f t="shared" si="3"/>
        <v>1.0638297872340425</v>
      </c>
      <c r="AB42" s="1809">
        <f t="shared" si="4"/>
        <v>1.0204081632653061</v>
      </c>
      <c r="AC42" s="1809">
        <f t="shared" si="5"/>
        <v>1.0638297872340425</v>
      </c>
    </row>
    <row r="43" spans="1:29" ht="15.75" thickBot="1">
      <c r="A43" s="472"/>
      <c r="B43" s="422" t="s">
        <v>2571</v>
      </c>
      <c r="C43" s="2609" t="s">
        <v>3844</v>
      </c>
      <c r="D43" s="435">
        <v>100</v>
      </c>
      <c r="E43" s="2609" t="s">
        <v>3844</v>
      </c>
      <c r="F43" s="461">
        <f>SUMIF(124:124,E43,125:125)-SUMIF(124:124,C43,125:125)+100</f>
        <v>100</v>
      </c>
      <c r="G43" s="2609" t="s">
        <v>3844</v>
      </c>
      <c r="H43" s="435">
        <f>SUMIF(124:124,G43,125:125)-SUMIF(124:124,C43,125:125)+100</f>
        <v>100</v>
      </c>
      <c r="I43" s="2609" t="s">
        <v>3844</v>
      </c>
      <c r="J43" s="435">
        <f>SUMIF(124:124,I43,125:125)-SUMIF(124:124,C43,125:125)+100</f>
        <v>100</v>
      </c>
      <c r="K43" s="612">
        <v>2</v>
      </c>
      <c r="L43" s="1140"/>
      <c r="M43" s="1131" t="s">
        <v>3896</v>
      </c>
      <c r="N43" s="1131">
        <v>94</v>
      </c>
      <c r="O43" s="1131"/>
      <c r="P43" s="3250"/>
      <c r="Q43" s="1808" t="str">
        <f t="shared" si="11"/>
        <v>内部装修维护情况</v>
      </c>
      <c r="R43" s="773" t="s">
        <v>17</v>
      </c>
      <c r="S43" s="774">
        <f t="shared" si="12"/>
        <v>100</v>
      </c>
      <c r="T43" s="773" t="s">
        <v>17</v>
      </c>
      <c r="U43" s="774">
        <f t="shared" si="13"/>
        <v>100</v>
      </c>
      <c r="V43" s="773" t="s">
        <v>17</v>
      </c>
      <c r="W43" s="774">
        <f t="shared" si="14"/>
        <v>100</v>
      </c>
      <c r="X43" s="1811"/>
      <c r="Y43" s="3252"/>
      <c r="Z43" s="1812" t="str">
        <f t="shared" si="15"/>
        <v>内部装修维护情况</v>
      </c>
      <c r="AA43" s="1809">
        <f t="shared" si="3"/>
        <v>1</v>
      </c>
      <c r="AB43" s="1809">
        <f t="shared" si="4"/>
        <v>1</v>
      </c>
      <c r="AC43" s="1809">
        <f t="shared" si="5"/>
        <v>1</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0"/>
      <c r="Q44" s="1793">
        <f t="shared" si="11"/>
        <v>111</v>
      </c>
      <c r="R44" s="769" t="s">
        <v>17</v>
      </c>
      <c r="S44" s="770">
        <f t="shared" si="12"/>
        <v>100</v>
      </c>
      <c r="T44" s="769" t="s">
        <v>17</v>
      </c>
      <c r="U44" s="770">
        <f t="shared" si="13"/>
        <v>100</v>
      </c>
      <c r="V44" s="769" t="s">
        <v>17</v>
      </c>
      <c r="W44" s="770">
        <f t="shared" si="14"/>
        <v>100</v>
      </c>
      <c r="X44" s="771"/>
      <c r="Y44" s="3252"/>
      <c r="Z44" s="55">
        <f t="shared" si="15"/>
        <v>111</v>
      </c>
      <c r="AA44" s="772">
        <f t="shared" si="3"/>
        <v>1</v>
      </c>
      <c r="AB44" s="772">
        <f t="shared" si="4"/>
        <v>1</v>
      </c>
      <c r="AC44" s="772">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0"/>
      <c r="Q45" s="1808">
        <f t="shared" si="11"/>
        <v>111</v>
      </c>
      <c r="R45" s="773" t="s">
        <v>17</v>
      </c>
      <c r="S45" s="774">
        <f t="shared" si="12"/>
        <v>100</v>
      </c>
      <c r="T45" s="773" t="s">
        <v>17</v>
      </c>
      <c r="U45" s="774">
        <f t="shared" si="13"/>
        <v>100</v>
      </c>
      <c r="V45" s="773" t="s">
        <v>17</v>
      </c>
      <c r="W45" s="774">
        <f t="shared" si="14"/>
        <v>100</v>
      </c>
      <c r="X45" s="1811"/>
      <c r="Y45" s="3252"/>
      <c r="Z45" s="1812">
        <f t="shared" si="15"/>
        <v>111</v>
      </c>
      <c r="AA45" s="1809">
        <f t="shared" si="3"/>
        <v>1</v>
      </c>
      <c r="AB45" s="1809">
        <f t="shared" si="4"/>
        <v>1</v>
      </c>
      <c r="AC45" s="1809">
        <f t="shared" si="5"/>
        <v>1</v>
      </c>
    </row>
    <row r="46" spans="1:29" ht="15.75" hidden="1"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1"/>
      <c r="Q46" s="1808">
        <f t="shared" si="11"/>
        <v>111</v>
      </c>
      <c r="R46" s="773" t="s">
        <v>17</v>
      </c>
      <c r="S46" s="774">
        <f t="shared" si="12"/>
        <v>100</v>
      </c>
      <c r="T46" s="773" t="s">
        <v>17</v>
      </c>
      <c r="U46" s="774">
        <f t="shared" si="13"/>
        <v>100</v>
      </c>
      <c r="V46" s="773" t="s">
        <v>17</v>
      </c>
      <c r="W46" s="774">
        <f t="shared" si="14"/>
        <v>100</v>
      </c>
      <c r="X46" s="1811"/>
      <c r="Y46" s="3253"/>
      <c r="Z46" s="1812">
        <f t="shared" si="15"/>
        <v>111</v>
      </c>
      <c r="AA46" s="1809">
        <f t="shared" si="3"/>
        <v>1</v>
      </c>
      <c r="AB46" s="1809">
        <f t="shared" si="4"/>
        <v>1</v>
      </c>
      <c r="AC46" s="1809">
        <f t="shared" si="5"/>
        <v>1</v>
      </c>
    </row>
    <row r="47" spans="1:29" ht="15">
      <c r="A47" s="479" t="s">
        <v>2572</v>
      </c>
      <c r="B47" s="480"/>
      <c r="C47" s="1407" t="s">
        <v>1</v>
      </c>
      <c r="D47" s="1408"/>
      <c r="E47" s="1409">
        <f>ROUND(6800000/E40,0)</f>
        <v>45333</v>
      </c>
      <c r="F47" s="1410"/>
      <c r="G47" s="1411">
        <f>ROUND(6100000/G40,0)</f>
        <v>45865</v>
      </c>
      <c r="H47" s="1412"/>
      <c r="I47" s="1409">
        <v>45000</v>
      </c>
      <c r="J47" s="1412"/>
      <c r="K47" s="782"/>
      <c r="L47" s="1143"/>
      <c r="M47" s="1144" t="s">
        <v>3897</v>
      </c>
      <c r="N47" s="1131">
        <v>92</v>
      </c>
      <c r="O47" s="1144"/>
      <c r="P47" s="3254" t="str">
        <f>A47</f>
        <v>成交单价（元/平方米）</v>
      </c>
      <c r="Q47" s="3254"/>
      <c r="R47" s="3216">
        <f>E47</f>
        <v>45333</v>
      </c>
      <c r="S47" s="3216"/>
      <c r="T47" s="3216">
        <f>G47</f>
        <v>45865</v>
      </c>
      <c r="U47" s="3216"/>
      <c r="V47" s="3216">
        <f>I47</f>
        <v>45000</v>
      </c>
      <c r="W47" s="3216"/>
      <c r="X47" s="758"/>
      <c r="Y47" s="780"/>
      <c r="Z47" s="758"/>
      <c r="AA47" s="758"/>
      <c r="AB47" s="758"/>
      <c r="AC47" s="758"/>
    </row>
    <row r="48" spans="1:29" ht="15.75" thickBot="1">
      <c r="A48" s="486" t="s">
        <v>2664</v>
      </c>
      <c r="B48" s="487"/>
      <c r="C48" s="1413">
        <f>R49</f>
        <v>46180</v>
      </c>
      <c r="D48" s="1414"/>
      <c r="E48" s="1415">
        <f>R48</f>
        <v>45091</v>
      </c>
      <c r="F48" s="1415"/>
      <c r="G48" s="1413">
        <f>T48</f>
        <v>47382</v>
      </c>
      <c r="H48" s="1414"/>
      <c r="I48" s="1415">
        <f>V48</f>
        <v>46068</v>
      </c>
      <c r="J48" s="1414"/>
      <c r="K48" s="783"/>
      <c r="L48" s="1143"/>
      <c r="M48" s="1144" t="s">
        <v>3898</v>
      </c>
      <c r="N48" s="1131">
        <v>90</v>
      </c>
      <c r="O48" s="1144"/>
      <c r="P48" s="3254" t="str">
        <f>A48</f>
        <v>比较价值（元/平方米）</v>
      </c>
      <c r="Q48" s="3254"/>
      <c r="R48" s="3255">
        <f>IF(F1="售价",ROUND(PRODUCT(R47,AA7:AA46),0),ROUND(PRODUCT(R47,AA7:AA46),1))</f>
        <v>45091</v>
      </c>
      <c r="S48" s="3255"/>
      <c r="T48" s="3255">
        <f>IF(F1="售价",ROUND(PRODUCT(T47,AB7:AB46),0),ROUND(PRODUCT(T47,AB7:AB46),1))</f>
        <v>47382</v>
      </c>
      <c r="U48" s="3255"/>
      <c r="V48" s="3255">
        <f>IF(F1="售价",ROUND(PRODUCT(V47,AC7:AC46),0),ROUND(PRODUCT(V47,AC7:AC46),1))</f>
        <v>46068</v>
      </c>
      <c r="W48" s="3255"/>
      <c r="X48" s="758"/>
      <c r="Y48" s="758"/>
      <c r="Z48" s="758"/>
      <c r="AA48" s="758"/>
      <c r="AB48" s="758"/>
      <c r="AC48" s="758"/>
    </row>
    <row r="49" spans="1:29" ht="15.75" thickBot="1">
      <c r="A49" s="492" t="s">
        <v>2665</v>
      </c>
      <c r="B49" s="493"/>
      <c r="C49" s="1417">
        <f>R49</f>
        <v>46180</v>
      </c>
      <c r="D49" s="1417"/>
      <c r="E49" s="1417"/>
      <c r="F49" s="1417"/>
      <c r="G49" s="1417"/>
      <c r="H49" s="1417"/>
      <c r="I49" s="1417"/>
      <c r="J49" s="1417"/>
      <c r="K49" s="784"/>
      <c r="L49" s="1143"/>
      <c r="M49" s="1144" t="s">
        <v>3899</v>
      </c>
      <c r="N49" s="1131">
        <v>88</v>
      </c>
      <c r="O49" s="1144"/>
      <c r="P49" s="3256" t="str">
        <f>A49</f>
        <v>估价对象XX用房的比较价值（楼面单价，元/平方米）</v>
      </c>
      <c r="Q49" s="3257"/>
      <c r="R49" s="3258">
        <f>IF(F1="售价",ROUND(AVERAGE(R48:V48),0),ROUND(AVERAGE(R48:V48),1))</f>
        <v>46180</v>
      </c>
      <c r="S49" s="3258"/>
      <c r="T49" s="3258"/>
      <c r="U49" s="3258"/>
      <c r="V49" s="3258"/>
      <c r="W49" s="3258"/>
      <c r="X49" s="758"/>
      <c r="Y49" s="758"/>
      <c r="Z49" s="758"/>
      <c r="AA49" s="758"/>
      <c r="AB49" s="758"/>
      <c r="AC49" s="758"/>
    </row>
    <row r="50" spans="1:29">
      <c r="A50" s="1144"/>
      <c r="B50" s="1144"/>
      <c r="C50" s="1144"/>
      <c r="D50" s="1144"/>
      <c r="E50" s="1144"/>
      <c r="F50" s="1144"/>
      <c r="G50" s="1147"/>
      <c r="H50" s="1144"/>
      <c r="I50" s="1144"/>
      <c r="J50" s="1144"/>
      <c r="K50" s="1107"/>
      <c r="L50" s="1108"/>
      <c r="M50" s="1144" t="s">
        <v>3900</v>
      </c>
      <c r="N50" s="1144">
        <v>86</v>
      </c>
      <c r="O50" s="1144"/>
      <c r="P50" s="674"/>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7"/>
      <c r="L51" s="1108"/>
      <c r="M51" s="1144" t="s">
        <v>3901</v>
      </c>
      <c r="N51" s="1144">
        <v>84</v>
      </c>
      <c r="O51" s="1144"/>
      <c r="P51" s="674"/>
      <c r="Q51" s="758"/>
      <c r="R51" s="758"/>
      <c r="S51" s="758"/>
      <c r="T51" s="758"/>
      <c r="U51" s="758"/>
      <c r="V51" s="758"/>
      <c r="W51" s="758"/>
      <c r="X51" s="758"/>
      <c r="Y51" s="758"/>
      <c r="Z51" s="758"/>
      <c r="AA51" s="758"/>
      <c r="AB51" s="758"/>
      <c r="AC51" s="758"/>
    </row>
    <row r="52" spans="1:29" ht="13.5" customHeight="1">
      <c r="A52" s="1144"/>
      <c r="B52" s="1144"/>
      <c r="C52" s="497" t="s">
        <v>2666</v>
      </c>
      <c r="D52" s="498"/>
      <c r="E52" s="499">
        <f>IF(E47&lt;E48,E48/E47-1,E47/E48-1)</f>
        <v>5.36692466345845E-3</v>
      </c>
      <c r="F52" s="500" t="str">
        <f>IF(OR(E52&gt;=0.3,E52&lt;=-0.3),"超过30%","")</f>
        <v/>
      </c>
      <c r="G52" s="499">
        <f>IF(G47&lt;G48,G48/G47-1,G47/G48-1)</f>
        <v>3.3075329772157325E-2</v>
      </c>
      <c r="H52" s="500" t="str">
        <f>IF(OR(G52&gt;=0.3,G52&lt;=-0.3),"超过30%","")</f>
        <v/>
      </c>
      <c r="I52" s="499">
        <f>IF(I47&lt;I48,I48/I47-1,I47/I48-1)</f>
        <v>2.3733333333333384E-2</v>
      </c>
      <c r="J52" s="500" t="str">
        <f>IF(OR(I52&gt;=0.3,I52&lt;=-0.3),"超过30%","")</f>
        <v/>
      </c>
      <c r="K52" s="1107"/>
      <c r="L52" s="1108"/>
      <c r="M52" s="1144"/>
      <c r="N52" s="1144"/>
      <c r="O52" s="1144"/>
      <c r="P52" s="674"/>
      <c r="Q52" s="758"/>
      <c r="R52" s="758"/>
      <c r="S52" s="758"/>
      <c r="T52" s="758"/>
      <c r="U52" s="758"/>
      <c r="V52" s="758"/>
      <c r="W52" s="758"/>
      <c r="X52" s="758"/>
      <c r="Y52" s="758"/>
      <c r="Z52" s="758"/>
      <c r="AA52" s="758"/>
      <c r="AB52" s="758"/>
      <c r="AC52" s="758"/>
    </row>
    <row r="53" spans="1:29" ht="13.5" customHeight="1">
      <c r="A53" s="1144"/>
      <c r="B53" s="1144"/>
      <c r="C53" s="497" t="s">
        <v>2667</v>
      </c>
      <c r="D53" s="501"/>
      <c r="E53" s="499">
        <f>IF(E48&lt;G48,G48/E48-1,E48/G48-1)</f>
        <v>5.0808365305715197E-2</v>
      </c>
      <c r="F53" s="500" t="str">
        <f>IF(OR(E53&gt;=0.2,E53&lt;=-0.2),"超过20%","")</f>
        <v/>
      </c>
      <c r="G53" s="499">
        <f>IF(G48&lt;I48,I48/G48-1,G48/I48-1)</f>
        <v>2.8523052878353772E-2</v>
      </c>
      <c r="H53" s="500" t="str">
        <f>IF(OR(G53&gt;=0.2,G53&lt;=-0.2),"超过20%","")</f>
        <v/>
      </c>
      <c r="I53" s="499">
        <f>IF(I48&lt;E48,E48/I48-1,I48/E48-1)</f>
        <v>2.166729502561493E-2</v>
      </c>
      <c r="J53" s="500" t="str">
        <f>IF(OR(I53&gt;=0.2,I53&lt;=-0.2),"超过20%","")</f>
        <v/>
      </c>
      <c r="K53" s="1107"/>
      <c r="L53" s="1108"/>
      <c r="M53" s="1144"/>
      <c r="N53" s="1144"/>
      <c r="O53" s="1144"/>
      <c r="P53" s="674"/>
      <c r="Q53" s="758"/>
      <c r="R53" s="758"/>
      <c r="S53" s="758"/>
      <c r="T53" s="758"/>
      <c r="U53" s="758"/>
      <c r="V53" s="758"/>
      <c r="W53" s="758"/>
      <c r="X53" s="758"/>
      <c r="Y53" s="758"/>
      <c r="Z53" s="758"/>
      <c r="AA53" s="758"/>
      <c r="AB53" s="758"/>
      <c r="AC53" s="758"/>
    </row>
    <row r="54" spans="1:29" s="502" customFormat="1" ht="13.5" customHeight="1">
      <c r="A54" s="1145"/>
      <c r="B54" s="1145"/>
      <c r="C54" s="497" t="s">
        <v>2668</v>
      </c>
      <c r="D54" s="501"/>
      <c r="E54" s="499">
        <f>IF(E47&lt;G47,G47/E47-1,E47/G47-1)</f>
        <v>1.1735380407208895E-2</v>
      </c>
      <c r="F54" s="500" t="str">
        <f>IF(OR(E54&gt;=0.3,E54&lt;=-0.3),"超过30%","")</f>
        <v/>
      </c>
      <c r="G54" s="499">
        <f>IF(G47&lt;I47,I47/G47-1,G47/I47-1)</f>
        <v>1.9222222222222252E-2</v>
      </c>
      <c r="H54" s="500" t="str">
        <f>IF(OR(G54&gt;=0.3,G54&lt;=-0.3),"超过30%","")</f>
        <v/>
      </c>
      <c r="I54" s="499">
        <f>IF(I47&lt;E47,E47/I47-1,I47/E47-1)</f>
        <v>7.4000000000000732E-3</v>
      </c>
      <c r="J54" s="500" t="str">
        <f>IF(OR(I54&gt;=0.3,I54&lt;=-0.3),"超过30%","")</f>
        <v/>
      </c>
      <c r="K54" s="1148"/>
      <c r="L54" s="1149"/>
      <c r="M54" s="1145"/>
      <c r="N54" s="1145"/>
      <c r="O54" s="1145"/>
      <c r="P54" s="2662"/>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2"/>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7"/>
      <c r="L56" s="1108"/>
      <c r="M56" s="1144"/>
      <c r="N56" s="1144"/>
      <c r="O56" s="1144"/>
      <c r="P56" s="674"/>
      <c r="Q56" s="758"/>
      <c r="R56" s="758"/>
      <c r="S56" s="758"/>
      <c r="T56" s="758"/>
      <c r="U56" s="758"/>
      <c r="V56" s="758"/>
      <c r="W56" s="758"/>
      <c r="X56" s="758"/>
      <c r="Y56" s="758"/>
      <c r="Z56" s="758"/>
      <c r="AA56" s="758"/>
      <c r="AB56" s="758"/>
      <c r="AC56" s="758"/>
    </row>
    <row r="57" spans="1:29" ht="21.75" thickBot="1">
      <c r="A57" s="762" t="s">
        <v>2669</v>
      </c>
      <c r="B57" s="758"/>
      <c r="C57" s="763"/>
      <c r="D57" s="763"/>
      <c r="E57" s="763"/>
      <c r="F57" s="764"/>
      <c r="G57" s="764"/>
      <c r="H57" s="763"/>
      <c r="I57" s="763"/>
      <c r="J57" s="763"/>
      <c r="K57" s="765"/>
      <c r="L57" s="1161"/>
      <c r="M57" s="1159"/>
      <c r="N57" s="1159"/>
      <c r="O57" s="1159"/>
      <c r="P57" s="2663"/>
      <c r="Q57" s="2664"/>
      <c r="R57" s="758"/>
      <c r="S57" s="758"/>
      <c r="T57" s="758"/>
      <c r="U57" s="758"/>
      <c r="V57" s="758"/>
      <c r="W57" s="758"/>
      <c r="X57" s="758"/>
      <c r="Y57" s="758"/>
      <c r="Z57" s="758"/>
      <c r="AA57" s="758"/>
      <c r="AB57" s="758"/>
      <c r="AC57" s="758"/>
    </row>
    <row r="58" spans="1:29" s="508" customFormat="1" ht="15">
      <c r="A58" s="505" t="s">
        <v>2543</v>
      </c>
      <c r="B58" s="506"/>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2545</v>
      </c>
      <c r="B61" s="510"/>
      <c r="C61" s="522" t="s">
        <v>2647</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2583</v>
      </c>
      <c r="B63" s="528" t="s">
        <v>2549</v>
      </c>
      <c r="C63" s="529" t="str">
        <f>C9</f>
        <v>商业</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6"/>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6"/>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3"/>
      <c r="O67" s="1153"/>
      <c r="P67" s="2626"/>
      <c r="Q67" s="504"/>
    </row>
    <row r="68" spans="1:17" ht="15">
      <c r="A68" s="534"/>
      <c r="B68" s="548"/>
      <c r="C68" s="549">
        <v>0</v>
      </c>
      <c r="D68" s="549">
        <v>1</v>
      </c>
      <c r="E68" s="549">
        <v>2</v>
      </c>
      <c r="F68" s="549">
        <v>3</v>
      </c>
      <c r="G68" s="549">
        <v>4</v>
      </c>
      <c r="H68" s="549">
        <v>5</v>
      </c>
      <c r="I68" s="549">
        <v>6</v>
      </c>
      <c r="J68" s="549">
        <v>7</v>
      </c>
      <c r="K68" s="550">
        <v>8</v>
      </c>
      <c r="L68" s="551">
        <v>9</v>
      </c>
      <c r="M68" s="552">
        <v>10</v>
      </c>
      <c r="N68" s="1152"/>
      <c r="O68" s="1152"/>
      <c r="P68" s="2626"/>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0"/>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6"/>
      <c r="Q81" s="504"/>
    </row>
    <row r="82" spans="1:17" ht="15.75" thickTop="1">
      <c r="A82" s="534"/>
      <c r="B82" s="546" t="s">
        <v>2650</v>
      </c>
      <c r="C82" s="659" t="s">
        <v>2670</v>
      </c>
      <c r="D82" s="659" t="s">
        <v>2671</v>
      </c>
      <c r="E82" s="659" t="s">
        <v>2672</v>
      </c>
      <c r="F82" s="659" t="s">
        <v>2673</v>
      </c>
      <c r="G82" s="659" t="s">
        <v>2674</v>
      </c>
      <c r="H82" s="539"/>
      <c r="I82" s="539"/>
      <c r="J82" s="539"/>
      <c r="K82" s="539"/>
      <c r="L82" s="539"/>
      <c r="M82" s="1382"/>
      <c r="N82" s="1153"/>
      <c r="O82" s="1153"/>
      <c r="P82" s="2626"/>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3"/>
      <c r="O83" s="1153"/>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6"/>
      <c r="Q85" s="504"/>
    </row>
    <row r="86" spans="1:17" s="117" customFormat="1" ht="15.75" thickTop="1">
      <c r="A86" s="579"/>
      <c r="B86" s="538" t="s">
        <v>2675</v>
      </c>
      <c r="C86" s="2978" t="s">
        <v>3846</v>
      </c>
      <c r="D86" s="2978" t="s">
        <v>3848</v>
      </c>
      <c r="E86" s="2978" t="s">
        <v>3850</v>
      </c>
      <c r="F86" s="2978" t="s">
        <v>3851</v>
      </c>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6"/>
      <c r="Q87" s="504"/>
    </row>
    <row r="88" spans="1:17" s="117" customFormat="1" ht="15.75" thickTop="1">
      <c r="A88" s="579"/>
      <c r="B88" s="538" t="str">
        <f>B26</f>
        <v>平面位置/可视性</v>
      </c>
      <c r="C88" s="2978" t="s">
        <v>3852</v>
      </c>
      <c r="D88" s="2978" t="s">
        <v>3853</v>
      </c>
      <c r="E88" s="2978" t="s">
        <v>3854</v>
      </c>
      <c r="F88" s="2979" t="s">
        <v>3855</v>
      </c>
      <c r="G88" s="2978" t="s">
        <v>3856</v>
      </c>
      <c r="H88" s="554"/>
      <c r="I88" s="554"/>
      <c r="J88" s="554"/>
      <c r="K88" s="554"/>
      <c r="L88" s="554"/>
      <c r="M88" s="581"/>
      <c r="N88" s="1151"/>
      <c r="O88" s="1151"/>
      <c r="P88" s="2626"/>
      <c r="Q88" s="504"/>
    </row>
    <row r="89" spans="1:17" s="117" customFormat="1" ht="15.75" thickBot="1">
      <c r="A89" s="579"/>
      <c r="B89" s="543"/>
      <c r="C89" s="560">
        <v>100</v>
      </c>
      <c r="D89" s="536">
        <v>97</v>
      </c>
      <c r="E89" s="536">
        <v>94</v>
      </c>
      <c r="F89" s="536">
        <v>91</v>
      </c>
      <c r="G89" s="536">
        <v>88</v>
      </c>
      <c r="H89" s="536"/>
      <c r="I89" s="536"/>
      <c r="J89" s="536"/>
      <c r="K89" s="536"/>
      <c r="L89" s="536"/>
      <c r="M89" s="536"/>
      <c r="N89" s="1153"/>
      <c r="O89" s="1153"/>
      <c r="P89" s="2626"/>
      <c r="Q89" s="504"/>
    </row>
    <row r="90" spans="1:17" s="471" customFormat="1" ht="15.75" thickTop="1">
      <c r="A90" s="553"/>
      <c r="B90" s="538" t="str">
        <f>B27</f>
        <v>人流量</v>
      </c>
      <c r="C90" s="2978" t="s">
        <v>3857</v>
      </c>
      <c r="D90" s="2978" t="s">
        <v>3858</v>
      </c>
      <c r="E90" s="2978" t="s">
        <v>3854</v>
      </c>
      <c r="F90" s="2978" t="s">
        <v>3859</v>
      </c>
      <c r="G90" s="2978" t="s">
        <v>3860</v>
      </c>
      <c r="H90" s="555"/>
      <c r="I90" s="555"/>
      <c r="J90" s="555"/>
      <c r="K90" s="555"/>
      <c r="L90" s="556"/>
      <c r="M90" s="557"/>
      <c r="N90" s="1154"/>
      <c r="O90" s="1154"/>
      <c r="P90" s="2627"/>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7"/>
      <c r="Q91" s="559"/>
    </row>
    <row r="92" spans="1:17" ht="15.75" thickTop="1">
      <c r="A92" s="534"/>
      <c r="B92" s="538" t="str">
        <f>B28</f>
        <v>楼层</v>
      </c>
      <c r="C92" s="554" t="s">
        <v>3861</v>
      </c>
      <c r="D92" s="554"/>
      <c r="E92" s="554"/>
      <c r="F92" s="554"/>
      <c r="G92" s="554"/>
      <c r="H92" s="554"/>
      <c r="I92" s="554"/>
      <c r="J92" s="554"/>
      <c r="K92" s="554"/>
      <c r="L92" s="580"/>
      <c r="M92" s="581"/>
      <c r="N92" s="1152"/>
      <c r="O92" s="1152"/>
      <c r="P92" s="2626"/>
      <c r="Q92" s="504"/>
    </row>
    <row r="93" spans="1:17" ht="15.75" thickBot="1">
      <c r="A93" s="534"/>
      <c r="B93" s="543"/>
      <c r="C93" s="536">
        <v>100</v>
      </c>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2558</v>
      </c>
      <c r="B100" s="528" t="s">
        <v>2676</v>
      </c>
      <c r="C100" s="2981" t="s">
        <v>3863</v>
      </c>
      <c r="D100" s="2981" t="s">
        <v>3864</v>
      </c>
      <c r="E100" s="2981" t="s">
        <v>3865</v>
      </c>
      <c r="F100" s="2981" t="s">
        <v>3866</v>
      </c>
      <c r="G100" s="2981" t="s">
        <v>3867</v>
      </c>
      <c r="H100" s="530"/>
      <c r="I100" s="530"/>
      <c r="J100" s="530"/>
      <c r="K100" s="531"/>
      <c r="L100" s="532"/>
      <c r="M100" s="533"/>
      <c r="N100" s="1152"/>
      <c r="O100" s="1152"/>
      <c r="P100" s="262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6"/>
      <c r="Q101" s="504"/>
    </row>
    <row r="102" spans="1:17" ht="29.25" thickTop="1">
      <c r="A102" s="534"/>
      <c r="B102" s="538" t="s">
        <v>2608</v>
      </c>
      <c r="C102" s="578" t="str">
        <f>C103&amp;"(含)"&amp;"-"&amp;D103</f>
        <v>0(含)-50000</v>
      </c>
      <c r="D102" s="578" t="str">
        <f t="shared" ref="D102:L102" si="23">D103&amp;"(含)"&amp;"-"&amp;E103</f>
        <v>50000(含)-100000</v>
      </c>
      <c r="E102" s="578" t="str">
        <f t="shared" si="23"/>
        <v>100000(含)-150000</v>
      </c>
      <c r="F102" s="578" t="str">
        <f t="shared" si="23"/>
        <v>150000(含)-200000</v>
      </c>
      <c r="G102" s="578" t="str">
        <f t="shared" si="23"/>
        <v>200000(含)-</v>
      </c>
      <c r="H102" s="578" t="str">
        <f t="shared" si="23"/>
        <v>(含)-</v>
      </c>
      <c r="I102" s="578" t="str">
        <f t="shared" si="23"/>
        <v>(含)-</v>
      </c>
      <c r="J102" s="578" t="str">
        <f t="shared" si="23"/>
        <v>(含)-</v>
      </c>
      <c r="K102" s="578" t="str">
        <f t="shared" si="23"/>
        <v>(含)-</v>
      </c>
      <c r="L102" s="578" t="str">
        <f t="shared" si="23"/>
        <v>(含)-</v>
      </c>
      <c r="M102" s="621" t="str">
        <f>M103&amp;"(含)"&amp;"-"&amp;P103</f>
        <v>(含)-</v>
      </c>
      <c r="N102" s="1151"/>
      <c r="O102" s="1151"/>
      <c r="P102" s="2626"/>
      <c r="Q102" s="504"/>
    </row>
    <row r="103" spans="1:17" s="471" customFormat="1">
      <c r="A103" s="593"/>
      <c r="B103" s="594"/>
      <c r="C103" s="595">
        <v>0</v>
      </c>
      <c r="D103" s="595">
        <v>50000</v>
      </c>
      <c r="E103" s="595">
        <v>100000</v>
      </c>
      <c r="F103" s="595">
        <v>150000</v>
      </c>
      <c r="G103" s="595">
        <v>200000</v>
      </c>
      <c r="H103" s="595"/>
      <c r="I103" s="595"/>
      <c r="J103" s="596"/>
      <c r="K103" s="596"/>
      <c r="L103" s="597"/>
      <c r="M103" s="598"/>
      <c r="N103" s="1154"/>
      <c r="O103" s="1154"/>
      <c r="P103" s="2627"/>
      <c r="Q103" s="559"/>
    </row>
    <row r="104" spans="1:17" s="471" customFormat="1" ht="15.75" thickBot="1">
      <c r="A104" s="553"/>
      <c r="B104" s="543"/>
      <c r="C104" s="560">
        <v>100</v>
      </c>
      <c r="D104" s="536">
        <v>102</v>
      </c>
      <c r="E104" s="536">
        <v>104</v>
      </c>
      <c r="F104" s="536">
        <v>106</v>
      </c>
      <c r="G104" s="536">
        <v>108</v>
      </c>
      <c r="H104" s="536"/>
      <c r="I104" s="536"/>
      <c r="J104" s="536"/>
      <c r="K104" s="536"/>
      <c r="L104" s="536"/>
      <c r="M104" s="537"/>
      <c r="N104" s="1153"/>
      <c r="O104" s="1153"/>
      <c r="P104" s="2627"/>
      <c r="Q104" s="559"/>
    </row>
    <row r="105" spans="1:17" ht="15" thickTop="1">
      <c r="A105" s="599"/>
      <c r="B105" s="538" t="s">
        <v>2609</v>
      </c>
      <c r="C105" s="2978" t="s">
        <v>3868</v>
      </c>
      <c r="D105" s="2978" t="s">
        <v>3869</v>
      </c>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6"/>
      <c r="Q106" s="504"/>
    </row>
    <row r="107" spans="1:17" ht="15" thickTop="1">
      <c r="A107" s="599"/>
      <c r="B107" s="538" t="s">
        <v>2611</v>
      </c>
      <c r="C107" s="2978" t="s">
        <v>3871</v>
      </c>
      <c r="D107" s="2978" t="s">
        <v>3873</v>
      </c>
      <c r="E107" s="2978" t="s">
        <v>3874</v>
      </c>
      <c r="F107" s="2982" t="s">
        <v>3876</v>
      </c>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2"/>
      <c r="J110" s="622"/>
      <c r="K110" s="623"/>
      <c r="L110" s="624"/>
      <c r="M110" s="625"/>
      <c r="N110" s="1152"/>
      <c r="O110" s="1152"/>
      <c r="P110" s="2626"/>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6"/>
      <c r="Q111" s="504"/>
    </row>
    <row r="112" spans="1:17" s="471" customFormat="1" ht="15" thickTop="1">
      <c r="A112" s="593"/>
      <c r="B112" s="538" t="s">
        <v>2613</v>
      </c>
      <c r="C112" s="2978" t="s">
        <v>3877</v>
      </c>
      <c r="D112" s="2978" t="s">
        <v>3878</v>
      </c>
      <c r="E112" s="2978" t="s">
        <v>3880</v>
      </c>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27"/>
      <c r="Q113" s="559"/>
    </row>
    <row r="114" spans="1:17" ht="15" thickTop="1">
      <c r="A114" s="599"/>
      <c r="B114" s="538" t="s">
        <v>2677</v>
      </c>
      <c r="C114" s="2978" t="s">
        <v>3881</v>
      </c>
      <c r="D114" s="2978" t="s">
        <v>3882</v>
      </c>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97</v>
      </c>
      <c r="E115" s="544">
        <f t="shared" si="28"/>
        <v>94</v>
      </c>
      <c r="F115" s="544">
        <f t="shared" si="28"/>
        <v>91</v>
      </c>
      <c r="G115" s="544">
        <f t="shared" si="28"/>
        <v>88</v>
      </c>
      <c r="H115" s="544">
        <f t="shared" si="28"/>
        <v>85</v>
      </c>
      <c r="I115" s="544">
        <f t="shared" si="28"/>
        <v>82</v>
      </c>
      <c r="J115" s="544">
        <f t="shared" si="28"/>
        <v>79</v>
      </c>
      <c r="K115" s="544">
        <f t="shared" si="28"/>
        <v>76</v>
      </c>
      <c r="L115" s="544">
        <f t="shared" si="28"/>
        <v>73</v>
      </c>
      <c r="M115" s="545">
        <f t="shared" si="28"/>
        <v>70</v>
      </c>
      <c r="N115" s="1153"/>
      <c r="O115" s="1153"/>
      <c r="P115" s="2626"/>
      <c r="Q115" s="504"/>
    </row>
    <row r="116" spans="1:17" ht="15" thickTop="1">
      <c r="A116" s="599"/>
      <c r="B116" s="538" t="s">
        <v>2678</v>
      </c>
      <c r="C116" s="2978" t="s">
        <v>3884</v>
      </c>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6"/>
      <c r="Q117" s="504"/>
    </row>
    <row r="118" spans="1:17" ht="15" thickTop="1">
      <c r="A118" s="599"/>
      <c r="B118" s="538" t="s">
        <v>2679</v>
      </c>
      <c r="C118" s="626">
        <v>140.88999999999999</v>
      </c>
      <c r="D118" s="626">
        <v>150</v>
      </c>
      <c r="E118" s="626">
        <v>133</v>
      </c>
      <c r="F118" s="626">
        <v>70</v>
      </c>
      <c r="G118" s="626"/>
      <c r="H118" s="555"/>
      <c r="I118" s="555"/>
      <c r="J118" s="555"/>
      <c r="K118" s="555"/>
      <c r="L118" s="556"/>
      <c r="M118" s="557"/>
      <c r="N118" s="1152"/>
      <c r="O118" s="1152"/>
      <c r="P118" s="2626"/>
      <c r="Q118" s="504"/>
    </row>
    <row r="119" spans="1:17" ht="15.75" thickBot="1">
      <c r="A119" s="534"/>
      <c r="B119" s="543"/>
      <c r="C119" s="560">
        <v>100</v>
      </c>
      <c r="D119" s="536">
        <v>100</v>
      </c>
      <c r="E119" s="536">
        <v>100</v>
      </c>
      <c r="F119" s="536">
        <v>104</v>
      </c>
      <c r="G119" s="536"/>
      <c r="H119" s="536"/>
      <c r="I119" s="536"/>
      <c r="J119" s="536"/>
      <c r="K119" s="536"/>
      <c r="L119" s="536"/>
      <c r="M119" s="537"/>
      <c r="N119" s="1153"/>
      <c r="O119" s="1153"/>
      <c r="P119" s="2626"/>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2615</v>
      </c>
      <c r="C122" s="2978" t="s">
        <v>3871</v>
      </c>
      <c r="D122" s="2978" t="s">
        <v>3873</v>
      </c>
      <c r="E122" s="2978" t="s">
        <v>3874</v>
      </c>
      <c r="F122" s="2982" t="s">
        <v>3876</v>
      </c>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L42" sqref="L4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8" t="s">
        <v>2637</v>
      </c>
      <c r="C1" s="1634" t="s">
        <v>2525</v>
      </c>
      <c r="D1" s="1621" t="s">
        <v>3732</v>
      </c>
      <c r="E1" s="2653"/>
      <c r="F1" s="2580" t="s">
        <v>3902</v>
      </c>
      <c r="G1" s="1631" t="s">
        <v>2527</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1394</v>
      </c>
      <c r="B2" s="1418">
        <f>IF(C2="——",ROUND(C49*D3/10000,0),ROUND(C49*D3/10000,0)-D2)</f>
        <v>0</v>
      </c>
      <c r="C2" s="2582" t="s">
        <v>70</v>
      </c>
      <c r="D2" s="1365" t="e">
        <f ca="1">SUMIF(INDIRECT("'"&amp;F2&amp;"'"&amp;"!A:A"),"承租人权益价值",INDIRECT("'"&amp;F2&amp;"'"&amp;"!c:c"))</f>
        <v>#REF!</v>
      </c>
      <c r="E2" s="2583" t="s">
        <v>2323</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1395</v>
      </c>
      <c r="B3" s="609">
        <f>IF(C2="——",C49,ROUND(B2*10000/D3,0))</f>
        <v>7.2</v>
      </c>
      <c r="C3" s="400" t="s">
        <v>2529</v>
      </c>
      <c r="D3" s="399">
        <f>IF(D1="",'数据-汇总表'!E3,SUMIF('数据-汇总表'!$C19:$C33,D1,'数据-汇总表'!$E19:$E33))</f>
        <v>140.88999999999999</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2530</v>
      </c>
      <c r="B4" s="402"/>
      <c r="C4" s="3232" t="s">
        <v>2531</v>
      </c>
      <c r="D4" s="3233"/>
      <c r="E4" s="3234" t="s">
        <v>2532</v>
      </c>
      <c r="F4" s="3235"/>
      <c r="G4" s="3232" t="s">
        <v>2533</v>
      </c>
      <c r="H4" s="3233"/>
      <c r="I4" s="3232" t="s">
        <v>2534</v>
      </c>
      <c r="J4" s="3233"/>
      <c r="K4" s="610" t="s">
        <v>2535</v>
      </c>
      <c r="L4" s="1130"/>
      <c r="M4" s="1131"/>
      <c r="N4" s="1131"/>
      <c r="O4" s="1131"/>
      <c r="P4" s="3236" t="s">
        <v>2536</v>
      </c>
      <c r="Q4" s="3237"/>
      <c r="R4" s="3219" t="s">
        <v>2532</v>
      </c>
      <c r="S4" s="3220"/>
      <c r="T4" s="3219" t="s">
        <v>2533</v>
      </c>
      <c r="U4" s="3220"/>
      <c r="V4" s="3216" t="s">
        <v>2534</v>
      </c>
      <c r="W4" s="3216"/>
      <c r="X4" s="2945"/>
      <c r="Y4" s="3219" t="s">
        <v>2536</v>
      </c>
      <c r="Z4" s="3220"/>
      <c r="AA4" s="3213" t="s">
        <v>2532</v>
      </c>
      <c r="AB4" s="3216" t="s">
        <v>2533</v>
      </c>
      <c r="AC4" s="3213" t="s">
        <v>2534</v>
      </c>
    </row>
    <row r="5" spans="1:29" ht="15">
      <c r="A5" s="404"/>
      <c r="B5" s="405"/>
      <c r="C5" s="3225" t="s">
        <v>3839</v>
      </c>
      <c r="D5" s="3226"/>
      <c r="E5" s="3223" t="s">
        <v>3903</v>
      </c>
      <c r="F5" s="3224"/>
      <c r="G5" s="3225" t="s">
        <v>3906</v>
      </c>
      <c r="H5" s="3226"/>
      <c r="I5" s="3225" t="s">
        <v>3913</v>
      </c>
      <c r="J5" s="3226"/>
      <c r="K5" s="610"/>
      <c r="L5" s="1130"/>
      <c r="M5" s="1131"/>
      <c r="N5" s="1131"/>
      <c r="O5" s="1131"/>
      <c r="P5" s="3238"/>
      <c r="Q5" s="3239"/>
      <c r="R5" s="3221"/>
      <c r="S5" s="3222"/>
      <c r="T5" s="3221"/>
      <c r="U5" s="3222"/>
      <c r="V5" s="3216"/>
      <c r="W5" s="3216"/>
      <c r="X5" s="2945"/>
      <c r="Y5" s="3221"/>
      <c r="Z5" s="3222"/>
      <c r="AA5" s="3214"/>
      <c r="AB5" s="3216"/>
      <c r="AC5" s="3214"/>
    </row>
    <row r="6" spans="1:29" ht="15.75" thickBot="1">
      <c r="A6" s="406"/>
      <c r="B6" s="407"/>
      <c r="C6" s="3227" t="s">
        <v>3840</v>
      </c>
      <c r="D6" s="3228"/>
      <c r="E6" s="3229" t="s">
        <v>3904</v>
      </c>
      <c r="F6" s="3230"/>
      <c r="G6" s="3227" t="s">
        <v>3907</v>
      </c>
      <c r="H6" s="3228"/>
      <c r="I6" s="3227" t="s">
        <v>3915</v>
      </c>
      <c r="J6" s="3228"/>
      <c r="K6" s="610" t="s">
        <v>2542</v>
      </c>
      <c r="L6" s="1130"/>
      <c r="M6" s="1131"/>
      <c r="N6" s="1131"/>
      <c r="O6" s="1131"/>
      <c r="P6" s="3240"/>
      <c r="Q6" s="3241"/>
      <c r="R6" s="3221"/>
      <c r="S6" s="3222"/>
      <c r="T6" s="3242"/>
      <c r="U6" s="3243"/>
      <c r="V6" s="3216"/>
      <c r="W6" s="3216"/>
      <c r="X6" s="2945"/>
      <c r="Y6" s="3242"/>
      <c r="Z6" s="3243"/>
      <c r="AA6" s="3215"/>
      <c r="AB6" s="3216"/>
      <c r="AC6" s="3215"/>
    </row>
    <row r="7" spans="1:29" s="117" customFormat="1" ht="15.75" thickBot="1">
      <c r="A7" s="408" t="s">
        <v>2543</v>
      </c>
      <c r="B7" s="409"/>
      <c r="C7" s="410">
        <f>'数据-取费表'!B2</f>
        <v>43279</v>
      </c>
      <c r="D7" s="411">
        <v>100</v>
      </c>
      <c r="E7" s="412">
        <f>C7</f>
        <v>43279</v>
      </c>
      <c r="F7" s="413">
        <f>SUMIF(58:58,YEAR(E7)&amp;"-"&amp;MONTH(E7),59:59)</f>
        <v>100</v>
      </c>
      <c r="G7" s="412">
        <f>C7</f>
        <v>43279</v>
      </c>
      <c r="H7" s="411">
        <f>SUMIF(58:58,YEAR(G7)&amp;"-"&amp;MONTH(G7),59:59)</f>
        <v>100</v>
      </c>
      <c r="I7" s="412">
        <f>C7</f>
        <v>43279</v>
      </c>
      <c r="J7" s="411">
        <f>SUMIF(58:58,YEAR(I7)&amp;"-"&amp;MONTH(I7),59:59)</f>
        <v>100</v>
      </c>
      <c r="K7" s="611"/>
      <c r="L7" s="1132"/>
      <c r="M7" s="1133"/>
      <c r="N7" s="1133"/>
      <c r="O7" s="1133"/>
      <c r="P7" s="3217" t="s">
        <v>2544</v>
      </c>
      <c r="Q7" s="3244"/>
      <c r="R7" s="769" t="s">
        <v>17</v>
      </c>
      <c r="S7" s="770">
        <f t="shared" ref="S7:S15" si="0">F7</f>
        <v>100</v>
      </c>
      <c r="T7" s="769" t="s">
        <v>17</v>
      </c>
      <c r="U7" s="770">
        <f t="shared" ref="U7:U15" si="1">H7</f>
        <v>100</v>
      </c>
      <c r="V7" s="769" t="s">
        <v>17</v>
      </c>
      <c r="W7" s="770">
        <f t="shared" ref="W7:W15" si="2">J7</f>
        <v>100</v>
      </c>
      <c r="X7" s="771"/>
      <c r="Y7" s="3217" t="s">
        <v>2544</v>
      </c>
      <c r="Z7" s="3218"/>
      <c r="AA7" s="772">
        <f>D7/F7</f>
        <v>1</v>
      </c>
      <c r="AB7" s="772">
        <f>D7/H7</f>
        <v>1</v>
      </c>
      <c r="AC7" s="772">
        <f>D7/J7</f>
        <v>1</v>
      </c>
    </row>
    <row r="8" spans="1:29" s="117" customFormat="1" ht="15.75" thickBot="1">
      <c r="A8" s="408" t="s">
        <v>2545</v>
      </c>
      <c r="B8" s="409"/>
      <c r="C8" s="414" t="s">
        <v>3056</v>
      </c>
      <c r="D8" s="411">
        <v>100</v>
      </c>
      <c r="E8" s="414" t="s">
        <v>3056</v>
      </c>
      <c r="F8" s="413">
        <f>SUMIF(61:61,E8,62:62)-SUMIF(61:61,C8,62:62)+100</f>
        <v>100</v>
      </c>
      <c r="G8" s="414" t="s">
        <v>3056</v>
      </c>
      <c r="H8" s="411">
        <f>SUMIF(61:61,G8,62:62)-SUMIF(61:61,C8,62:62)+100</f>
        <v>100</v>
      </c>
      <c r="I8" s="414" t="s">
        <v>3056</v>
      </c>
      <c r="J8" s="411">
        <f>SUMIF(61:61,I8,62:62)-SUMIF(61:61,C8,62:62)+100</f>
        <v>100</v>
      </c>
      <c r="K8" s="611"/>
      <c r="L8" s="1132"/>
      <c r="M8" s="1133"/>
      <c r="N8" s="1133"/>
      <c r="O8" s="1133"/>
      <c r="P8" s="3217" t="s">
        <v>2547</v>
      </c>
      <c r="Q8" s="3218"/>
      <c r="R8" s="769" t="s">
        <v>17</v>
      </c>
      <c r="S8" s="770">
        <f t="shared" si="0"/>
        <v>100</v>
      </c>
      <c r="T8" s="769" t="s">
        <v>17</v>
      </c>
      <c r="U8" s="770">
        <f t="shared" si="1"/>
        <v>100</v>
      </c>
      <c r="V8" s="769" t="s">
        <v>17</v>
      </c>
      <c r="W8" s="770">
        <f t="shared" si="2"/>
        <v>100</v>
      </c>
      <c r="X8" s="771"/>
      <c r="Y8" s="3217" t="s">
        <v>2547</v>
      </c>
      <c r="Z8" s="3218"/>
      <c r="AA8" s="772">
        <f t="shared" ref="AA8:AA46" si="3">D8/F8</f>
        <v>1</v>
      </c>
      <c r="AB8" s="772">
        <f t="shared" ref="AB8:AB46" si="4">D8/H8</f>
        <v>1</v>
      </c>
      <c r="AC8" s="772">
        <f t="shared" ref="AC8:AC46" si="5">D8/J8</f>
        <v>1</v>
      </c>
    </row>
    <row r="9" spans="1:29" s="117" customFormat="1">
      <c r="A9" s="415" t="s">
        <v>2548</v>
      </c>
      <c r="B9" s="71" t="s">
        <v>2549</v>
      </c>
      <c r="C9" s="2977" t="s">
        <v>3841</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31" t="s">
        <v>2550</v>
      </c>
      <c r="Q9" s="2938" t="str">
        <f t="shared" ref="Q9:Q15" si="6">B9</f>
        <v>用途</v>
      </c>
      <c r="R9" s="769" t="s">
        <v>17</v>
      </c>
      <c r="S9" s="770">
        <f t="shared" si="0"/>
        <v>100</v>
      </c>
      <c r="T9" s="769" t="s">
        <v>17</v>
      </c>
      <c r="U9" s="770">
        <f t="shared" si="1"/>
        <v>100</v>
      </c>
      <c r="V9" s="769" t="s">
        <v>17</v>
      </c>
      <c r="W9" s="770">
        <f t="shared" si="2"/>
        <v>100</v>
      </c>
      <c r="X9" s="771"/>
      <c r="Y9" s="3090" t="s">
        <v>2551</v>
      </c>
      <c r="Z9" s="2939" t="str">
        <f t="shared" ref="Z9:Z15" si="7">Q9</f>
        <v>用途</v>
      </c>
      <c r="AA9" s="772">
        <f t="shared" si="3"/>
        <v>1</v>
      </c>
      <c r="AB9" s="772">
        <f t="shared" si="4"/>
        <v>1</v>
      </c>
      <c r="AC9" s="772">
        <f t="shared" si="5"/>
        <v>1</v>
      </c>
    </row>
    <row r="10" spans="1:29" s="427" customFormat="1" ht="27">
      <c r="A10" s="421"/>
      <c r="B10" s="2940" t="s">
        <v>2552</v>
      </c>
      <c r="C10" s="423" t="s">
        <v>3842</v>
      </c>
      <c r="D10" s="136">
        <v>100</v>
      </c>
      <c r="E10" s="424" t="s">
        <v>3842</v>
      </c>
      <c r="F10" s="425">
        <f>SUMIF(65:65,E10,66:66)-SUMIF(65:65,C10,66:66)+100</f>
        <v>100</v>
      </c>
      <c r="G10" s="423" t="s">
        <v>3914</v>
      </c>
      <c r="H10" s="136">
        <f>SUMIF(65:65,G10,66:66)-SUMIF(65:65,C10,66:66)+100</f>
        <v>98</v>
      </c>
      <c r="I10" s="423" t="s">
        <v>3842</v>
      </c>
      <c r="J10" s="136">
        <f>SUMIF(65:65,I10,66:66)-SUMIF(65:65,C10,66:66)+100</f>
        <v>100</v>
      </c>
      <c r="K10" s="612">
        <v>2</v>
      </c>
      <c r="L10" s="1135"/>
      <c r="M10" s="1136"/>
      <c r="N10" s="1136"/>
      <c r="O10" s="1136"/>
      <c r="P10" s="3231"/>
      <c r="Q10" s="2938" t="str">
        <f t="shared" si="6"/>
        <v>土地使用年限（年）</v>
      </c>
      <c r="R10" s="769" t="s">
        <v>17</v>
      </c>
      <c r="S10" s="770">
        <f t="shared" si="0"/>
        <v>100</v>
      </c>
      <c r="T10" s="769" t="s">
        <v>17</v>
      </c>
      <c r="U10" s="770">
        <f t="shared" si="1"/>
        <v>98</v>
      </c>
      <c r="V10" s="769" t="s">
        <v>17</v>
      </c>
      <c r="W10" s="770">
        <f t="shared" si="2"/>
        <v>100</v>
      </c>
      <c r="X10" s="771"/>
      <c r="Y10" s="3090"/>
      <c r="Z10" s="2939" t="str">
        <f t="shared" si="7"/>
        <v>土地使用年限（年）</v>
      </c>
      <c r="AA10" s="772">
        <f t="shared" si="3"/>
        <v>1</v>
      </c>
      <c r="AB10" s="772">
        <f t="shared" si="4"/>
        <v>1.0204081632653061</v>
      </c>
      <c r="AC10" s="772">
        <f t="shared" si="5"/>
        <v>1</v>
      </c>
    </row>
    <row r="11" spans="1:29" ht="15.75" thickBot="1">
      <c r="A11" s="428"/>
      <c r="B11" s="2940" t="s">
        <v>2553</v>
      </c>
      <c r="C11" s="429">
        <f>'数据-汇总表'!I6</f>
        <v>5.63</v>
      </c>
      <c r="D11" s="136">
        <v>100</v>
      </c>
      <c r="E11" s="430">
        <v>5.7</v>
      </c>
      <c r="F11" s="425">
        <f>LOOKUP(E11,68:68,69:69)-LOOKUP(C11,68:68,69:69)+100</f>
        <v>100</v>
      </c>
      <c r="G11" s="429">
        <v>5</v>
      </c>
      <c r="H11" s="136">
        <f>LOOKUP(G11,68:68,69:69)-LOOKUP(C11,68:68,69:69)+100</f>
        <v>100</v>
      </c>
      <c r="I11" s="429">
        <v>5.59</v>
      </c>
      <c r="J11" s="136">
        <f>LOOKUP(I11,68:68,69:69)-LOOKUP(C11,68:68,69:69)+100</f>
        <v>100</v>
      </c>
      <c r="K11" s="612">
        <v>2</v>
      </c>
      <c r="L11" s="1138"/>
      <c r="M11" s="1131"/>
      <c r="N11" s="1131"/>
      <c r="O11" s="1131"/>
      <c r="P11" s="3231"/>
      <c r="Q11" s="2938" t="str">
        <f t="shared" si="6"/>
        <v>容积率</v>
      </c>
      <c r="R11" s="769" t="s">
        <v>17</v>
      </c>
      <c r="S11" s="770">
        <f t="shared" si="0"/>
        <v>100</v>
      </c>
      <c r="T11" s="769" t="s">
        <v>17</v>
      </c>
      <c r="U11" s="770">
        <f t="shared" si="1"/>
        <v>100</v>
      </c>
      <c r="V11" s="769" t="s">
        <v>17</v>
      </c>
      <c r="W11" s="770">
        <f t="shared" si="2"/>
        <v>100</v>
      </c>
      <c r="X11" s="771"/>
      <c r="Y11" s="3090"/>
      <c r="Z11" s="2939" t="str">
        <f t="shared" si="7"/>
        <v>容积率</v>
      </c>
      <c r="AA11" s="772">
        <f t="shared" si="3"/>
        <v>1</v>
      </c>
      <c r="AB11" s="772">
        <f t="shared" si="4"/>
        <v>1</v>
      </c>
      <c r="AC11" s="772">
        <f t="shared" si="5"/>
        <v>1</v>
      </c>
    </row>
    <row r="12" spans="1:29" s="117" customFormat="1" ht="15.75" hidden="1" thickBot="1">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1"/>
      <c r="Q12" s="2938">
        <f t="shared" si="6"/>
        <v>111</v>
      </c>
      <c r="R12" s="769" t="s">
        <v>17</v>
      </c>
      <c r="S12" s="770">
        <f t="shared" si="0"/>
        <v>100</v>
      </c>
      <c r="T12" s="769" t="s">
        <v>17</v>
      </c>
      <c r="U12" s="770">
        <f t="shared" si="1"/>
        <v>100</v>
      </c>
      <c r="V12" s="769" t="s">
        <v>17</v>
      </c>
      <c r="W12" s="770">
        <f t="shared" si="2"/>
        <v>100</v>
      </c>
      <c r="X12" s="771"/>
      <c r="Y12" s="3090"/>
      <c r="Z12" s="2939">
        <f t="shared" si="7"/>
        <v>111</v>
      </c>
      <c r="AA12" s="772">
        <f>D12/F12</f>
        <v>1</v>
      </c>
      <c r="AB12" s="772">
        <f>D12/H12</f>
        <v>1</v>
      </c>
      <c r="AC12" s="772">
        <f>D12/J12</f>
        <v>1</v>
      </c>
    </row>
    <row r="13" spans="1:29" ht="15.75" hidden="1" thickBot="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1"/>
      <c r="Q13" s="2938">
        <f t="shared" si="6"/>
        <v>111</v>
      </c>
      <c r="R13" s="769" t="s">
        <v>17</v>
      </c>
      <c r="S13" s="770">
        <f t="shared" si="0"/>
        <v>100</v>
      </c>
      <c r="T13" s="769" t="s">
        <v>17</v>
      </c>
      <c r="U13" s="770">
        <f t="shared" si="1"/>
        <v>100</v>
      </c>
      <c r="V13" s="769" t="s">
        <v>17</v>
      </c>
      <c r="W13" s="770">
        <f t="shared" si="2"/>
        <v>100</v>
      </c>
      <c r="X13" s="771"/>
      <c r="Y13" s="3090"/>
      <c r="Z13" s="2939">
        <f t="shared" si="7"/>
        <v>111</v>
      </c>
      <c r="AA13" s="772">
        <f t="shared" si="3"/>
        <v>1</v>
      </c>
      <c r="AB13" s="772">
        <f t="shared" si="4"/>
        <v>1</v>
      </c>
      <c r="AC13" s="772">
        <f t="shared" si="5"/>
        <v>1</v>
      </c>
    </row>
    <row r="14" spans="1:29" ht="15.75" hidden="1"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1"/>
      <c r="Q14" s="2938">
        <f t="shared" si="6"/>
        <v>111</v>
      </c>
      <c r="R14" s="769" t="s">
        <v>17</v>
      </c>
      <c r="S14" s="770">
        <f t="shared" si="0"/>
        <v>100</v>
      </c>
      <c r="T14" s="769" t="s">
        <v>17</v>
      </c>
      <c r="U14" s="770">
        <f t="shared" si="1"/>
        <v>100</v>
      </c>
      <c r="V14" s="769" t="s">
        <v>17</v>
      </c>
      <c r="W14" s="770">
        <f t="shared" si="2"/>
        <v>100</v>
      </c>
      <c r="X14" s="771"/>
      <c r="Y14" s="3090"/>
      <c r="Z14" s="2939">
        <f t="shared" si="7"/>
        <v>111</v>
      </c>
      <c r="AA14" s="772">
        <f t="shared" si="3"/>
        <v>1</v>
      </c>
      <c r="AB14" s="772">
        <f t="shared" si="4"/>
        <v>1</v>
      </c>
      <c r="AC14" s="772">
        <f t="shared" si="5"/>
        <v>1</v>
      </c>
    </row>
    <row r="15" spans="1:29" ht="71.25">
      <c r="A15" s="440" t="s">
        <v>2554</v>
      </c>
      <c r="B15" s="69" t="s">
        <v>2648</v>
      </c>
      <c r="C15" s="2599" t="str">
        <f>估价对象房地状况!C4</f>
        <v>估价对象位于江东新城，周边商业氛围一般，人流量一般，商业繁华度一般</v>
      </c>
      <c r="D15" s="441">
        <v>100</v>
      </c>
      <c r="E15" s="442"/>
      <c r="F15" s="443">
        <f>SUMIF(76:76,E16,77:77)-SUMIF(76:76,C16,77:77)+100</f>
        <v>100</v>
      </c>
      <c r="G15" s="444"/>
      <c r="H15" s="441">
        <f>SUMIF(76:76,G16,77:77)-SUMIF(76:76,C16,77:77)+100</f>
        <v>104</v>
      </c>
      <c r="I15" s="442"/>
      <c r="J15" s="441">
        <f>SUMIF(76:76,I16,77:77)-SUMIF(76:76,C16,77:77)+100</f>
        <v>102</v>
      </c>
      <c r="K15" s="614">
        <v>2</v>
      </c>
      <c r="L15" s="1140"/>
      <c r="M15" s="1131"/>
      <c r="N15" s="1131"/>
      <c r="O15" s="1131"/>
      <c r="P15" s="3245" t="s">
        <v>2555</v>
      </c>
      <c r="Q15" s="2943" t="str">
        <f t="shared" si="6"/>
        <v>商业繁华度</v>
      </c>
      <c r="R15" s="773" t="s">
        <v>17</v>
      </c>
      <c r="S15" s="774">
        <f t="shared" si="0"/>
        <v>100</v>
      </c>
      <c r="T15" s="773" t="s">
        <v>17</v>
      </c>
      <c r="U15" s="774">
        <f t="shared" si="1"/>
        <v>104</v>
      </c>
      <c r="V15" s="773" t="s">
        <v>17</v>
      </c>
      <c r="W15" s="774">
        <f t="shared" si="2"/>
        <v>102</v>
      </c>
      <c r="X15" s="2945"/>
      <c r="Y15" s="3247" t="s">
        <v>2555</v>
      </c>
      <c r="Z15" s="2946" t="str">
        <f t="shared" si="7"/>
        <v>商业繁华度</v>
      </c>
      <c r="AA15" s="2944">
        <f t="shared" si="3"/>
        <v>1</v>
      </c>
      <c r="AB15" s="2944">
        <f t="shared" si="4"/>
        <v>0.96153846153846156</v>
      </c>
      <c r="AC15" s="2944">
        <f t="shared" si="5"/>
        <v>0.98039215686274506</v>
      </c>
    </row>
    <row r="16" spans="1:29" ht="15">
      <c r="A16" s="428"/>
      <c r="B16" s="446"/>
      <c r="C16" s="447" t="s">
        <v>3843</v>
      </c>
      <c r="D16" s="448"/>
      <c r="E16" s="447" t="s">
        <v>3843</v>
      </c>
      <c r="F16" s="449"/>
      <c r="G16" s="447" t="s">
        <v>3908</v>
      </c>
      <c r="H16" s="450"/>
      <c r="I16" s="447" t="s">
        <v>3844</v>
      </c>
      <c r="J16" s="448"/>
      <c r="K16" s="615"/>
      <c r="L16" s="1140"/>
      <c r="M16" s="1131"/>
      <c r="N16" s="1131"/>
      <c r="O16" s="1131"/>
      <c r="P16" s="3246"/>
      <c r="Q16" s="2943"/>
      <c r="R16" s="773"/>
      <c r="S16" s="774"/>
      <c r="T16" s="773"/>
      <c r="U16" s="774"/>
      <c r="V16" s="773"/>
      <c r="W16" s="774"/>
      <c r="X16" s="2945"/>
      <c r="Y16" s="3248"/>
      <c r="Z16" s="2946"/>
      <c r="AA16" s="2944">
        <v>1</v>
      </c>
      <c r="AB16" s="2944">
        <v>1</v>
      </c>
      <c r="AC16" s="2944">
        <v>1</v>
      </c>
    </row>
    <row r="17" spans="1:29" ht="99.75">
      <c r="A17" s="428"/>
      <c r="B17" s="451" t="s">
        <v>2095</v>
      </c>
      <c r="C17" s="2603"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46"/>
      <c r="Q17" s="2943" t="str">
        <f>B17</f>
        <v>交通便捷度</v>
      </c>
      <c r="R17" s="773" t="s">
        <v>17</v>
      </c>
      <c r="S17" s="774">
        <f>F17</f>
        <v>100</v>
      </c>
      <c r="T17" s="773" t="s">
        <v>17</v>
      </c>
      <c r="U17" s="774">
        <f>H17</f>
        <v>100</v>
      </c>
      <c r="V17" s="773" t="s">
        <v>17</v>
      </c>
      <c r="W17" s="774">
        <f>J17</f>
        <v>100</v>
      </c>
      <c r="X17" s="2945"/>
      <c r="Y17" s="3248"/>
      <c r="Z17" s="2946" t="str">
        <f>Q17</f>
        <v>交通便捷度</v>
      </c>
      <c r="AA17" s="2944">
        <f t="shared" si="3"/>
        <v>1</v>
      </c>
      <c r="AB17" s="2944">
        <f t="shared" si="4"/>
        <v>1</v>
      </c>
      <c r="AC17" s="2944">
        <f t="shared" si="5"/>
        <v>1</v>
      </c>
    </row>
    <row r="18" spans="1:29" ht="15">
      <c r="A18" s="428"/>
      <c r="B18" s="456"/>
      <c r="C18" s="2604" t="s">
        <v>3844</v>
      </c>
      <c r="D18" s="450"/>
      <c r="E18" s="2606" t="s">
        <v>3844</v>
      </c>
      <c r="F18" s="453"/>
      <c r="G18" s="2605" t="s">
        <v>3844</v>
      </c>
      <c r="H18" s="448"/>
      <c r="I18" s="2606" t="s">
        <v>3844</v>
      </c>
      <c r="J18" s="448"/>
      <c r="K18" s="615"/>
      <c r="L18" s="1140"/>
      <c r="M18" s="1131"/>
      <c r="N18" s="1131"/>
      <c r="O18" s="1131"/>
      <c r="P18" s="3246"/>
      <c r="Q18" s="2943"/>
      <c r="R18" s="773"/>
      <c r="S18" s="774"/>
      <c r="T18" s="773"/>
      <c r="U18" s="774"/>
      <c r="V18" s="773"/>
      <c r="W18" s="774"/>
      <c r="X18" s="2945"/>
      <c r="Y18" s="3248"/>
      <c r="Z18" s="2946"/>
      <c r="AA18" s="2944">
        <v>1</v>
      </c>
      <c r="AB18" s="2944">
        <v>1</v>
      </c>
      <c r="AC18" s="2944">
        <v>1</v>
      </c>
    </row>
    <row r="19" spans="1:29" ht="42.75">
      <c r="A19" s="428"/>
      <c r="B19" s="451" t="s">
        <v>2649</v>
      </c>
      <c r="C19" s="2603"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46"/>
      <c r="Q19" s="2943" t="str">
        <f>B19</f>
        <v>公共配套设施</v>
      </c>
      <c r="R19" s="773" t="s">
        <v>17</v>
      </c>
      <c r="S19" s="774">
        <f>F19</f>
        <v>100</v>
      </c>
      <c r="T19" s="773" t="s">
        <v>17</v>
      </c>
      <c r="U19" s="774">
        <f>H19</f>
        <v>100</v>
      </c>
      <c r="V19" s="773" t="s">
        <v>17</v>
      </c>
      <c r="W19" s="774">
        <f>J19</f>
        <v>100</v>
      </c>
      <c r="X19" s="2945"/>
      <c r="Y19" s="3248"/>
      <c r="Z19" s="2946" t="str">
        <f>Q19</f>
        <v>公共配套设施</v>
      </c>
      <c r="AA19" s="2944">
        <f t="shared" si="3"/>
        <v>1</v>
      </c>
      <c r="AB19" s="2944">
        <f t="shared" si="4"/>
        <v>1</v>
      </c>
      <c r="AC19" s="2944">
        <f t="shared" si="5"/>
        <v>1</v>
      </c>
    </row>
    <row r="20" spans="1:29" ht="15">
      <c r="A20" s="428"/>
      <c r="B20" s="456"/>
      <c r="C20" s="447" t="s">
        <v>3844</v>
      </c>
      <c r="D20" s="448"/>
      <c r="E20" s="2601" t="s">
        <v>3844</v>
      </c>
      <c r="F20" s="449"/>
      <c r="G20" s="2600" t="s">
        <v>3844</v>
      </c>
      <c r="H20" s="448"/>
      <c r="I20" s="2601" t="s">
        <v>3844</v>
      </c>
      <c r="J20" s="448"/>
      <c r="K20" s="615"/>
      <c r="L20" s="1140"/>
      <c r="M20" s="1131"/>
      <c r="N20" s="1131"/>
      <c r="O20" s="1131"/>
      <c r="P20" s="3246"/>
      <c r="Q20" s="2943"/>
      <c r="R20" s="773"/>
      <c r="S20" s="774"/>
      <c r="T20" s="773"/>
      <c r="U20" s="774"/>
      <c r="V20" s="773"/>
      <c r="W20" s="774"/>
      <c r="X20" s="2945"/>
      <c r="Y20" s="3248"/>
      <c r="Z20" s="2946"/>
      <c r="AA20" s="2944">
        <v>1</v>
      </c>
      <c r="AB20" s="2944">
        <v>1</v>
      </c>
      <c r="AC20" s="2944">
        <v>1</v>
      </c>
    </row>
    <row r="21" spans="1:29" ht="42.75">
      <c r="A21" s="428"/>
      <c r="B21" s="1384" t="s">
        <v>2650</v>
      </c>
      <c r="C21" s="2603" t="str">
        <f>估价对象房地状况!C8</f>
        <v>估价对象所在区域基础设施水平为六通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46"/>
      <c r="Q21" s="2943" t="str">
        <f>B21</f>
        <v>基础设施水平</v>
      </c>
      <c r="R21" s="773" t="s">
        <v>17</v>
      </c>
      <c r="S21" s="774">
        <f>F21</f>
        <v>100</v>
      </c>
      <c r="T21" s="773" t="s">
        <v>17</v>
      </c>
      <c r="U21" s="774">
        <f>H21</f>
        <v>100</v>
      </c>
      <c r="V21" s="773" t="s">
        <v>17</v>
      </c>
      <c r="W21" s="774">
        <f>J21</f>
        <v>100</v>
      </c>
      <c r="X21" s="2945"/>
      <c r="Y21" s="3248"/>
      <c r="Z21" s="2946" t="str">
        <f>Q21</f>
        <v>基础设施水平</v>
      </c>
      <c r="AA21" s="2944">
        <f t="shared" ref="AA21" si="8">D21/F21</f>
        <v>1</v>
      </c>
      <c r="AB21" s="2944">
        <f t="shared" ref="AB21" si="9">D21/H21</f>
        <v>1</v>
      </c>
      <c r="AC21" s="2944">
        <f t="shared" ref="AC21" si="10">D21/J21</f>
        <v>1</v>
      </c>
    </row>
    <row r="22" spans="1:29" ht="15">
      <c r="A22" s="428"/>
      <c r="B22" s="1384"/>
      <c r="C22" s="2604" t="s">
        <v>3845</v>
      </c>
      <c r="D22" s="448"/>
      <c r="E22" s="447" t="s">
        <v>3845</v>
      </c>
      <c r="F22" s="449"/>
      <c r="G22" s="447" t="s">
        <v>3845</v>
      </c>
      <c r="H22" s="448"/>
      <c r="I22" s="447" t="s">
        <v>3845</v>
      </c>
      <c r="J22" s="448"/>
      <c r="K22" s="1383"/>
      <c r="L22" s="1140"/>
      <c r="M22" s="1131"/>
      <c r="N22" s="1131"/>
      <c r="O22" s="1131"/>
      <c r="P22" s="3246"/>
      <c r="Q22" s="2943"/>
      <c r="R22" s="773"/>
      <c r="S22" s="774"/>
      <c r="T22" s="773"/>
      <c r="U22" s="774"/>
      <c r="V22" s="773"/>
      <c r="W22" s="774"/>
      <c r="X22" s="2945"/>
      <c r="Y22" s="3248"/>
      <c r="Z22" s="2946"/>
      <c r="AA22" s="2944">
        <v>1</v>
      </c>
      <c r="AB22" s="2944">
        <v>1</v>
      </c>
      <c r="AC22" s="2944">
        <v>1</v>
      </c>
    </row>
    <row r="23" spans="1:29" ht="71.25">
      <c r="A23" s="428"/>
      <c r="B23" s="451" t="s">
        <v>2100</v>
      </c>
      <c r="C23" s="2660" t="str">
        <f>估价对象房地状况!C9</f>
        <v>区域：江东公园，自然环境一般：；人文环境一般；综合评价环境状况一般</v>
      </c>
      <c r="D23" s="450">
        <v>100</v>
      </c>
      <c r="E23" s="452"/>
      <c r="F23" s="453">
        <f>SUMIF(84:84,E24,85:85)-SUMIF(84:84,C24,85:85)+100</f>
        <v>100</v>
      </c>
      <c r="G23" s="454"/>
      <c r="H23" s="450">
        <f>SUMIF(84:84,G24,85:85)-SUMIF(84:84,C24,85:85)+100</f>
        <v>102</v>
      </c>
      <c r="I23" s="452"/>
      <c r="J23" s="450">
        <f>SUMIF(84:84,I24,85:85)-SUMIF(84:84,C24,85:85)+100</f>
        <v>102</v>
      </c>
      <c r="K23" s="614">
        <v>2</v>
      </c>
      <c r="L23" s="1140"/>
      <c r="M23" s="1131"/>
      <c r="N23" s="1131"/>
      <c r="O23" s="1131"/>
      <c r="P23" s="3246"/>
      <c r="Q23" s="2943" t="str">
        <f>B23</f>
        <v>自然及人文环境</v>
      </c>
      <c r="R23" s="773" t="s">
        <v>17</v>
      </c>
      <c r="S23" s="774">
        <f>F23</f>
        <v>100</v>
      </c>
      <c r="T23" s="773" t="s">
        <v>17</v>
      </c>
      <c r="U23" s="774">
        <f>H23</f>
        <v>102</v>
      </c>
      <c r="V23" s="773" t="s">
        <v>17</v>
      </c>
      <c r="W23" s="774">
        <f>J23</f>
        <v>102</v>
      </c>
      <c r="X23" s="2945"/>
      <c r="Y23" s="3248"/>
      <c r="Z23" s="2946" t="str">
        <f>Q23</f>
        <v>自然及人文环境</v>
      </c>
      <c r="AA23" s="2944">
        <f t="shared" si="3"/>
        <v>1</v>
      </c>
      <c r="AB23" s="2944">
        <f t="shared" si="4"/>
        <v>0.98039215686274506</v>
      </c>
      <c r="AC23" s="2944">
        <f t="shared" si="5"/>
        <v>0.98039215686274506</v>
      </c>
    </row>
    <row r="24" spans="1:29" ht="15">
      <c r="A24" s="428"/>
      <c r="B24" s="456"/>
      <c r="C24" s="447" t="s">
        <v>3843</v>
      </c>
      <c r="D24" s="448"/>
      <c r="E24" s="2601" t="s">
        <v>3843</v>
      </c>
      <c r="F24" s="449"/>
      <c r="G24" s="2600" t="s">
        <v>3844</v>
      </c>
      <c r="H24" s="448"/>
      <c r="I24" s="2601" t="s">
        <v>3844</v>
      </c>
      <c r="J24" s="448"/>
      <c r="K24" s="615"/>
      <c r="L24" s="1140"/>
      <c r="M24" s="1131"/>
      <c r="N24" s="1131"/>
      <c r="O24" s="1131"/>
      <c r="P24" s="3246"/>
      <c r="Q24" s="2943"/>
      <c r="R24" s="773"/>
      <c r="S24" s="774"/>
      <c r="T24" s="773"/>
      <c r="U24" s="774"/>
      <c r="V24" s="773"/>
      <c r="W24" s="774"/>
      <c r="X24" s="2945"/>
      <c r="Y24" s="3248"/>
      <c r="Z24" s="2946"/>
      <c r="AA24" s="2944">
        <v>1</v>
      </c>
      <c r="AB24" s="2944">
        <v>1</v>
      </c>
      <c r="AC24" s="2944">
        <v>1</v>
      </c>
    </row>
    <row r="25" spans="1:29" ht="15">
      <c r="A25" s="428"/>
      <c r="B25" s="2940" t="s">
        <v>2651</v>
      </c>
      <c r="C25" s="616" t="s">
        <v>3847</v>
      </c>
      <c r="D25" s="435">
        <v>100</v>
      </c>
      <c r="E25" s="616" t="s">
        <v>3849</v>
      </c>
      <c r="F25" s="461">
        <f>SUMIF(86:86,E25,87:87)-SUMIF(86:86,C25,87:87)+100</f>
        <v>98</v>
      </c>
      <c r="G25" s="616" t="s">
        <v>3909</v>
      </c>
      <c r="H25" s="435">
        <f>SUMIF(86:86,G25,87:87)-SUMIF(86:86,C25,87:87)+100</f>
        <v>96</v>
      </c>
      <c r="I25" s="616" t="s">
        <v>3849</v>
      </c>
      <c r="J25" s="435">
        <f>SUMIF(86:86,I25,87:87)-SUMIF(86:86,C25,87:87)+100</f>
        <v>98</v>
      </c>
      <c r="K25" s="612">
        <v>2</v>
      </c>
      <c r="L25" s="1140"/>
      <c r="M25" s="1131"/>
      <c r="N25" s="1131"/>
      <c r="O25" s="1131"/>
      <c r="P25" s="3246"/>
      <c r="Q25" s="2943" t="str">
        <f t="shared" ref="Q25:Q46" si="11">B25</f>
        <v>临街状况</v>
      </c>
      <c r="R25" s="773" t="s">
        <v>17</v>
      </c>
      <c r="S25" s="774">
        <f>F25</f>
        <v>98</v>
      </c>
      <c r="T25" s="773" t="s">
        <v>17</v>
      </c>
      <c r="U25" s="774">
        <f>H25</f>
        <v>96</v>
      </c>
      <c r="V25" s="773" t="s">
        <v>17</v>
      </c>
      <c r="W25" s="774">
        <f>J25</f>
        <v>98</v>
      </c>
      <c r="X25" s="2945"/>
      <c r="Y25" s="3248"/>
      <c r="Z25" s="2946" t="str">
        <f>Q25</f>
        <v>临街状况</v>
      </c>
      <c r="AA25" s="2944">
        <f t="shared" si="3"/>
        <v>1.0204081632653061</v>
      </c>
      <c r="AB25" s="2944">
        <f t="shared" si="4"/>
        <v>1.0416666666666667</v>
      </c>
      <c r="AC25" s="2944">
        <f t="shared" si="5"/>
        <v>1.0204081632653061</v>
      </c>
    </row>
    <row r="26" spans="1:29" ht="15">
      <c r="A26" s="428"/>
      <c r="B26" s="1386" t="s">
        <v>2652</v>
      </c>
      <c r="C26" s="2980" t="s">
        <v>3853</v>
      </c>
      <c r="D26" s="435">
        <v>100</v>
      </c>
      <c r="E26" s="2980" t="s">
        <v>3853</v>
      </c>
      <c r="F26" s="461">
        <f>SUMIF(88:88,E26,89:89)-SUMIF(88:88,C26,89:89)+100</f>
        <v>100</v>
      </c>
      <c r="G26" s="2980" t="s">
        <v>3854</v>
      </c>
      <c r="H26" s="435">
        <f>SUMIF(88:88,G26,89:89)-SUMIF(88:88,C26,89:89)+100</f>
        <v>97</v>
      </c>
      <c r="I26" s="2980" t="s">
        <v>3853</v>
      </c>
      <c r="J26" s="435">
        <f>SUMIF(88:88,I26,89:89)-SUMIF(88:88,C26,89:89)+100</f>
        <v>100</v>
      </c>
      <c r="K26" s="613"/>
      <c r="L26" s="1140"/>
      <c r="M26" s="1131"/>
      <c r="N26" s="1131"/>
      <c r="O26" s="1131"/>
      <c r="P26" s="3246"/>
      <c r="Q26" s="2943" t="str">
        <f t="shared" si="11"/>
        <v>平面位置/可视性</v>
      </c>
      <c r="R26" s="773" t="s">
        <v>17</v>
      </c>
      <c r="S26" s="774">
        <f>F26</f>
        <v>100</v>
      </c>
      <c r="T26" s="773" t="s">
        <v>17</v>
      </c>
      <c r="U26" s="774">
        <f>H26</f>
        <v>97</v>
      </c>
      <c r="V26" s="773" t="s">
        <v>17</v>
      </c>
      <c r="W26" s="774">
        <f>J26</f>
        <v>100</v>
      </c>
      <c r="X26" s="2945"/>
      <c r="Y26" s="3248"/>
      <c r="Z26" s="2946" t="str">
        <f>Q26</f>
        <v>平面位置/可视性</v>
      </c>
      <c r="AA26" s="2944">
        <f t="shared" si="3"/>
        <v>1</v>
      </c>
      <c r="AB26" s="2944">
        <f t="shared" si="4"/>
        <v>1.0309278350515463</v>
      </c>
      <c r="AC26" s="2944">
        <f t="shared" si="5"/>
        <v>1</v>
      </c>
    </row>
    <row r="27" spans="1:29" s="117" customFormat="1" ht="15">
      <c r="A27" s="431"/>
      <c r="B27" s="451" t="s">
        <v>2653</v>
      </c>
      <c r="C27" s="2661" t="s">
        <v>3843</v>
      </c>
      <c r="D27" s="462">
        <v>100</v>
      </c>
      <c r="E27" s="2661" t="s">
        <v>3843</v>
      </c>
      <c r="F27" s="464">
        <f>SUMIF(90:90,E27,91:91)-SUMIF(90:90,C27,91:91)+100</f>
        <v>100</v>
      </c>
      <c r="G27" s="2661" t="s">
        <v>3910</v>
      </c>
      <c r="H27" s="462">
        <f>SUMIF(90:90,G27,91:91)-SUMIF(90:90,C27,91:91)+100</f>
        <v>102</v>
      </c>
      <c r="I27" s="2661" t="s">
        <v>3910</v>
      </c>
      <c r="J27" s="462">
        <f>SUMIF(90:90,I27,91:91)-SUMIF(90:90,C27,91:91)+100</f>
        <v>102</v>
      </c>
      <c r="K27" s="612">
        <v>2</v>
      </c>
      <c r="L27" s="1132"/>
      <c r="M27" s="1133"/>
      <c r="N27" s="1133"/>
      <c r="O27" s="1133"/>
      <c r="P27" s="3246"/>
      <c r="Q27" s="2938" t="str">
        <f t="shared" si="11"/>
        <v>人流量</v>
      </c>
      <c r="R27" s="769" t="s">
        <v>17</v>
      </c>
      <c r="S27" s="770">
        <f>F27</f>
        <v>100</v>
      </c>
      <c r="T27" s="769" t="s">
        <v>17</v>
      </c>
      <c r="U27" s="770">
        <f>H27</f>
        <v>102</v>
      </c>
      <c r="V27" s="769" t="s">
        <v>17</v>
      </c>
      <c r="W27" s="770">
        <f>J27</f>
        <v>102</v>
      </c>
      <c r="X27" s="771"/>
      <c r="Y27" s="3248"/>
      <c r="Z27" s="2939" t="str">
        <f>Q27</f>
        <v>人流量</v>
      </c>
      <c r="AA27" s="2944">
        <f>D27/F27</f>
        <v>1</v>
      </c>
      <c r="AB27" s="2944">
        <f>D27/H27</f>
        <v>0.98039215686274506</v>
      </c>
      <c r="AC27" s="2944">
        <f>D27/J27</f>
        <v>0.98039215686274506</v>
      </c>
    </row>
    <row r="28" spans="1:29" ht="15.75" thickBot="1">
      <c r="A28" s="428"/>
      <c r="B28" s="2940" t="s">
        <v>2654</v>
      </c>
      <c r="C28" s="616" t="s">
        <v>3862</v>
      </c>
      <c r="D28" s="435">
        <v>100</v>
      </c>
      <c r="E28" s="616" t="s">
        <v>3862</v>
      </c>
      <c r="F28" s="461">
        <f>SUMIF(92:92,E28,93:93)-SUMIF(92:92,C28,93:93)+100</f>
        <v>100</v>
      </c>
      <c r="G28" s="616" t="s">
        <v>3862</v>
      </c>
      <c r="H28" s="435">
        <f>SUMIF(92:92,G28,93:93)-SUMIF(92:92,C28,93:93)+100</f>
        <v>100</v>
      </c>
      <c r="I28" s="616" t="s">
        <v>3862</v>
      </c>
      <c r="J28" s="435">
        <f>SUMIF(92:92,I28,93:93)-SUMIF(92:92,C28,93:93)+100</f>
        <v>100</v>
      </c>
      <c r="K28" s="613"/>
      <c r="L28" s="1140"/>
      <c r="M28" s="1131"/>
      <c r="N28" s="1131"/>
      <c r="O28" s="1131"/>
      <c r="P28" s="3246"/>
      <c r="Q28" s="2943" t="str">
        <f t="shared" si="11"/>
        <v>楼层</v>
      </c>
      <c r="R28" s="773" t="s">
        <v>17</v>
      </c>
      <c r="S28" s="774">
        <f t="shared" ref="S28:S46" si="12">F28</f>
        <v>100</v>
      </c>
      <c r="T28" s="773" t="s">
        <v>17</v>
      </c>
      <c r="U28" s="774">
        <f t="shared" ref="U28:U46" si="13">H28</f>
        <v>100</v>
      </c>
      <c r="V28" s="773" t="s">
        <v>17</v>
      </c>
      <c r="W28" s="774">
        <f t="shared" ref="W28:W46" si="14">J28</f>
        <v>100</v>
      </c>
      <c r="X28" s="2945"/>
      <c r="Y28" s="3248"/>
      <c r="Z28" s="2946" t="str">
        <f t="shared" ref="Z28:Z46" si="15">Q28</f>
        <v>楼层</v>
      </c>
      <c r="AA28" s="2944">
        <f t="shared" si="3"/>
        <v>1</v>
      </c>
      <c r="AB28" s="2944">
        <f t="shared" si="4"/>
        <v>1</v>
      </c>
      <c r="AC28" s="2944">
        <f t="shared" si="5"/>
        <v>1</v>
      </c>
    </row>
    <row r="29" spans="1:29" ht="15.75" hidden="1" thickBot="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6"/>
      <c r="Q29" s="2943">
        <f t="shared" si="11"/>
        <v>111</v>
      </c>
      <c r="R29" s="773" t="s">
        <v>17</v>
      </c>
      <c r="S29" s="774">
        <f t="shared" si="12"/>
        <v>100</v>
      </c>
      <c r="T29" s="773" t="s">
        <v>17</v>
      </c>
      <c r="U29" s="774">
        <f t="shared" si="13"/>
        <v>100</v>
      </c>
      <c r="V29" s="773" t="s">
        <v>17</v>
      </c>
      <c r="W29" s="774">
        <f t="shared" si="14"/>
        <v>100</v>
      </c>
      <c r="X29" s="2945"/>
      <c r="Y29" s="3248"/>
      <c r="Z29" s="2946">
        <f t="shared" si="15"/>
        <v>111</v>
      </c>
      <c r="AA29" s="2944">
        <f t="shared" si="3"/>
        <v>1</v>
      </c>
      <c r="AB29" s="2944">
        <f t="shared" si="4"/>
        <v>1</v>
      </c>
      <c r="AC29" s="2944">
        <f t="shared" si="5"/>
        <v>1</v>
      </c>
    </row>
    <row r="30" spans="1:29" ht="15.75" hidden="1" thickBot="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6"/>
      <c r="Q30" s="2943">
        <f t="shared" si="11"/>
        <v>111</v>
      </c>
      <c r="R30" s="773" t="s">
        <v>17</v>
      </c>
      <c r="S30" s="774">
        <f t="shared" si="12"/>
        <v>100</v>
      </c>
      <c r="T30" s="773" t="s">
        <v>17</v>
      </c>
      <c r="U30" s="774">
        <f t="shared" si="13"/>
        <v>100</v>
      </c>
      <c r="V30" s="773" t="s">
        <v>17</v>
      </c>
      <c r="W30" s="774">
        <f t="shared" si="14"/>
        <v>100</v>
      </c>
      <c r="X30" s="2945"/>
      <c r="Y30" s="3248"/>
      <c r="Z30" s="2946">
        <f t="shared" si="15"/>
        <v>111</v>
      </c>
      <c r="AA30" s="2944">
        <f t="shared" si="3"/>
        <v>1</v>
      </c>
      <c r="AB30" s="2944">
        <f t="shared" si="4"/>
        <v>1</v>
      </c>
      <c r="AC30" s="2944">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6"/>
      <c r="Q31" s="2943">
        <f t="shared" si="11"/>
        <v>111</v>
      </c>
      <c r="R31" s="773" t="s">
        <v>17</v>
      </c>
      <c r="S31" s="774">
        <f t="shared" si="12"/>
        <v>100</v>
      </c>
      <c r="T31" s="773" t="s">
        <v>17</v>
      </c>
      <c r="U31" s="774">
        <f t="shared" si="13"/>
        <v>100</v>
      </c>
      <c r="V31" s="773" t="s">
        <v>17</v>
      </c>
      <c r="W31" s="774">
        <f t="shared" si="14"/>
        <v>100</v>
      </c>
      <c r="X31" s="2945"/>
      <c r="Y31" s="3248"/>
      <c r="Z31" s="2946">
        <f t="shared" si="15"/>
        <v>111</v>
      </c>
      <c r="AA31" s="2944">
        <f t="shared" si="3"/>
        <v>1</v>
      </c>
      <c r="AB31" s="2944">
        <f t="shared" si="4"/>
        <v>1</v>
      </c>
      <c r="AC31" s="2944">
        <f t="shared" si="5"/>
        <v>1</v>
      </c>
    </row>
    <row r="32" spans="1:29" ht="15">
      <c r="A32" s="440" t="s">
        <v>2558</v>
      </c>
      <c r="B32" s="71" t="s">
        <v>2655</v>
      </c>
      <c r="C32" s="2613" t="s">
        <v>3316</v>
      </c>
      <c r="D32" s="467">
        <v>100</v>
      </c>
      <c r="E32" s="2613" t="s">
        <v>3905</v>
      </c>
      <c r="F32" s="461">
        <f>SUMIF(100:100,E32,101:101)-SUMIF(100:100,C32,101:101)+100</f>
        <v>94</v>
      </c>
      <c r="G32" s="2613" t="s">
        <v>3911</v>
      </c>
      <c r="H32" s="435">
        <f>SUMIF(100:100,G32,101:101)-SUMIF(100:100,C32,101:101)+100</f>
        <v>96</v>
      </c>
      <c r="I32" s="2613" t="s">
        <v>3911</v>
      </c>
      <c r="J32" s="467">
        <f>SUMIF(100:100,I32,101:101)-SUMIF(100:100,C32,101:101)+100</f>
        <v>96</v>
      </c>
      <c r="K32" s="612">
        <v>2</v>
      </c>
      <c r="L32" s="1140"/>
      <c r="M32" s="1131"/>
      <c r="N32" s="1131"/>
      <c r="O32" s="1131"/>
      <c r="P32" s="3249" t="s">
        <v>2560</v>
      </c>
      <c r="Q32" s="2943" t="str">
        <f t="shared" si="11"/>
        <v>商业类型</v>
      </c>
      <c r="R32" s="773" t="s">
        <v>17</v>
      </c>
      <c r="S32" s="774">
        <f t="shared" si="12"/>
        <v>94</v>
      </c>
      <c r="T32" s="773" t="s">
        <v>17</v>
      </c>
      <c r="U32" s="774">
        <f t="shared" si="13"/>
        <v>96</v>
      </c>
      <c r="V32" s="773" t="s">
        <v>17</v>
      </c>
      <c r="W32" s="774">
        <f t="shared" si="14"/>
        <v>96</v>
      </c>
      <c r="X32" s="2945"/>
      <c r="Y32" s="3252" t="s">
        <v>2560</v>
      </c>
      <c r="Z32" s="2946" t="str">
        <f t="shared" si="15"/>
        <v>商业类型</v>
      </c>
      <c r="AA32" s="2944">
        <f t="shared" si="3"/>
        <v>1.0638297872340425</v>
      </c>
      <c r="AB32" s="2944">
        <f t="shared" si="4"/>
        <v>1.0416666666666667</v>
      </c>
      <c r="AC32" s="2944">
        <f t="shared" si="5"/>
        <v>1.0416666666666667</v>
      </c>
    </row>
    <row r="33" spans="1:29" s="471" customFormat="1" ht="15">
      <c r="A33" s="468"/>
      <c r="B33" s="2940" t="s">
        <v>2561</v>
      </c>
      <c r="C33" s="469">
        <v>110000</v>
      </c>
      <c r="D33" s="136">
        <v>100</v>
      </c>
      <c r="E33" s="430">
        <v>730000</v>
      </c>
      <c r="F33" s="425">
        <f>LOOKUP(E33,103:103,104:104)-LOOKUP(C33,103:103,104:104)+100</f>
        <v>108</v>
      </c>
      <c r="G33" s="429">
        <v>120000</v>
      </c>
      <c r="H33" s="136">
        <f>LOOKUP(G33,103:103,104:104)-LOOKUP(C33,103:103,104:104)+100</f>
        <v>100</v>
      </c>
      <c r="I33" s="429">
        <v>139203</v>
      </c>
      <c r="J33" s="136">
        <f>LOOKUP(I33,103:103,104:104)-LOOKUP(C33,103:103,104:104)+100</f>
        <v>100</v>
      </c>
      <c r="K33" s="613"/>
      <c r="L33" s="1138"/>
      <c r="M33" s="1141"/>
      <c r="N33" s="1141"/>
      <c r="O33" s="1141"/>
      <c r="P33" s="3250"/>
      <c r="Q33" s="775" t="str">
        <f t="shared" si="11"/>
        <v>项目建筑规模</v>
      </c>
      <c r="R33" s="776" t="s">
        <v>17</v>
      </c>
      <c r="S33" s="777">
        <f t="shared" si="12"/>
        <v>108</v>
      </c>
      <c r="T33" s="776" t="s">
        <v>17</v>
      </c>
      <c r="U33" s="777">
        <f t="shared" si="13"/>
        <v>100</v>
      </c>
      <c r="V33" s="776" t="s">
        <v>17</v>
      </c>
      <c r="W33" s="777">
        <f t="shared" si="14"/>
        <v>100</v>
      </c>
      <c r="X33" s="778"/>
      <c r="Y33" s="3252"/>
      <c r="Z33" s="779" t="str">
        <f t="shared" si="15"/>
        <v>项目建筑规模</v>
      </c>
      <c r="AA33" s="2944">
        <f t="shared" si="3"/>
        <v>0.92592592592592593</v>
      </c>
      <c r="AB33" s="2944">
        <f t="shared" si="4"/>
        <v>1</v>
      </c>
      <c r="AC33" s="2944">
        <f t="shared" si="5"/>
        <v>1</v>
      </c>
    </row>
    <row r="34" spans="1:29" ht="15">
      <c r="A34" s="472"/>
      <c r="B34" s="2940" t="s">
        <v>2562</v>
      </c>
      <c r="C34" s="2615" t="s">
        <v>3885</v>
      </c>
      <c r="D34" s="435">
        <v>100</v>
      </c>
      <c r="E34" s="2615" t="s">
        <v>3885</v>
      </c>
      <c r="F34" s="461">
        <f>SUMIF(105:105,E34,106:106)-SUMIF(105:105,C34,106:106)+100</f>
        <v>100</v>
      </c>
      <c r="G34" s="2615" t="s">
        <v>3885</v>
      </c>
      <c r="H34" s="435">
        <f>SUMIF(105:105,G34,106:106)-SUMIF(105:105,C34,106:106)+100</f>
        <v>100</v>
      </c>
      <c r="I34" s="2615" t="s">
        <v>3885</v>
      </c>
      <c r="J34" s="435">
        <f>SUMIF(105:105,I34,106:106)-SUMIF(105:105,C34,106:106)+100</f>
        <v>100</v>
      </c>
      <c r="K34" s="612">
        <v>2</v>
      </c>
      <c r="L34" s="1140"/>
      <c r="M34" s="1131"/>
      <c r="N34" s="1131"/>
      <c r="O34" s="1131"/>
      <c r="P34" s="3250"/>
      <c r="Q34" s="2943" t="str">
        <f t="shared" si="11"/>
        <v>建筑结构</v>
      </c>
      <c r="R34" s="773" t="s">
        <v>17</v>
      </c>
      <c r="S34" s="774">
        <f t="shared" si="12"/>
        <v>100</v>
      </c>
      <c r="T34" s="773" t="s">
        <v>17</v>
      </c>
      <c r="U34" s="774">
        <f t="shared" si="13"/>
        <v>100</v>
      </c>
      <c r="V34" s="773" t="s">
        <v>17</v>
      </c>
      <c r="W34" s="774">
        <f t="shared" si="14"/>
        <v>100</v>
      </c>
      <c r="X34" s="2945"/>
      <c r="Y34" s="3252"/>
      <c r="Z34" s="2946" t="str">
        <f t="shared" si="15"/>
        <v>建筑结构</v>
      </c>
      <c r="AA34" s="2944">
        <f t="shared" si="3"/>
        <v>1</v>
      </c>
      <c r="AB34" s="2944">
        <f t="shared" si="4"/>
        <v>1</v>
      </c>
      <c r="AC34" s="2944">
        <f t="shared" si="5"/>
        <v>1</v>
      </c>
    </row>
    <row r="35" spans="1:29" ht="15">
      <c r="A35" s="472"/>
      <c r="B35" s="2940" t="s">
        <v>2656</v>
      </c>
      <c r="C35" s="2609" t="s">
        <v>3870</v>
      </c>
      <c r="D35" s="435">
        <v>100</v>
      </c>
      <c r="E35" s="2609" t="s">
        <v>3870</v>
      </c>
      <c r="F35" s="461">
        <f>SUMIF(107:107,E35,108:108)-SUMIF(107:107,C35,108:108)+100</f>
        <v>100</v>
      </c>
      <c r="G35" s="2609" t="s">
        <v>3872</v>
      </c>
      <c r="H35" s="435">
        <f>SUMIF(107:107,G35,108:108)-SUMIF(107:107,C35,108:108)+100</f>
        <v>98</v>
      </c>
      <c r="I35" s="2609" t="s">
        <v>3870</v>
      </c>
      <c r="J35" s="435">
        <f>SUMIF(107:107,I35,108:108)-SUMIF(107:107,C35,108:108)+100</f>
        <v>100</v>
      </c>
      <c r="K35" s="612">
        <v>2</v>
      </c>
      <c r="L35" s="1140"/>
      <c r="M35" s="1131"/>
      <c r="N35" s="1131"/>
      <c r="O35" s="1131"/>
      <c r="P35" s="3250"/>
      <c r="Q35" s="2943" t="str">
        <f t="shared" si="11"/>
        <v>公共部分装修</v>
      </c>
      <c r="R35" s="773" t="s">
        <v>17</v>
      </c>
      <c r="S35" s="774">
        <f t="shared" si="12"/>
        <v>100</v>
      </c>
      <c r="T35" s="773" t="s">
        <v>17</v>
      </c>
      <c r="U35" s="774">
        <f t="shared" si="13"/>
        <v>98</v>
      </c>
      <c r="V35" s="773" t="s">
        <v>17</v>
      </c>
      <c r="W35" s="774">
        <f t="shared" si="14"/>
        <v>100</v>
      </c>
      <c r="X35" s="2945"/>
      <c r="Y35" s="3252"/>
      <c r="Z35" s="2946" t="str">
        <f t="shared" si="15"/>
        <v>公共部分装修</v>
      </c>
      <c r="AA35" s="2944">
        <f t="shared" si="3"/>
        <v>1</v>
      </c>
      <c r="AB35" s="2944">
        <f t="shared" si="4"/>
        <v>1.0204081632653061</v>
      </c>
      <c r="AC35" s="2944">
        <f t="shared" si="5"/>
        <v>1</v>
      </c>
    </row>
    <row r="36" spans="1:29" ht="15">
      <c r="A36" s="472"/>
      <c r="B36" s="2940" t="s">
        <v>2657</v>
      </c>
      <c r="C36" s="474">
        <f>'数据-取费表'!N6</f>
        <v>0.98</v>
      </c>
      <c r="D36" s="435">
        <v>100</v>
      </c>
      <c r="E36" s="474">
        <v>1</v>
      </c>
      <c r="F36" s="461">
        <f>LOOKUP(E36,110:110,111:111)-LOOKUP(C36,110:110,111:111)+100</f>
        <v>100</v>
      </c>
      <c r="G36" s="474">
        <v>0.8</v>
      </c>
      <c r="H36" s="461">
        <f>LOOKUP(G36,110:110,111:111)-LOOKUP(C36,110:110,111:111)+100</f>
        <v>98</v>
      </c>
      <c r="I36" s="474">
        <f>ROUND(1-(2018-2014)/60,2)</f>
        <v>0.93</v>
      </c>
      <c r="J36" s="435">
        <f>LOOKUP(I36,110:110,111:111)-LOOKUP(C36,110:110,111:111)+100</f>
        <v>100</v>
      </c>
      <c r="K36" s="612">
        <v>2</v>
      </c>
      <c r="L36" s="1140"/>
      <c r="M36" s="1131"/>
      <c r="N36" s="1131"/>
      <c r="O36" s="1131"/>
      <c r="P36" s="3250"/>
      <c r="Q36" s="2943" t="str">
        <f t="shared" si="11"/>
        <v>成新度</v>
      </c>
      <c r="R36" s="773" t="s">
        <v>17</v>
      </c>
      <c r="S36" s="774">
        <f t="shared" si="12"/>
        <v>100</v>
      </c>
      <c r="T36" s="773" t="s">
        <v>17</v>
      </c>
      <c r="U36" s="774">
        <f t="shared" si="13"/>
        <v>98</v>
      </c>
      <c r="V36" s="773" t="s">
        <v>17</v>
      </c>
      <c r="W36" s="774">
        <f t="shared" si="14"/>
        <v>100</v>
      </c>
      <c r="X36" s="2945"/>
      <c r="Y36" s="3252"/>
      <c r="Z36" s="2946" t="str">
        <f t="shared" si="15"/>
        <v>成新度</v>
      </c>
      <c r="AA36" s="2944">
        <f t="shared" si="3"/>
        <v>1</v>
      </c>
      <c r="AB36" s="2944">
        <f t="shared" si="4"/>
        <v>1.0204081632653061</v>
      </c>
      <c r="AC36" s="2944">
        <f t="shared" si="5"/>
        <v>1</v>
      </c>
    </row>
    <row r="37" spans="1:29" s="117" customFormat="1" ht="15">
      <c r="A37" s="473"/>
      <c r="B37" s="2940" t="s">
        <v>2658</v>
      </c>
      <c r="C37" s="2609" t="s">
        <v>3879</v>
      </c>
      <c r="D37" s="136">
        <v>100</v>
      </c>
      <c r="E37" s="2609" t="s">
        <v>3879</v>
      </c>
      <c r="F37" s="461">
        <f>SUMIF(112:112,E37,113:113)-SUMIF(112:112,C37,113:113)+100</f>
        <v>100</v>
      </c>
      <c r="G37" s="2609" t="s">
        <v>3845</v>
      </c>
      <c r="H37" s="435">
        <f>SUMIF(112:112,G37,113:113)-SUMIF(112:112,C37,113:113)+100</f>
        <v>101</v>
      </c>
      <c r="I37" s="2609" t="s">
        <v>3879</v>
      </c>
      <c r="J37" s="435">
        <f>SUMIF(112:112,I37,113:113)-SUMIF(112:112,C37,113:113)+100</f>
        <v>100</v>
      </c>
      <c r="K37" s="612">
        <v>1</v>
      </c>
      <c r="L37" s="1132"/>
      <c r="M37" s="1133"/>
      <c r="N37" s="1133"/>
      <c r="O37" s="1133"/>
      <c r="P37" s="3250"/>
      <c r="Q37" s="2938" t="str">
        <f t="shared" si="11"/>
        <v>市政基础设施</v>
      </c>
      <c r="R37" s="769" t="s">
        <v>17</v>
      </c>
      <c r="S37" s="770">
        <f t="shared" si="12"/>
        <v>100</v>
      </c>
      <c r="T37" s="769" t="s">
        <v>17</v>
      </c>
      <c r="U37" s="770">
        <f t="shared" si="13"/>
        <v>101</v>
      </c>
      <c r="V37" s="769" t="s">
        <v>17</v>
      </c>
      <c r="W37" s="770">
        <f t="shared" si="14"/>
        <v>100</v>
      </c>
      <c r="X37" s="771"/>
      <c r="Y37" s="3252"/>
      <c r="Z37" s="2939" t="str">
        <f t="shared" si="15"/>
        <v>市政基础设施</v>
      </c>
      <c r="AA37" s="772">
        <f t="shared" si="3"/>
        <v>1</v>
      </c>
      <c r="AB37" s="772">
        <f t="shared" si="4"/>
        <v>0.99009900990099009</v>
      </c>
      <c r="AC37" s="772">
        <f t="shared" si="5"/>
        <v>1</v>
      </c>
    </row>
    <row r="38" spans="1:29" ht="15">
      <c r="A38" s="472"/>
      <c r="B38" s="2940" t="s">
        <v>2659</v>
      </c>
      <c r="C38" s="2609" t="s">
        <v>3887</v>
      </c>
      <c r="D38" s="435">
        <v>100</v>
      </c>
      <c r="E38" s="2609" t="s">
        <v>3887</v>
      </c>
      <c r="F38" s="461">
        <f>SUMIF(114:114,E38,115:115)-SUMIF(114:114,C38,115:115)+100</f>
        <v>100</v>
      </c>
      <c r="G38" s="2609" t="s">
        <v>3886</v>
      </c>
      <c r="H38" s="435">
        <f>SUMIF(114:114,G38,115:115)-SUMIF(114:114,C38,115:115)+100</f>
        <v>103</v>
      </c>
      <c r="I38" s="2609" t="s">
        <v>3887</v>
      </c>
      <c r="J38" s="435">
        <f>SUMIF(114:114,I38,115:115)-SUMIF(114:114,C38,115:115)+100</f>
        <v>100</v>
      </c>
      <c r="K38" s="612">
        <v>3</v>
      </c>
      <c r="L38" s="1140"/>
      <c r="M38" s="1131"/>
      <c r="N38" s="1131"/>
      <c r="O38" s="1131"/>
      <c r="P38" s="3250" t="s">
        <v>2560</v>
      </c>
      <c r="Q38" s="2943" t="str">
        <f t="shared" si="11"/>
        <v>业态</v>
      </c>
      <c r="R38" s="773" t="s">
        <v>17</v>
      </c>
      <c r="S38" s="774">
        <f t="shared" si="12"/>
        <v>100</v>
      </c>
      <c r="T38" s="773" t="s">
        <v>17</v>
      </c>
      <c r="U38" s="774">
        <f t="shared" si="13"/>
        <v>103</v>
      </c>
      <c r="V38" s="773" t="s">
        <v>17</v>
      </c>
      <c r="W38" s="774">
        <f t="shared" si="14"/>
        <v>100</v>
      </c>
      <c r="X38" s="2945"/>
      <c r="Y38" s="3252" t="s">
        <v>2560</v>
      </c>
      <c r="Z38" s="2946" t="str">
        <f t="shared" si="15"/>
        <v>业态</v>
      </c>
      <c r="AA38" s="2944">
        <f t="shared" si="3"/>
        <v>1</v>
      </c>
      <c r="AB38" s="2944">
        <f t="shared" si="4"/>
        <v>0.970873786407767</v>
      </c>
      <c r="AC38" s="2944">
        <f t="shared" si="5"/>
        <v>1</v>
      </c>
    </row>
    <row r="39" spans="1:29" ht="15">
      <c r="A39" s="472"/>
      <c r="B39" s="2940" t="s">
        <v>2660</v>
      </c>
      <c r="C39" s="2609" t="s">
        <v>3883</v>
      </c>
      <c r="D39" s="435">
        <v>100</v>
      </c>
      <c r="E39" s="2609" t="s">
        <v>3883</v>
      </c>
      <c r="F39" s="461">
        <f>SUMIF(116:116,E39,117:117)-SUMIF(116:116,C39,117:117)+100</f>
        <v>100</v>
      </c>
      <c r="G39" s="2609" t="s">
        <v>3883</v>
      </c>
      <c r="H39" s="435">
        <f>SUMIF(116:116,G39,117:117)-SUMIF(116:116,C39,117:117)+100</f>
        <v>100</v>
      </c>
      <c r="I39" s="2609" t="s">
        <v>3883</v>
      </c>
      <c r="J39" s="435">
        <f>SUMIF(116:116,I39,117:117)-SUMIF(116:116,C39,117:117)+100</f>
        <v>100</v>
      </c>
      <c r="K39" s="612">
        <v>2</v>
      </c>
      <c r="L39" s="1140"/>
      <c r="M39" s="1131">
        <v>30</v>
      </c>
      <c r="N39" s="1131">
        <v>100</v>
      </c>
      <c r="O39" s="1131"/>
      <c r="P39" s="3250"/>
      <c r="Q39" s="2943" t="str">
        <f t="shared" si="11"/>
        <v>层高</v>
      </c>
      <c r="R39" s="773" t="s">
        <v>17</v>
      </c>
      <c r="S39" s="774">
        <f t="shared" si="12"/>
        <v>100</v>
      </c>
      <c r="T39" s="773" t="s">
        <v>17</v>
      </c>
      <c r="U39" s="774">
        <f t="shared" si="13"/>
        <v>100</v>
      </c>
      <c r="V39" s="773" t="s">
        <v>17</v>
      </c>
      <c r="W39" s="774">
        <f t="shared" si="14"/>
        <v>100</v>
      </c>
      <c r="X39" s="2945"/>
      <c r="Y39" s="3252"/>
      <c r="Z39" s="2946" t="str">
        <f t="shared" si="15"/>
        <v>层高</v>
      </c>
      <c r="AA39" s="2944">
        <f t="shared" si="3"/>
        <v>1</v>
      </c>
      <c r="AB39" s="2944">
        <f t="shared" si="4"/>
        <v>1</v>
      </c>
      <c r="AC39" s="2944">
        <f t="shared" si="5"/>
        <v>1</v>
      </c>
    </row>
    <row r="40" spans="1:29" ht="15">
      <c r="A40" s="472"/>
      <c r="B40" s="2940" t="s">
        <v>2661</v>
      </c>
      <c r="C40" s="2983">
        <f>'数据-基础表'!I13</f>
        <v>140.88999999999999</v>
      </c>
      <c r="D40" s="435">
        <v>100</v>
      </c>
      <c r="E40" s="617">
        <v>100</v>
      </c>
      <c r="F40" s="461">
        <f>SUMIF(118:118,E40,119:119)-SUMIF(118:118,C40,119:119)+100</f>
        <v>102</v>
      </c>
      <c r="G40" s="617">
        <v>205</v>
      </c>
      <c r="H40" s="435">
        <f>SUMIF(118:118,G40,119:119)-SUMIF(118:118,C40,119:119)+100</f>
        <v>96</v>
      </c>
      <c r="I40" s="617">
        <v>130</v>
      </c>
      <c r="J40" s="435">
        <f>SUMIF(118:118,I40,119:119)-SUMIF(118:118,C40,119:119)+100</f>
        <v>100</v>
      </c>
      <c r="K40" s="613"/>
      <c r="L40" s="1140"/>
      <c r="M40" s="1131" t="s">
        <v>3894</v>
      </c>
      <c r="N40" s="1131">
        <v>98</v>
      </c>
      <c r="O40" s="1131"/>
      <c r="P40" s="3250"/>
      <c r="Q40" s="2943" t="str">
        <f t="shared" si="11"/>
        <v>单套建筑面积</v>
      </c>
      <c r="R40" s="773" t="s">
        <v>17</v>
      </c>
      <c r="S40" s="774">
        <f t="shared" si="12"/>
        <v>102</v>
      </c>
      <c r="T40" s="773" t="s">
        <v>17</v>
      </c>
      <c r="U40" s="774">
        <f t="shared" si="13"/>
        <v>96</v>
      </c>
      <c r="V40" s="773" t="s">
        <v>17</v>
      </c>
      <c r="W40" s="774">
        <f t="shared" si="14"/>
        <v>100</v>
      </c>
      <c r="X40" s="2945"/>
      <c r="Y40" s="3252"/>
      <c r="Z40" s="2946" t="str">
        <f t="shared" si="15"/>
        <v>单套建筑面积</v>
      </c>
      <c r="AA40" s="2944">
        <f t="shared" si="3"/>
        <v>0.98039215686274506</v>
      </c>
      <c r="AB40" s="2944">
        <f t="shared" si="4"/>
        <v>1.0416666666666667</v>
      </c>
      <c r="AC40" s="2944">
        <f t="shared" si="5"/>
        <v>1</v>
      </c>
    </row>
    <row r="41" spans="1:29" s="471" customFormat="1" ht="15" hidden="1">
      <c r="A41" s="468"/>
      <c r="B41" s="2942"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0"/>
      <c r="Q41" s="775" t="str">
        <f t="shared" si="11"/>
        <v>进深比</v>
      </c>
      <c r="R41" s="776" t="s">
        <v>17</v>
      </c>
      <c r="S41" s="777">
        <f t="shared" si="12"/>
        <v>100</v>
      </c>
      <c r="T41" s="776" t="s">
        <v>17</v>
      </c>
      <c r="U41" s="777">
        <f t="shared" si="13"/>
        <v>100</v>
      </c>
      <c r="V41" s="776" t="s">
        <v>17</v>
      </c>
      <c r="W41" s="777">
        <f t="shared" si="14"/>
        <v>100</v>
      </c>
      <c r="X41" s="778"/>
      <c r="Y41" s="3252"/>
      <c r="Z41" s="779" t="str">
        <f t="shared" si="15"/>
        <v>进深比</v>
      </c>
      <c r="AA41" s="2944">
        <f t="shared" si="3"/>
        <v>1</v>
      </c>
      <c r="AB41" s="2944">
        <f t="shared" si="4"/>
        <v>1</v>
      </c>
      <c r="AC41" s="2944">
        <f t="shared" si="5"/>
        <v>1</v>
      </c>
    </row>
    <row r="42" spans="1:29" ht="15">
      <c r="A42" s="472"/>
      <c r="B42" s="2940" t="s">
        <v>2663</v>
      </c>
      <c r="C42" s="2609" t="s">
        <v>3870</v>
      </c>
      <c r="D42" s="435">
        <v>100</v>
      </c>
      <c r="E42" s="2609" t="s">
        <v>3875</v>
      </c>
      <c r="F42" s="461">
        <f>SUMIF(122:122,E42,123:123)-SUMIF(122:122,C42,123:123)+100</f>
        <v>94</v>
      </c>
      <c r="G42" s="2609" t="s">
        <v>3912</v>
      </c>
      <c r="H42" s="435">
        <f>SUMIF(122:122,G42,123:123)-SUMIF(122:122,C42,123:123)+100</f>
        <v>96</v>
      </c>
      <c r="I42" s="2609" t="s">
        <v>3875</v>
      </c>
      <c r="J42" s="435">
        <f>SUMIF(122:122,I42,123:123)-SUMIF(122:122,C42,123:123)+100</f>
        <v>94</v>
      </c>
      <c r="K42" s="612">
        <v>2</v>
      </c>
      <c r="L42" s="1140"/>
      <c r="M42" s="1131" t="s">
        <v>3895</v>
      </c>
      <c r="N42" s="1131">
        <v>96</v>
      </c>
      <c r="O42" s="1131"/>
      <c r="P42" s="3250"/>
      <c r="Q42" s="2943" t="str">
        <f t="shared" si="11"/>
        <v>内部装修</v>
      </c>
      <c r="R42" s="773" t="s">
        <v>17</v>
      </c>
      <c r="S42" s="774">
        <f t="shared" si="12"/>
        <v>94</v>
      </c>
      <c r="T42" s="773" t="s">
        <v>17</v>
      </c>
      <c r="U42" s="774">
        <f t="shared" si="13"/>
        <v>96</v>
      </c>
      <c r="V42" s="773" t="s">
        <v>17</v>
      </c>
      <c r="W42" s="774">
        <f t="shared" si="14"/>
        <v>94</v>
      </c>
      <c r="X42" s="2945"/>
      <c r="Y42" s="3252"/>
      <c r="Z42" s="2946" t="str">
        <f t="shared" si="15"/>
        <v>内部装修</v>
      </c>
      <c r="AA42" s="2944">
        <f t="shared" si="3"/>
        <v>1.0638297872340425</v>
      </c>
      <c r="AB42" s="2944">
        <f t="shared" si="4"/>
        <v>1.0416666666666667</v>
      </c>
      <c r="AC42" s="2944">
        <f t="shared" si="5"/>
        <v>1.0638297872340425</v>
      </c>
    </row>
    <row r="43" spans="1:29" ht="15.75" thickBot="1">
      <c r="A43" s="472"/>
      <c r="B43" s="2940" t="s">
        <v>2571</v>
      </c>
      <c r="C43" s="2609" t="s">
        <v>3844</v>
      </c>
      <c r="D43" s="435">
        <v>100</v>
      </c>
      <c r="E43" s="2609" t="s">
        <v>3844</v>
      </c>
      <c r="F43" s="461">
        <f>SUMIF(124:124,E43,125:125)-SUMIF(124:124,C43,125:125)+100</f>
        <v>100</v>
      </c>
      <c r="G43" s="2609" t="s">
        <v>3844</v>
      </c>
      <c r="H43" s="435">
        <f>SUMIF(124:124,G43,125:125)-SUMIF(124:124,C43,125:125)+100</f>
        <v>100</v>
      </c>
      <c r="I43" s="2609" t="s">
        <v>3844</v>
      </c>
      <c r="J43" s="435">
        <f>SUMIF(124:124,I43,125:125)-SUMIF(124:124,C43,125:125)+100</f>
        <v>100</v>
      </c>
      <c r="K43" s="612">
        <v>2</v>
      </c>
      <c r="L43" s="1140"/>
      <c r="M43" s="1131" t="s">
        <v>3896</v>
      </c>
      <c r="N43" s="1131">
        <v>94</v>
      </c>
      <c r="O43" s="1131"/>
      <c r="P43" s="3250"/>
      <c r="Q43" s="2943" t="str">
        <f t="shared" si="11"/>
        <v>内部装修维护情况</v>
      </c>
      <c r="R43" s="773" t="s">
        <v>17</v>
      </c>
      <c r="S43" s="774">
        <f t="shared" si="12"/>
        <v>100</v>
      </c>
      <c r="T43" s="773" t="s">
        <v>17</v>
      </c>
      <c r="U43" s="774">
        <f t="shared" si="13"/>
        <v>100</v>
      </c>
      <c r="V43" s="773" t="s">
        <v>17</v>
      </c>
      <c r="W43" s="774">
        <f t="shared" si="14"/>
        <v>100</v>
      </c>
      <c r="X43" s="2945"/>
      <c r="Y43" s="3252"/>
      <c r="Z43" s="2946" t="str">
        <f t="shared" si="15"/>
        <v>内部装修维护情况</v>
      </c>
      <c r="AA43" s="2944">
        <f t="shared" si="3"/>
        <v>1</v>
      </c>
      <c r="AB43" s="2944">
        <f t="shared" si="4"/>
        <v>1</v>
      </c>
      <c r="AC43" s="2944">
        <f t="shared" si="5"/>
        <v>1</v>
      </c>
    </row>
    <row r="44" spans="1:29" s="117" customFormat="1" ht="15.75" hidden="1" thickBot="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0"/>
      <c r="Q44" s="2938">
        <f t="shared" si="11"/>
        <v>111</v>
      </c>
      <c r="R44" s="769" t="s">
        <v>17</v>
      </c>
      <c r="S44" s="770">
        <f t="shared" si="12"/>
        <v>100</v>
      </c>
      <c r="T44" s="769" t="s">
        <v>17</v>
      </c>
      <c r="U44" s="770">
        <f t="shared" si="13"/>
        <v>100</v>
      </c>
      <c r="V44" s="769" t="s">
        <v>17</v>
      </c>
      <c r="W44" s="770">
        <f t="shared" si="14"/>
        <v>100</v>
      </c>
      <c r="X44" s="771"/>
      <c r="Y44" s="3252"/>
      <c r="Z44" s="2939">
        <f t="shared" si="15"/>
        <v>111</v>
      </c>
      <c r="AA44" s="772">
        <f t="shared" si="3"/>
        <v>1</v>
      </c>
      <c r="AB44" s="772">
        <f t="shared" si="4"/>
        <v>1</v>
      </c>
      <c r="AC44" s="772">
        <f t="shared" si="5"/>
        <v>1</v>
      </c>
    </row>
    <row r="45" spans="1:29" ht="15.75" hidden="1" thickBot="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0"/>
      <c r="Q45" s="2943">
        <f t="shared" si="11"/>
        <v>111</v>
      </c>
      <c r="R45" s="773" t="s">
        <v>17</v>
      </c>
      <c r="S45" s="774">
        <f t="shared" si="12"/>
        <v>100</v>
      </c>
      <c r="T45" s="773" t="s">
        <v>17</v>
      </c>
      <c r="U45" s="774">
        <f t="shared" si="13"/>
        <v>100</v>
      </c>
      <c r="V45" s="773" t="s">
        <v>17</v>
      </c>
      <c r="W45" s="774">
        <f t="shared" si="14"/>
        <v>100</v>
      </c>
      <c r="X45" s="2945"/>
      <c r="Y45" s="3252"/>
      <c r="Z45" s="2946">
        <f t="shared" si="15"/>
        <v>111</v>
      </c>
      <c r="AA45" s="2944">
        <f t="shared" si="3"/>
        <v>1</v>
      </c>
      <c r="AB45" s="2944">
        <f t="shared" si="4"/>
        <v>1</v>
      </c>
      <c r="AC45" s="2944">
        <f t="shared" si="5"/>
        <v>1</v>
      </c>
    </row>
    <row r="46" spans="1:29" ht="15.75" hidden="1"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1"/>
      <c r="Q46" s="2943">
        <f t="shared" si="11"/>
        <v>111</v>
      </c>
      <c r="R46" s="773" t="s">
        <v>17</v>
      </c>
      <c r="S46" s="774">
        <f t="shared" si="12"/>
        <v>100</v>
      </c>
      <c r="T46" s="773" t="s">
        <v>17</v>
      </c>
      <c r="U46" s="774">
        <f t="shared" si="13"/>
        <v>100</v>
      </c>
      <c r="V46" s="773" t="s">
        <v>17</v>
      </c>
      <c r="W46" s="774">
        <f t="shared" si="14"/>
        <v>100</v>
      </c>
      <c r="X46" s="2945"/>
      <c r="Y46" s="3253"/>
      <c r="Z46" s="2946">
        <f t="shared" si="15"/>
        <v>111</v>
      </c>
      <c r="AA46" s="2944">
        <f t="shared" si="3"/>
        <v>1</v>
      </c>
      <c r="AB46" s="2944">
        <f t="shared" si="4"/>
        <v>1</v>
      </c>
      <c r="AC46" s="2944">
        <f t="shared" si="5"/>
        <v>1</v>
      </c>
    </row>
    <row r="47" spans="1:29" ht="15">
      <c r="A47" s="479" t="s">
        <v>2572</v>
      </c>
      <c r="B47" s="480"/>
      <c r="C47" s="1407" t="s">
        <v>1</v>
      </c>
      <c r="D47" s="1408"/>
      <c r="E47" s="1409">
        <v>7</v>
      </c>
      <c r="F47" s="1410"/>
      <c r="G47" s="1411">
        <v>6</v>
      </c>
      <c r="H47" s="1412"/>
      <c r="I47" s="1409">
        <v>7</v>
      </c>
      <c r="J47" s="1412"/>
      <c r="K47" s="782"/>
      <c r="L47" s="1143"/>
      <c r="M47" s="1144" t="s">
        <v>3897</v>
      </c>
      <c r="N47" s="1131">
        <v>92</v>
      </c>
      <c r="O47" s="1144"/>
      <c r="P47" s="3254" t="str">
        <f>A47</f>
        <v>成交单价（元/平方米）</v>
      </c>
      <c r="Q47" s="3254"/>
      <c r="R47" s="3216">
        <f>E47</f>
        <v>7</v>
      </c>
      <c r="S47" s="3216"/>
      <c r="T47" s="3216">
        <f>G47</f>
        <v>6</v>
      </c>
      <c r="U47" s="3216"/>
      <c r="V47" s="3216">
        <f>I47</f>
        <v>7</v>
      </c>
      <c r="W47" s="3216"/>
      <c r="X47" s="758"/>
      <c r="Y47" s="780"/>
      <c r="Z47" s="758"/>
      <c r="AA47" s="758"/>
      <c r="AB47" s="758"/>
      <c r="AC47" s="758"/>
    </row>
    <row r="48" spans="1:29" ht="15.75" thickBot="1">
      <c r="A48" s="486" t="s">
        <v>2573</v>
      </c>
      <c r="B48" s="487"/>
      <c r="C48" s="1413">
        <f>R49</f>
        <v>7.2</v>
      </c>
      <c r="D48" s="1414"/>
      <c r="E48" s="1415">
        <f>R48</f>
        <v>7.3</v>
      </c>
      <c r="F48" s="1415"/>
      <c r="G48" s="1413">
        <f>T48</f>
        <v>6.9</v>
      </c>
      <c r="H48" s="1414"/>
      <c r="I48" s="1415">
        <f>V48</f>
        <v>7.5</v>
      </c>
      <c r="J48" s="1414"/>
      <c r="K48" s="783"/>
      <c r="L48" s="1143"/>
      <c r="M48" s="1144" t="s">
        <v>3898</v>
      </c>
      <c r="N48" s="1131">
        <v>90</v>
      </c>
      <c r="O48" s="1144"/>
      <c r="P48" s="3254" t="str">
        <f>A48</f>
        <v>比较价值（元/平方米）</v>
      </c>
      <c r="Q48" s="3254"/>
      <c r="R48" s="3255">
        <f>IF(F1="售价",ROUND(PRODUCT(R47,AA7:AA46),0),ROUND(PRODUCT(R47,AA7:AA46),1))</f>
        <v>7.3</v>
      </c>
      <c r="S48" s="3255"/>
      <c r="T48" s="3255">
        <f>IF(F1="售价",ROUND(PRODUCT(T47,AB7:AB46),0),ROUND(PRODUCT(T47,AB7:AB46),1))</f>
        <v>6.9</v>
      </c>
      <c r="U48" s="3255"/>
      <c r="V48" s="3255">
        <f>IF(F1="售价",ROUND(PRODUCT(V47,AC7:AC46),0),ROUND(PRODUCT(V47,AC7:AC46),1))</f>
        <v>7.5</v>
      </c>
      <c r="W48" s="3255"/>
      <c r="X48" s="758"/>
      <c r="Y48" s="758"/>
      <c r="Z48" s="758"/>
      <c r="AA48" s="758"/>
      <c r="AB48" s="758"/>
      <c r="AC48" s="758"/>
    </row>
    <row r="49" spans="1:29" ht="15.75" thickBot="1">
      <c r="A49" s="492" t="s">
        <v>2574</v>
      </c>
      <c r="B49" s="493"/>
      <c r="C49" s="1417">
        <f>R49</f>
        <v>7.2</v>
      </c>
      <c r="D49" s="1417"/>
      <c r="E49" s="1417"/>
      <c r="F49" s="1417"/>
      <c r="G49" s="1417"/>
      <c r="H49" s="1417"/>
      <c r="I49" s="1417"/>
      <c r="J49" s="1417"/>
      <c r="K49" s="784"/>
      <c r="L49" s="1143"/>
      <c r="M49" s="1144" t="s">
        <v>3899</v>
      </c>
      <c r="N49" s="1131">
        <v>88</v>
      </c>
      <c r="O49" s="1144"/>
      <c r="P49" s="3256" t="str">
        <f>A49</f>
        <v>估价对象XX用房的比较价值（楼面单价，元/平方米）</v>
      </c>
      <c r="Q49" s="3257"/>
      <c r="R49" s="3258">
        <f>IF(F1="售价",ROUND(AVERAGE(R48:V48),0),ROUND(AVERAGE(R48:V48),1))</f>
        <v>7.2</v>
      </c>
      <c r="S49" s="3258"/>
      <c r="T49" s="3258"/>
      <c r="U49" s="3258"/>
      <c r="V49" s="3258"/>
      <c r="W49" s="3258"/>
      <c r="X49" s="758"/>
      <c r="Y49" s="758"/>
      <c r="Z49" s="758"/>
      <c r="AA49" s="758"/>
      <c r="AB49" s="758"/>
      <c r="AC49" s="758"/>
    </row>
    <row r="50" spans="1:29">
      <c r="A50" s="1144"/>
      <c r="B50" s="1144"/>
      <c r="C50" s="1144"/>
      <c r="D50" s="1144"/>
      <c r="E50" s="1144"/>
      <c r="F50" s="1144"/>
      <c r="G50" s="1147"/>
      <c r="H50" s="1144"/>
      <c r="I50" s="1144"/>
      <c r="J50" s="1144"/>
      <c r="K50" s="1107"/>
      <c r="L50" s="1108"/>
      <c r="M50" s="1144" t="s">
        <v>3900</v>
      </c>
      <c r="N50" s="1144">
        <v>86</v>
      </c>
      <c r="O50" s="1144"/>
      <c r="P50" s="674"/>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7"/>
      <c r="L51" s="1108"/>
      <c r="M51" s="1144" t="s">
        <v>3901</v>
      </c>
      <c r="N51" s="1144">
        <v>84</v>
      </c>
      <c r="O51" s="1144"/>
      <c r="P51" s="674"/>
      <c r="Q51" s="758"/>
      <c r="R51" s="758"/>
      <c r="S51" s="758"/>
      <c r="T51" s="758"/>
      <c r="U51" s="758"/>
      <c r="V51" s="758"/>
      <c r="W51" s="758"/>
      <c r="X51" s="758"/>
      <c r="Y51" s="758"/>
      <c r="Z51" s="758"/>
      <c r="AA51" s="758"/>
      <c r="AB51" s="758"/>
      <c r="AC51" s="758"/>
    </row>
    <row r="52" spans="1:29" ht="13.5" customHeight="1">
      <c r="A52" s="1144"/>
      <c r="B52" s="1144"/>
      <c r="C52" s="497" t="s">
        <v>2575</v>
      </c>
      <c r="D52" s="498"/>
      <c r="E52" s="499">
        <f>IF(E47&lt;E48,E48/E47-1,E47/E48-1)</f>
        <v>4.2857142857142927E-2</v>
      </c>
      <c r="F52" s="500" t="str">
        <f>IF(OR(E52&gt;=0.3,E52&lt;=-0.3),"超过30%","")</f>
        <v/>
      </c>
      <c r="G52" s="499">
        <f>IF(G47&lt;G48,G48/G47-1,G47/G48-1)</f>
        <v>0.15000000000000013</v>
      </c>
      <c r="H52" s="500" t="str">
        <f>IF(OR(G52&gt;=0.3,G52&lt;=-0.3),"超过30%","")</f>
        <v/>
      </c>
      <c r="I52" s="499">
        <f>IF(I47&lt;I48,I48/I47-1,I47/I48-1)</f>
        <v>7.1428571428571397E-2</v>
      </c>
      <c r="J52" s="500" t="str">
        <f>IF(OR(I52&gt;=0.3,I52&lt;=-0.3),"超过30%","")</f>
        <v/>
      </c>
      <c r="K52" s="1107"/>
      <c r="L52" s="1108"/>
      <c r="M52" s="1144"/>
      <c r="N52" s="1144"/>
      <c r="O52" s="1144"/>
      <c r="P52" s="674"/>
      <c r="Q52" s="758"/>
      <c r="R52" s="758"/>
      <c r="S52" s="758"/>
      <c r="T52" s="758"/>
      <c r="U52" s="758"/>
      <c r="V52" s="758"/>
      <c r="W52" s="758"/>
      <c r="X52" s="758"/>
      <c r="Y52" s="758"/>
      <c r="Z52" s="758"/>
      <c r="AA52" s="758"/>
      <c r="AB52" s="758"/>
      <c r="AC52" s="758"/>
    </row>
    <row r="53" spans="1:29" ht="13.5" customHeight="1">
      <c r="A53" s="1144"/>
      <c r="B53" s="1144"/>
      <c r="C53" s="497" t="s">
        <v>2576</v>
      </c>
      <c r="D53" s="501"/>
      <c r="E53" s="499">
        <f>IF(E48&lt;G48,G48/E48-1,E48/G48-1)</f>
        <v>5.7971014492753437E-2</v>
      </c>
      <c r="F53" s="500" t="str">
        <f>IF(OR(E53&gt;=0.2,E53&lt;=-0.2),"超过20%","")</f>
        <v/>
      </c>
      <c r="G53" s="499">
        <f>IF(G48&lt;I48,I48/G48-1,G48/I48-1)</f>
        <v>8.6956521739130377E-2</v>
      </c>
      <c r="H53" s="500" t="str">
        <f>IF(OR(G53&gt;=0.2,G53&lt;=-0.2),"超过20%","")</f>
        <v/>
      </c>
      <c r="I53" s="499">
        <f>IF(I48&lt;E48,E48/I48-1,I48/E48-1)</f>
        <v>2.7397260273972712E-2</v>
      </c>
      <c r="J53" s="500" t="str">
        <f>IF(OR(I53&gt;=0.2,I53&lt;=-0.2),"超过20%","")</f>
        <v/>
      </c>
      <c r="K53" s="1107"/>
      <c r="L53" s="1108"/>
      <c r="M53" s="1144"/>
      <c r="N53" s="1144"/>
      <c r="O53" s="1144"/>
      <c r="P53" s="674"/>
      <c r="Q53" s="758"/>
      <c r="R53" s="758"/>
      <c r="S53" s="758"/>
      <c r="T53" s="758"/>
      <c r="U53" s="758"/>
      <c r="V53" s="758"/>
      <c r="W53" s="758"/>
      <c r="X53" s="758"/>
      <c r="Y53" s="758"/>
      <c r="Z53" s="758"/>
      <c r="AA53" s="758"/>
      <c r="AB53" s="758"/>
      <c r="AC53" s="758"/>
    </row>
    <row r="54" spans="1:29" s="502" customFormat="1" ht="13.5" customHeight="1">
      <c r="A54" s="1145"/>
      <c r="B54" s="1145"/>
      <c r="C54" s="497" t="s">
        <v>2577</v>
      </c>
      <c r="D54" s="501"/>
      <c r="E54" s="499">
        <f>IF(E47&lt;G47,G47/E47-1,E47/G47-1)</f>
        <v>0.16666666666666674</v>
      </c>
      <c r="F54" s="500" t="str">
        <f>IF(OR(E54&gt;=0.3,E54&lt;=-0.3),"超过30%","")</f>
        <v/>
      </c>
      <c r="G54" s="499">
        <f>IF(G47&lt;I47,I47/G47-1,G47/I47-1)</f>
        <v>0.16666666666666674</v>
      </c>
      <c r="H54" s="500" t="str">
        <f>IF(OR(G54&gt;=0.3,G54&lt;=-0.3),"超过30%","")</f>
        <v/>
      </c>
      <c r="I54" s="499">
        <f>IF(I47&lt;E47,E47/I47-1,I47/E47-1)</f>
        <v>0</v>
      </c>
      <c r="J54" s="500" t="str">
        <f>IF(OR(I54&gt;=0.3,I54&lt;=-0.3),"超过30%","")</f>
        <v/>
      </c>
      <c r="K54" s="1148"/>
      <c r="L54" s="1149"/>
      <c r="M54" s="1145"/>
      <c r="N54" s="1145"/>
      <c r="O54" s="1145"/>
      <c r="P54" s="2662"/>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2"/>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7"/>
      <c r="L56" s="1108"/>
      <c r="M56" s="1144"/>
      <c r="N56" s="1144"/>
      <c r="O56" s="1144"/>
      <c r="P56" s="674"/>
      <c r="Q56" s="758"/>
      <c r="R56" s="758"/>
      <c r="S56" s="758"/>
      <c r="T56" s="758"/>
      <c r="U56" s="758"/>
      <c r="V56" s="758"/>
      <c r="W56" s="758"/>
      <c r="X56" s="758"/>
      <c r="Y56" s="758"/>
      <c r="Z56" s="758"/>
      <c r="AA56" s="758"/>
      <c r="AB56" s="758"/>
      <c r="AC56" s="758"/>
    </row>
    <row r="57" spans="1:29" ht="21.75" thickBot="1">
      <c r="A57" s="762" t="s">
        <v>2578</v>
      </c>
      <c r="B57" s="758"/>
      <c r="C57" s="763"/>
      <c r="D57" s="763"/>
      <c r="E57" s="763"/>
      <c r="F57" s="764"/>
      <c r="G57" s="764"/>
      <c r="H57" s="763"/>
      <c r="I57" s="763"/>
      <c r="J57" s="763"/>
      <c r="K57" s="765"/>
      <c r="L57" s="1161"/>
      <c r="M57" s="1159"/>
      <c r="N57" s="1159"/>
      <c r="O57" s="1159"/>
      <c r="P57" s="2663"/>
      <c r="Q57" s="2664"/>
      <c r="R57" s="758"/>
      <c r="S57" s="758"/>
      <c r="T57" s="758"/>
      <c r="U57" s="758"/>
      <c r="V57" s="758"/>
      <c r="W57" s="758"/>
      <c r="X57" s="758"/>
      <c r="Y57" s="758"/>
      <c r="Z57" s="758"/>
      <c r="AA57" s="758"/>
      <c r="AB57" s="758"/>
      <c r="AC57" s="758"/>
    </row>
    <row r="58" spans="1:29" s="508" customFormat="1" ht="15">
      <c r="A58" s="505" t="s">
        <v>2543</v>
      </c>
      <c r="B58" s="506"/>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2545</v>
      </c>
      <c r="B61" s="510"/>
      <c r="C61" s="522" t="s">
        <v>2582</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2583</v>
      </c>
      <c r="B63" s="528" t="s">
        <v>2549</v>
      </c>
      <c r="C63" s="529" t="str">
        <f>C9</f>
        <v>商业</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6"/>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6"/>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3"/>
      <c r="O67" s="1153"/>
      <c r="P67" s="2626"/>
      <c r="Q67" s="504"/>
    </row>
    <row r="68" spans="1:17" ht="15">
      <c r="A68" s="534"/>
      <c r="B68" s="548"/>
      <c r="C68" s="549">
        <v>0</v>
      </c>
      <c r="D68" s="549">
        <v>1</v>
      </c>
      <c r="E68" s="549">
        <v>2</v>
      </c>
      <c r="F68" s="549">
        <v>3</v>
      </c>
      <c r="G68" s="549">
        <v>4</v>
      </c>
      <c r="H68" s="549">
        <v>5</v>
      </c>
      <c r="I68" s="549">
        <v>6</v>
      </c>
      <c r="J68" s="549">
        <v>7</v>
      </c>
      <c r="K68" s="550">
        <v>8</v>
      </c>
      <c r="L68" s="551">
        <v>9</v>
      </c>
      <c r="M68" s="552">
        <v>10</v>
      </c>
      <c r="N68" s="1152"/>
      <c r="O68" s="1152"/>
      <c r="P68" s="2626"/>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0"/>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6"/>
      <c r="Q81" s="504"/>
    </row>
    <row r="82" spans="1:17" ht="15.75" thickTop="1">
      <c r="A82" s="534"/>
      <c r="B82" s="546" t="s">
        <v>2650</v>
      </c>
      <c r="C82" s="659" t="s">
        <v>2670</v>
      </c>
      <c r="D82" s="659" t="s">
        <v>2671</v>
      </c>
      <c r="E82" s="659" t="s">
        <v>2672</v>
      </c>
      <c r="F82" s="659" t="s">
        <v>2673</v>
      </c>
      <c r="G82" s="659" t="s">
        <v>2674</v>
      </c>
      <c r="H82" s="539"/>
      <c r="I82" s="539"/>
      <c r="J82" s="539"/>
      <c r="K82" s="539"/>
      <c r="L82" s="539"/>
      <c r="M82" s="1382"/>
      <c r="N82" s="1153"/>
      <c r="O82" s="1153"/>
      <c r="P82" s="2626"/>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3"/>
      <c r="O83" s="1153"/>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6"/>
      <c r="Q85" s="504"/>
    </row>
    <row r="86" spans="1:17" s="117" customFormat="1" ht="15.75" thickTop="1">
      <c r="A86" s="579"/>
      <c r="B86" s="538" t="s">
        <v>2675</v>
      </c>
      <c r="C86" s="2978" t="s">
        <v>3846</v>
      </c>
      <c r="D86" s="2978" t="s">
        <v>3848</v>
      </c>
      <c r="E86" s="2978" t="s">
        <v>3850</v>
      </c>
      <c r="F86" s="2978" t="s">
        <v>3851</v>
      </c>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6"/>
      <c r="Q87" s="504"/>
    </row>
    <row r="88" spans="1:17" s="117" customFormat="1" ht="15.75" thickTop="1">
      <c r="A88" s="579"/>
      <c r="B88" s="538" t="str">
        <f>B26</f>
        <v>平面位置/可视性</v>
      </c>
      <c r="C88" s="2978" t="s">
        <v>3852</v>
      </c>
      <c r="D88" s="2978" t="s">
        <v>3853</v>
      </c>
      <c r="E88" s="2978" t="s">
        <v>3854</v>
      </c>
      <c r="F88" s="2979" t="s">
        <v>3855</v>
      </c>
      <c r="G88" s="2978" t="s">
        <v>3856</v>
      </c>
      <c r="H88" s="554"/>
      <c r="I88" s="554"/>
      <c r="J88" s="554"/>
      <c r="K88" s="554"/>
      <c r="L88" s="554"/>
      <c r="M88" s="581"/>
      <c r="N88" s="1151"/>
      <c r="O88" s="1151"/>
      <c r="P88" s="2626"/>
      <c r="Q88" s="504"/>
    </row>
    <row r="89" spans="1:17" s="117" customFormat="1" ht="15.75" thickBot="1">
      <c r="A89" s="579"/>
      <c r="B89" s="543"/>
      <c r="C89" s="560">
        <v>100</v>
      </c>
      <c r="D89" s="536">
        <v>97</v>
      </c>
      <c r="E89" s="536">
        <v>94</v>
      </c>
      <c r="F89" s="536">
        <v>91</v>
      </c>
      <c r="G89" s="536">
        <v>88</v>
      </c>
      <c r="H89" s="536"/>
      <c r="I89" s="536"/>
      <c r="J89" s="536"/>
      <c r="K89" s="536"/>
      <c r="L89" s="536"/>
      <c r="M89" s="536"/>
      <c r="N89" s="1153"/>
      <c r="O89" s="1153"/>
      <c r="P89" s="2626"/>
      <c r="Q89" s="504"/>
    </row>
    <row r="90" spans="1:17" s="471" customFormat="1" ht="15.75" thickTop="1">
      <c r="A90" s="553"/>
      <c r="B90" s="538" t="str">
        <f>B27</f>
        <v>人流量</v>
      </c>
      <c r="C90" s="2978" t="s">
        <v>3857</v>
      </c>
      <c r="D90" s="2978" t="s">
        <v>3858</v>
      </c>
      <c r="E90" s="2978" t="s">
        <v>3854</v>
      </c>
      <c r="F90" s="2978" t="s">
        <v>3859</v>
      </c>
      <c r="G90" s="2978" t="s">
        <v>3860</v>
      </c>
      <c r="H90" s="555"/>
      <c r="I90" s="555"/>
      <c r="J90" s="555"/>
      <c r="K90" s="555"/>
      <c r="L90" s="556"/>
      <c r="M90" s="557"/>
      <c r="N90" s="1154"/>
      <c r="O90" s="1154"/>
      <c r="P90" s="2627"/>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7"/>
      <c r="Q91" s="559"/>
    </row>
    <row r="92" spans="1:17" ht="15.75" thickTop="1">
      <c r="A92" s="534"/>
      <c r="B92" s="538" t="str">
        <f>B28</f>
        <v>楼层</v>
      </c>
      <c r="C92" s="554" t="s">
        <v>3861</v>
      </c>
      <c r="D92" s="554"/>
      <c r="E92" s="554"/>
      <c r="F92" s="554"/>
      <c r="G92" s="554"/>
      <c r="H92" s="554"/>
      <c r="I92" s="554"/>
      <c r="J92" s="554"/>
      <c r="K92" s="554"/>
      <c r="L92" s="580"/>
      <c r="M92" s="581"/>
      <c r="N92" s="1152"/>
      <c r="O92" s="1152"/>
      <c r="P92" s="2626"/>
      <c r="Q92" s="504"/>
    </row>
    <row r="93" spans="1:17" ht="15.75" thickBot="1">
      <c r="A93" s="534"/>
      <c r="B93" s="543"/>
      <c r="C93" s="536">
        <v>100</v>
      </c>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2558</v>
      </c>
      <c r="B100" s="528" t="s">
        <v>2676</v>
      </c>
      <c r="C100" s="2981" t="s">
        <v>3863</v>
      </c>
      <c r="D100" s="2981" t="s">
        <v>735</v>
      </c>
      <c r="E100" s="2981" t="s">
        <v>3865</v>
      </c>
      <c r="F100" s="2981" t="s">
        <v>3866</v>
      </c>
      <c r="G100" s="2981" t="s">
        <v>3867</v>
      </c>
      <c r="H100" s="530"/>
      <c r="I100" s="530"/>
      <c r="J100" s="530"/>
      <c r="K100" s="531"/>
      <c r="L100" s="532"/>
      <c r="M100" s="533"/>
      <c r="N100" s="1152"/>
      <c r="O100" s="1152"/>
      <c r="P100" s="262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6"/>
      <c r="Q101" s="504"/>
    </row>
    <row r="102" spans="1:17" ht="29.25" thickTop="1">
      <c r="A102" s="534"/>
      <c r="B102" s="538" t="s">
        <v>2608</v>
      </c>
      <c r="C102" s="578" t="str">
        <f>C103&amp;"(含)"&amp;"-"&amp;D103</f>
        <v>0(含)-50000</v>
      </c>
      <c r="D102" s="578" t="str">
        <f t="shared" ref="D102:L102" si="23">D103&amp;"(含)"&amp;"-"&amp;E103</f>
        <v>50000(含)-100000</v>
      </c>
      <c r="E102" s="578" t="str">
        <f t="shared" si="23"/>
        <v>100000(含)-150000</v>
      </c>
      <c r="F102" s="578" t="str">
        <f t="shared" si="23"/>
        <v>150000(含)-200000</v>
      </c>
      <c r="G102" s="578" t="str">
        <f t="shared" si="23"/>
        <v>200000(含)-400000</v>
      </c>
      <c r="H102" s="578" t="str">
        <f t="shared" si="23"/>
        <v>400000(含)-600000</v>
      </c>
      <c r="I102" s="578" t="str">
        <f t="shared" si="23"/>
        <v>600000(含)-800000</v>
      </c>
      <c r="J102" s="578" t="str">
        <f t="shared" si="23"/>
        <v>800000(含)-1000000</v>
      </c>
      <c r="K102" s="578" t="str">
        <f t="shared" si="23"/>
        <v>1000000(含)-</v>
      </c>
      <c r="L102" s="578" t="str">
        <f t="shared" si="23"/>
        <v>(含)-</v>
      </c>
      <c r="M102" s="621" t="str">
        <f>M103&amp;"(含)"&amp;"-"&amp;P103</f>
        <v>(含)-</v>
      </c>
      <c r="N102" s="1151"/>
      <c r="O102" s="1151"/>
      <c r="P102" s="2626"/>
      <c r="Q102" s="504"/>
    </row>
    <row r="103" spans="1:17" s="471" customFormat="1">
      <c r="A103" s="593"/>
      <c r="B103" s="594"/>
      <c r="C103" s="595">
        <v>0</v>
      </c>
      <c r="D103" s="595">
        <v>50000</v>
      </c>
      <c r="E103" s="595">
        <v>100000</v>
      </c>
      <c r="F103" s="595">
        <v>150000</v>
      </c>
      <c r="G103" s="595">
        <v>200000</v>
      </c>
      <c r="H103" s="595">
        <v>400000</v>
      </c>
      <c r="I103" s="595">
        <v>600000</v>
      </c>
      <c r="J103" s="596">
        <v>800000</v>
      </c>
      <c r="K103" s="596">
        <v>1000000</v>
      </c>
      <c r="L103" s="597"/>
      <c r="M103" s="598"/>
      <c r="N103" s="1154"/>
      <c r="O103" s="1154"/>
      <c r="P103" s="2627"/>
      <c r="Q103" s="559"/>
    </row>
    <row r="104" spans="1:17" s="471" customFormat="1" ht="15.75" thickBot="1">
      <c r="A104" s="553"/>
      <c r="B104" s="543"/>
      <c r="C104" s="560">
        <v>100</v>
      </c>
      <c r="D104" s="536">
        <v>102</v>
      </c>
      <c r="E104" s="536">
        <v>104</v>
      </c>
      <c r="F104" s="536">
        <v>106</v>
      </c>
      <c r="G104" s="536">
        <v>108</v>
      </c>
      <c r="H104" s="536">
        <v>110</v>
      </c>
      <c r="I104" s="536">
        <v>112</v>
      </c>
      <c r="J104" s="536">
        <v>114</v>
      </c>
      <c r="K104" s="536">
        <v>116</v>
      </c>
      <c r="L104" s="536"/>
      <c r="M104" s="537"/>
      <c r="N104" s="1153"/>
      <c r="O104" s="1153"/>
      <c r="P104" s="2627"/>
      <c r="Q104" s="559"/>
    </row>
    <row r="105" spans="1:17" ht="15" thickTop="1">
      <c r="A105" s="599"/>
      <c r="B105" s="538" t="s">
        <v>2609</v>
      </c>
      <c r="C105" s="2978" t="s">
        <v>3868</v>
      </c>
      <c r="D105" s="2978" t="s">
        <v>3869</v>
      </c>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6"/>
      <c r="Q106" s="504"/>
    </row>
    <row r="107" spans="1:17" ht="15" thickTop="1">
      <c r="A107" s="599"/>
      <c r="B107" s="538" t="s">
        <v>2611</v>
      </c>
      <c r="C107" s="2978" t="s">
        <v>3871</v>
      </c>
      <c r="D107" s="2978" t="s">
        <v>3873</v>
      </c>
      <c r="E107" s="2978" t="s">
        <v>3874</v>
      </c>
      <c r="F107" s="2982" t="s">
        <v>3876</v>
      </c>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2"/>
      <c r="J110" s="622"/>
      <c r="K110" s="623"/>
      <c r="L110" s="624"/>
      <c r="M110" s="625"/>
      <c r="N110" s="1152"/>
      <c r="O110" s="1152"/>
      <c r="P110" s="2626"/>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6"/>
      <c r="Q111" s="504"/>
    </row>
    <row r="112" spans="1:17" s="471" customFormat="1" ht="15" thickTop="1">
      <c r="A112" s="593"/>
      <c r="B112" s="538" t="s">
        <v>2613</v>
      </c>
      <c r="C112" s="2978" t="s">
        <v>3877</v>
      </c>
      <c r="D112" s="2978" t="s">
        <v>3878</v>
      </c>
      <c r="E112" s="2978" t="s">
        <v>3880</v>
      </c>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27"/>
      <c r="Q113" s="559"/>
    </row>
    <row r="114" spans="1:17" ht="15" thickTop="1">
      <c r="A114" s="599"/>
      <c r="B114" s="538" t="s">
        <v>2677</v>
      </c>
      <c r="C114" s="2978" t="s">
        <v>3881</v>
      </c>
      <c r="D114" s="2978" t="s">
        <v>3882</v>
      </c>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97</v>
      </c>
      <c r="E115" s="544">
        <f t="shared" si="28"/>
        <v>94</v>
      </c>
      <c r="F115" s="544">
        <f t="shared" si="28"/>
        <v>91</v>
      </c>
      <c r="G115" s="544">
        <f t="shared" si="28"/>
        <v>88</v>
      </c>
      <c r="H115" s="544">
        <f t="shared" si="28"/>
        <v>85</v>
      </c>
      <c r="I115" s="544">
        <f t="shared" si="28"/>
        <v>82</v>
      </c>
      <c r="J115" s="544">
        <f t="shared" si="28"/>
        <v>79</v>
      </c>
      <c r="K115" s="544">
        <f t="shared" si="28"/>
        <v>76</v>
      </c>
      <c r="L115" s="544">
        <f t="shared" si="28"/>
        <v>73</v>
      </c>
      <c r="M115" s="545">
        <f t="shared" si="28"/>
        <v>70</v>
      </c>
      <c r="N115" s="1153"/>
      <c r="O115" s="1153"/>
      <c r="P115" s="2626"/>
      <c r="Q115" s="504"/>
    </row>
    <row r="116" spans="1:17" ht="15" thickTop="1">
      <c r="A116" s="599"/>
      <c r="B116" s="538" t="s">
        <v>2678</v>
      </c>
      <c r="C116" s="2978" t="s">
        <v>3884</v>
      </c>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6"/>
      <c r="Q117" s="504"/>
    </row>
    <row r="118" spans="1:17" ht="15" thickTop="1">
      <c r="A118" s="599"/>
      <c r="B118" s="538" t="s">
        <v>2679</v>
      </c>
      <c r="C118" s="2984">
        <f>C40</f>
        <v>140.88999999999999</v>
      </c>
      <c r="D118" s="626">
        <f>E40</f>
        <v>100</v>
      </c>
      <c r="E118" s="626">
        <f>G40</f>
        <v>205</v>
      </c>
      <c r="F118" s="626">
        <f>I40</f>
        <v>130</v>
      </c>
      <c r="G118" s="626"/>
      <c r="H118" s="555"/>
      <c r="I118" s="555"/>
      <c r="J118" s="555"/>
      <c r="K118" s="555"/>
      <c r="L118" s="556"/>
      <c r="M118" s="557"/>
      <c r="N118" s="1152"/>
      <c r="O118" s="1152"/>
      <c r="P118" s="2626"/>
      <c r="Q118" s="504"/>
    </row>
    <row r="119" spans="1:17" ht="15.75" thickBot="1">
      <c r="A119" s="534"/>
      <c r="B119" s="543"/>
      <c r="C119" s="560">
        <f>N47</f>
        <v>92</v>
      </c>
      <c r="D119" s="536">
        <f>N43</f>
        <v>94</v>
      </c>
      <c r="E119" s="536">
        <f>N49</f>
        <v>88</v>
      </c>
      <c r="F119" s="536">
        <f>N47</f>
        <v>92</v>
      </c>
      <c r="G119" s="536"/>
      <c r="H119" s="536"/>
      <c r="I119" s="536"/>
      <c r="J119" s="536"/>
      <c r="K119" s="536"/>
      <c r="L119" s="536"/>
      <c r="M119" s="537"/>
      <c r="N119" s="1153"/>
      <c r="O119" s="1153"/>
      <c r="P119" s="2626"/>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2615</v>
      </c>
      <c r="C122" s="2978" t="s">
        <v>3871</v>
      </c>
      <c r="D122" s="2978" t="s">
        <v>3873</v>
      </c>
      <c r="E122" s="2978" t="s">
        <v>3874</v>
      </c>
      <c r="F122" s="2982" t="s">
        <v>3876</v>
      </c>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2 H52">
    <cfRule type="containsText" dxfId="132" priority="16"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1"/>
      <c r="C1" s="1835"/>
      <c r="D1" s="1818"/>
      <c r="E1" s="1819" t="s">
        <v>1387</v>
      </c>
      <c r="F1" s="1283" t="b">
        <f>J53</f>
        <v>0</v>
      </c>
      <c r="G1" s="1834">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t="e">
        <f ca="1">C40+J29+L46</f>
        <v>#DIV/0!</v>
      </c>
      <c r="C2" s="1843" t="s">
        <v>1516</v>
      </c>
      <c r="D2" s="1843"/>
      <c r="E2" s="1844"/>
      <c r="F2" s="1845"/>
      <c r="G2" s="1846"/>
      <c r="H2" s="1838"/>
      <c r="I2" s="1838"/>
      <c r="J2" s="1838"/>
      <c r="K2" s="1839"/>
      <c r="L2" s="1838"/>
      <c r="M2" s="1838"/>
    </row>
    <row r="3" spans="1:37" ht="18" customHeight="1" thickBot="1">
      <c r="A3" s="1847" t="s">
        <v>1517</v>
      </c>
      <c r="B3" s="1848">
        <f ca="1">IF(ISERROR(B2*10000/F43),0,ROUND(B2*10000/F43,0))</f>
        <v>0</v>
      </c>
      <c r="C3" s="1843" t="s">
        <v>1518</v>
      </c>
      <c r="D3" s="1843"/>
      <c r="E3" s="1844"/>
      <c r="F3" s="1845"/>
      <c r="G3" s="1846"/>
      <c r="H3" s="743"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0</v>
      </c>
      <c r="D5" s="1820" t="s">
        <v>1402</v>
      </c>
      <c r="E5" s="1293"/>
      <c r="F5" s="1294"/>
      <c r="G5" s="1849"/>
      <c r="H5" s="344">
        <v>1</v>
      </c>
      <c r="I5" s="345" t="s">
        <v>1401</v>
      </c>
      <c r="J5" s="1292">
        <f ca="1">J6+J10+J12</f>
        <v>0</v>
      </c>
      <c r="K5" s="1820" t="s">
        <v>1402</v>
      </c>
      <c r="L5" s="1293"/>
      <c r="M5" s="1294"/>
    </row>
    <row r="6" spans="1:37" ht="18" customHeight="1">
      <c r="A6" s="1291" t="s">
        <v>1035</v>
      </c>
      <c r="B6" s="3261" t="s">
        <v>1403</v>
      </c>
      <c r="C6" s="1296">
        <f ca="1">ROUND(F6*F8*F7*(1-F9)/10000,0)</f>
        <v>0</v>
      </c>
      <c r="D6" s="164" t="s">
        <v>3024</v>
      </c>
      <c r="E6" s="347" t="s">
        <v>1405</v>
      </c>
      <c r="F6" s="348">
        <f ca="1">INDIRECT("'数据-取费表'!u"&amp;$G$1)</f>
        <v>0</v>
      </c>
      <c r="G6" s="1849"/>
      <c r="H6" s="1291" t="s">
        <v>1035</v>
      </c>
      <c r="I6" s="3261" t="s">
        <v>1403</v>
      </c>
      <c r="J6" s="346">
        <f ca="1">ROUND(M6*M8*M7*(1-M9)/10000,0)</f>
        <v>0</v>
      </c>
      <c r="K6" s="164" t="s">
        <v>3023</v>
      </c>
      <c r="L6" s="347" t="s">
        <v>1405</v>
      </c>
      <c r="M6" s="348">
        <f ca="1">INDIRECT("'数据-取费表'!z"&amp;$G$1)</f>
        <v>0</v>
      </c>
    </row>
    <row r="7" spans="1:37" ht="18" customHeight="1">
      <c r="A7" s="1295"/>
      <c r="B7" s="3262"/>
      <c r="C7" s="1297"/>
      <c r="D7" s="352"/>
      <c r="E7" s="1298" t="s">
        <v>1406</v>
      </c>
      <c r="F7" s="348">
        <f ca="1">IF(INDIRECT("'数据-取费表'!ah"&amp;$G$1)="",INDIRECT("'数据-取费表'!k"&amp;$G$1),INDIRECT("'数据-取费表'!ah"&amp;$G$1))</f>
        <v>0</v>
      </c>
      <c r="G7" s="1849"/>
      <c r="H7" s="349"/>
      <c r="I7" s="3262"/>
      <c r="J7" s="351"/>
      <c r="K7" s="352"/>
      <c r="L7" s="347" t="s">
        <v>1406</v>
      </c>
      <c r="M7" s="348">
        <f ca="1">F7</f>
        <v>0</v>
      </c>
    </row>
    <row r="8" spans="1:37" ht="18" customHeight="1">
      <c r="A8" s="349"/>
      <c r="B8" s="3262"/>
      <c r="C8" s="351"/>
      <c r="D8" s="352"/>
      <c r="E8" s="347" t="s">
        <v>1407</v>
      </c>
      <c r="F8" s="348">
        <f ca="1">INDIRECT("'数据-取费表'!ai"&amp;$G$1)</f>
        <v>0</v>
      </c>
      <c r="G8" s="1849"/>
      <c r="H8" s="349"/>
      <c r="I8" s="3262"/>
      <c r="J8" s="351"/>
      <c r="K8" s="352"/>
      <c r="L8" s="347" t="s">
        <v>1407</v>
      </c>
      <c r="M8" s="348">
        <f ca="1">INDIRECT("'数据-取费表'!ai"&amp;$G$1)</f>
        <v>0</v>
      </c>
    </row>
    <row r="9" spans="1:37" ht="18" customHeight="1">
      <c r="A9" s="349"/>
      <c r="B9" s="3263"/>
      <c r="C9" s="351"/>
      <c r="D9" s="352"/>
      <c r="E9" s="347" t="s">
        <v>1408</v>
      </c>
      <c r="F9" s="357">
        <f ca="1">INDIRECT("'数据-取费表'!w"&amp;$G$1)</f>
        <v>0</v>
      </c>
      <c r="G9" s="1849"/>
      <c r="H9" s="349"/>
      <c r="I9" s="3263"/>
      <c r="J9" s="351"/>
      <c r="K9" s="352"/>
      <c r="L9" s="358" t="s">
        <v>1408</v>
      </c>
      <c r="M9" s="359">
        <f ca="1">INDIRECT("'数据-取费表'!ab"&amp;$G$1)</f>
        <v>0</v>
      </c>
    </row>
    <row r="10" spans="1:37" ht="18" customHeight="1">
      <c r="A10" s="1291" t="s">
        <v>1039</v>
      </c>
      <c r="B10" s="1821" t="s">
        <v>1409</v>
      </c>
      <c r="C10" s="361">
        <f ca="1">ROUND(IF(F10="押一",C6/12*F11,IF(F10="押二",C6/12*2*F11,IF(F10="押三",C6/12*3*F11,C11*F11))),0)</f>
        <v>0</v>
      </c>
      <c r="D10" s="1822" t="s">
        <v>3033</v>
      </c>
      <c r="E10" s="358" t="s">
        <v>1410</v>
      </c>
      <c r="F10" s="1366"/>
      <c r="G10" s="1849"/>
      <c r="H10" s="1291" t="s">
        <v>1039</v>
      </c>
      <c r="I10" s="1821" t="s">
        <v>1409</v>
      </c>
      <c r="J10" s="346">
        <f ca="1">ROUND(IF(M10="押一",J6/12*M11,IF(M10="押二",J6/12*2*M11,IF(M10="押三",J6/12*3*M11,J11*M11))),0)</f>
        <v>0</v>
      </c>
      <c r="K10" s="1822" t="s">
        <v>3032</v>
      </c>
      <c r="L10" s="358" t="s">
        <v>1410</v>
      </c>
      <c r="M10" s="1366" t="s">
        <v>1411</v>
      </c>
    </row>
    <row r="11" spans="1:37" ht="18" customHeight="1">
      <c r="A11" s="353"/>
      <c r="B11" s="1823" t="s">
        <v>1388</v>
      </c>
      <c r="C11" s="1178"/>
      <c r="D11" s="1824"/>
      <c r="E11" s="358" t="s">
        <v>1412</v>
      </c>
      <c r="F11" s="359">
        <f ca="1">'数据-取费表'!B39</f>
        <v>1.4999999999999999E-2</v>
      </c>
      <c r="G11" s="1849"/>
      <c r="H11" s="1299"/>
      <c r="I11" s="1823" t="s">
        <v>1388</v>
      </c>
      <c r="J11" s="1178"/>
      <c r="K11" s="747"/>
      <c r="L11" s="358" t="s">
        <v>1412</v>
      </c>
      <c r="M11" s="1058">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49"/>
      <c r="H13" s="1329">
        <v>2</v>
      </c>
      <c r="I13" s="1330" t="s">
        <v>1414</v>
      </c>
      <c r="J13" s="1290">
        <f ca="1">ROUND(J14*J15,0)</f>
        <v>0</v>
      </c>
      <c r="K13" s="1337" t="s">
        <v>1415</v>
      </c>
      <c r="L13" s="1850"/>
      <c r="M13" s="1851"/>
    </row>
    <row r="14" spans="1:37" ht="18" customHeight="1">
      <c r="A14" s="1201" t="s">
        <v>1034</v>
      </c>
      <c r="B14" s="347" t="s">
        <v>1417</v>
      </c>
      <c r="C14" s="363">
        <f ca="1">INDIRECT("'数据-取费表'!m"&amp;$G$1)+INDIRECT("'数据-取费表'!t"&amp;$G$1)</f>
        <v>0</v>
      </c>
      <c r="D14" s="1798" t="s">
        <v>1418</v>
      </c>
      <c r="E14" s="1792"/>
      <c r="F14" s="364"/>
      <c r="G14" s="1849"/>
      <c r="H14" s="1201" t="s">
        <v>1035</v>
      </c>
      <c r="I14" s="347" t="s">
        <v>1419</v>
      </c>
      <c r="J14" s="24">
        <f ca="1">C29</f>
        <v>0</v>
      </c>
      <c r="K14" s="15"/>
      <c r="L14" s="981"/>
      <c r="M14" s="982"/>
    </row>
    <row r="15" spans="1:37" s="1856" customFormat="1" ht="18" customHeight="1" thickBot="1">
      <c r="A15" s="1201" t="s">
        <v>1036</v>
      </c>
      <c r="B15" s="347" t="s">
        <v>1420</v>
      </c>
      <c r="C15" s="24">
        <f ca="1">ROUND(C14*F15,0)</f>
        <v>0</v>
      </c>
      <c r="D15" s="365" t="s">
        <v>1421</v>
      </c>
      <c r="E15" s="365" t="s">
        <v>1422</v>
      </c>
      <c r="F15" s="366">
        <f>'数据-取费表'!B33</f>
        <v>0.04</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49"/>
      <c r="H16" s="1329" t="s">
        <v>1030</v>
      </c>
      <c r="I16" s="1330" t="s">
        <v>1424</v>
      </c>
      <c r="J16" s="355">
        <f ca="1">ROUND(J17+J22+J23+J24,0)</f>
        <v>0</v>
      </c>
      <c r="K16" s="1337" t="s">
        <v>1425</v>
      </c>
      <c r="L16" s="1338"/>
      <c r="M16" s="1294"/>
    </row>
    <row r="17" spans="1:37" s="1856" customFormat="1" ht="18" customHeight="1">
      <c r="A17" s="1201" t="s">
        <v>1390</v>
      </c>
      <c r="B17" s="347" t="s">
        <v>1426</v>
      </c>
      <c r="C17" s="24">
        <f ca="1">ROUND(F17*(F43+INDIRECT("'数据-取费表'!S"&amp;$G$1))/10000,0)</f>
        <v>0</v>
      </c>
      <c r="D17" s="347" t="s">
        <v>1427</v>
      </c>
      <c r="E17" s="347" t="s">
        <v>1428</v>
      </c>
      <c r="F17" s="26">
        <f>'数据-取费表'!B35</f>
        <v>200</v>
      </c>
      <c r="G17" s="1852"/>
      <c r="H17" s="1201" t="s">
        <v>1035</v>
      </c>
      <c r="I17" s="347" t="s">
        <v>1429</v>
      </c>
      <c r="J17" s="24">
        <f ca="1">ROUND(IF(项目基本情况!B11="自然人",J5*M17,J18+J19+J20),1)</f>
        <v>0</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0</v>
      </c>
      <c r="D18" s="347" t="s">
        <v>1421</v>
      </c>
      <c r="E18" s="347" t="s">
        <v>1422</v>
      </c>
      <c r="F18" s="367">
        <f>'数据-取费表'!B36</f>
        <v>1.4999999999999999E-2</v>
      </c>
      <c r="G18" s="1852"/>
      <c r="H18" s="1201" t="s">
        <v>1034</v>
      </c>
      <c r="I18" s="347" t="s">
        <v>1433</v>
      </c>
      <c r="J18" s="24">
        <f ca="1">ROUND(J5*M18/(1+'数据-取费表'!C42),2)</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0</v>
      </c>
      <c r="D19" s="140" t="s">
        <v>1436</v>
      </c>
      <c r="E19" s="1816"/>
      <c r="F19" s="26"/>
      <c r="G19" s="1849"/>
      <c r="H19" s="1201" t="s">
        <v>1036</v>
      </c>
      <c r="I19" s="347" t="s">
        <v>1437</v>
      </c>
      <c r="J19" s="24">
        <f ca="1">IF(K19="按租金收入计税",ROUND(J5*M19,2),ROUND(C29*M19*0.7,2))</f>
        <v>0</v>
      </c>
      <c r="K19" s="1826" t="s">
        <v>1438</v>
      </c>
      <c r="L19" s="347" t="s">
        <v>1422</v>
      </c>
      <c r="M19" s="367">
        <f>IF(K19="按租金收入计税",'数据-取费表'!B51,'数据-取费表'!B50)</f>
        <v>1.2E-2</v>
      </c>
    </row>
    <row r="20" spans="1:37" s="1856" customFormat="1" ht="18" customHeight="1">
      <c r="A20" s="1201" t="s">
        <v>1039</v>
      </c>
      <c r="B20" s="347" t="s">
        <v>1439</v>
      </c>
      <c r="C20" s="24">
        <f ca="1">ROUND(C19*F20,0)</f>
        <v>0</v>
      </c>
      <c r="D20" s="369" t="s">
        <v>1440</v>
      </c>
      <c r="E20" s="347" t="s">
        <v>1422</v>
      </c>
      <c r="F20" s="367">
        <f>'数据-取费表'!B37</f>
        <v>0.02</v>
      </c>
      <c r="G20" s="1852"/>
      <c r="H20" s="1201" t="s">
        <v>1389</v>
      </c>
      <c r="I20" s="164" t="s">
        <v>1441</v>
      </c>
      <c r="J20" s="25">
        <f ca="1">ROUND(M20*M21/10000,2)</f>
        <v>0</v>
      </c>
      <c r="K20" s="370" t="s">
        <v>1442</v>
      </c>
      <c r="L20" s="347" t="s">
        <v>1443</v>
      </c>
      <c r="M20" s="371">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6"/>
      <c r="F22" s="26"/>
      <c r="G22" s="1849"/>
      <c r="H22" s="1201" t="s">
        <v>1039</v>
      </c>
      <c r="I22" s="347" t="s">
        <v>1449</v>
      </c>
      <c r="J22" s="24">
        <f ca="1">ROUND(J14*M22,1)</f>
        <v>0</v>
      </c>
      <c r="K22" s="1796" t="s">
        <v>1450</v>
      </c>
      <c r="L22" s="347" t="s">
        <v>1422</v>
      </c>
      <c r="M22" s="374">
        <f ca="1">INDIRECT("'数据-取费表'!Ak"&amp;$G$1)</f>
        <v>0</v>
      </c>
    </row>
    <row r="23" spans="1:37" s="1856"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2"/>
      <c r="H23" s="1201" t="s">
        <v>1075</v>
      </c>
      <c r="I23" s="347" t="s">
        <v>1453</v>
      </c>
      <c r="J23" s="24">
        <f ca="1">ROUND(J13*M23,1)</f>
        <v>0</v>
      </c>
      <c r="K23" s="1796" t="s">
        <v>1454</v>
      </c>
      <c r="L23" s="347" t="s">
        <v>1455</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9" t="s">
        <v>1393</v>
      </c>
      <c r="I24" s="1340" t="s">
        <v>1439</v>
      </c>
      <c r="J24" s="1341">
        <f ca="1">ROUND(J5*M24,1)</f>
        <v>0</v>
      </c>
      <c r="K24" s="1342" t="s">
        <v>1459</v>
      </c>
      <c r="L24" s="1340" t="s">
        <v>1455</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7" t="s">
        <v>1461</v>
      </c>
      <c r="C25" s="24"/>
      <c r="D25" s="140" t="s">
        <v>1462</v>
      </c>
      <c r="E25" s="1816"/>
      <c r="F25" s="26"/>
      <c r="G25" s="1849"/>
      <c r="H25" s="1329" t="s">
        <v>1031</v>
      </c>
      <c r="I25" s="1344" t="s">
        <v>1463</v>
      </c>
      <c r="J25" s="355">
        <f ca="1">J5-J16</f>
        <v>0</v>
      </c>
      <c r="K25" s="1345" t="s">
        <v>1464</v>
      </c>
      <c r="L25" s="1346"/>
      <c r="M25" s="1347"/>
    </row>
    <row r="26" spans="1:37">
      <c r="A26" s="1201"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0</v>
      </c>
      <c r="D29" s="1342"/>
      <c r="E29" s="1340"/>
      <c r="F29" s="1343"/>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5">
        <f ca="1">ROUND(C31+C36+C37+C38,0)</f>
        <v>0</v>
      </c>
      <c r="D30" s="1337" t="s">
        <v>1425</v>
      </c>
      <c r="E30" s="1338"/>
      <c r="F30" s="1294"/>
      <c r="G30" s="1849"/>
      <c r="H30" s="744"/>
      <c r="I30" s="745"/>
      <c r="J30" s="746"/>
      <c r="K30" s="747"/>
      <c r="L30" s="748"/>
      <c r="M30" s="749"/>
    </row>
    <row r="31" spans="1:37" ht="18" customHeight="1">
      <c r="A31" s="1201" t="s">
        <v>1035</v>
      </c>
      <c r="B31" s="347" t="s">
        <v>1429</v>
      </c>
      <c r="C31" s="24">
        <f ca="1">ROUND(IF(项目基本情况!B11="自然人",C5*F31,C32+C33+C34),1)</f>
        <v>0</v>
      </c>
      <c r="D31" s="1798" t="s">
        <v>1430</v>
      </c>
      <c r="E31" s="1796" t="s">
        <v>1481</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1433</v>
      </c>
      <c r="C32" s="24">
        <f ca="1">IF(项目基本情况!B11="自然人","——",ROUND(C5*F32/(1+'数据-取费表'!C42),2))</f>
        <v>0</v>
      </c>
      <c r="D32" s="1796" t="s">
        <v>1434</v>
      </c>
      <c r="E32" s="347" t="s">
        <v>1422</v>
      </c>
      <c r="F32" s="377">
        <f>'数据-取费表'!B41</f>
        <v>5.6000000000000001E-2</v>
      </c>
      <c r="G32" s="1849"/>
      <c r="H32" s="744"/>
      <c r="I32" s="745"/>
      <c r="J32" s="746"/>
      <c r="K32" s="747"/>
      <c r="L32" s="748"/>
      <c r="M32" s="749"/>
    </row>
    <row r="33" spans="1:18" ht="18" customHeight="1">
      <c r="A33" s="1201" t="s">
        <v>1036</v>
      </c>
      <c r="B33" s="347" t="s">
        <v>1437</v>
      </c>
      <c r="C33" s="24">
        <f ca="1">IF(项目基本情况!B11="自然人","——",IF(D33="按租金收入计税",ROUND(C5*F33,2),IF(D33="按房产原值计税",ROUND(C29*F33*0.7,2),INDIRECT("'数据-取费表'!Aj"&amp;$G$1))))</f>
        <v>0</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91" t="s">
        <v>1389</v>
      </c>
      <c r="B34" s="164" t="s">
        <v>1441</v>
      </c>
      <c r="C34" s="25">
        <f ca="1">IF(项目基本情况!B11="自然人","——",ROUND(F34*F35/10000,2))</f>
        <v>0</v>
      </c>
      <c r="D34" s="370" t="s">
        <v>1442</v>
      </c>
      <c r="E34" s="347" t="s">
        <v>1443</v>
      </c>
      <c r="F34" s="371">
        <f>'数据-取费表'!B52</f>
        <v>10</v>
      </c>
      <c r="G34" s="1849"/>
      <c r="H34" s="744"/>
      <c r="I34" s="1858"/>
      <c r="J34" s="1859"/>
      <c r="K34" s="1861"/>
      <c r="L34" s="1862"/>
      <c r="M34" s="1862"/>
    </row>
    <row r="35" spans="1:18" ht="18" customHeight="1">
      <c r="A35" s="1353"/>
      <c r="B35" s="1351"/>
      <c r="C35" s="29"/>
      <c r="D35" s="373"/>
      <c r="E35" s="347" t="s">
        <v>1447</v>
      </c>
      <c r="F35" s="348">
        <f ca="1">INDIRECT("'数据-取费表'!r"&amp;$G$1)</f>
        <v>0</v>
      </c>
      <c r="G35" s="1849"/>
      <c r="H35" s="744"/>
      <c r="I35" s="1858"/>
      <c r="J35" s="1859"/>
      <c r="K35" s="1860"/>
      <c r="L35" s="1857"/>
      <c r="M35" s="1857"/>
    </row>
    <row r="36" spans="1:18" ht="18" customHeight="1">
      <c r="A36" s="1352" t="s">
        <v>1039</v>
      </c>
      <c r="B36" s="347" t="s">
        <v>1449</v>
      </c>
      <c r="C36" s="24">
        <f ca="1">ROUND(C29*F36,1)</f>
        <v>0</v>
      </c>
      <c r="D36" s="1796" t="s">
        <v>1482</v>
      </c>
      <c r="E36" s="347" t="s">
        <v>1422</v>
      </c>
      <c r="F36" s="374">
        <f ca="1">INDIRECT("'数据-取费表'!Ak"&amp;$G$1)</f>
        <v>0</v>
      </c>
      <c r="G36" s="1849"/>
      <c r="H36" s="1857"/>
      <c r="I36" s="1858"/>
      <c r="J36" s="1859"/>
      <c r="K36" s="750"/>
      <c r="L36" s="1857"/>
      <c r="M36" s="1857"/>
    </row>
    <row r="37" spans="1:18" ht="18" customHeight="1">
      <c r="A37" s="1201" t="s">
        <v>1075</v>
      </c>
      <c r="B37" s="347" t="s">
        <v>1453</v>
      </c>
      <c r="C37" s="24">
        <f ca="1">ROUND(C13*F37,1)</f>
        <v>0</v>
      </c>
      <c r="D37" s="1796" t="s">
        <v>1454</v>
      </c>
      <c r="E37" s="347" t="s">
        <v>1455</v>
      </c>
      <c r="F37" s="376">
        <f ca="1">INDIRECT("'数据-取费表'!Al"&amp;$G$1)</f>
        <v>0</v>
      </c>
      <c r="G37" s="1849"/>
      <c r="H37" s="1857"/>
      <c r="I37" s="1858"/>
      <c r="J37" s="1859"/>
      <c r="K37" s="750"/>
      <c r="L37" s="1857"/>
      <c r="M37" s="1857"/>
    </row>
    <row r="38" spans="1:18" ht="18" customHeight="1" thickBot="1">
      <c r="A38" s="1339" t="s">
        <v>1393</v>
      </c>
      <c r="B38" s="1340" t="s">
        <v>1439</v>
      </c>
      <c r="C38" s="1341">
        <f ca="1">ROUND(C5*F38,1)</f>
        <v>0</v>
      </c>
      <c r="D38" s="1342" t="s">
        <v>1459</v>
      </c>
      <c r="E38" s="1340" t="s">
        <v>1455</v>
      </c>
      <c r="F38" s="1336">
        <f ca="1">INDIRECT("'数据-取费表'!Am"&amp;$G$1)</f>
        <v>0</v>
      </c>
      <c r="G38" s="1849"/>
      <c r="H38" s="1857"/>
      <c r="I38" s="1858"/>
      <c r="J38" s="1859"/>
      <c r="K38" s="1863"/>
      <c r="L38" s="1857"/>
      <c r="M38" s="1857"/>
    </row>
    <row r="39" spans="1:18" ht="24.6" customHeight="1" thickTop="1">
      <c r="A39" s="1329" t="s">
        <v>1031</v>
      </c>
      <c r="B39" s="1344" t="s">
        <v>1483</v>
      </c>
      <c r="C39" s="355">
        <f ca="1">C5-C30</f>
        <v>0</v>
      </c>
      <c r="D39" s="1345" t="s">
        <v>1484</v>
      </c>
      <c r="E39" s="1346"/>
      <c r="F39" s="1347"/>
      <c r="G39" s="1849"/>
      <c r="H39" s="1857"/>
      <c r="I39" s="1858"/>
      <c r="J39" s="1859"/>
      <c r="K39" s="1863"/>
      <c r="L39" s="1857"/>
      <c r="M39" s="1857"/>
    </row>
    <row r="40" spans="1:18" ht="18" customHeight="1">
      <c r="A40" s="344" t="s">
        <v>1032</v>
      </c>
      <c r="B40" s="345" t="s">
        <v>1485</v>
      </c>
      <c r="C40" s="346" t="e">
        <f ca="1">ROUND(C39*(1-((1+F42)/(1+F40))^F41)/(F40-F42),0)</f>
        <v>#DIV/0!</v>
      </c>
      <c r="D40" s="370" t="s">
        <v>1469</v>
      </c>
      <c r="E40" s="347" t="s">
        <v>1470</v>
      </c>
      <c r="F40" s="357">
        <f ca="1">INDIRECT("'数据-取费表'!I"&amp;$G$1)</f>
        <v>0</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1477</v>
      </c>
      <c r="F42" s="357">
        <f ca="1">INDIRECT("'数据-取费表'!v"&amp;$G$1)</f>
        <v>0</v>
      </c>
      <c r="G42" s="1849"/>
      <c r="H42" s="731"/>
      <c r="I42" s="1858"/>
      <c r="J42" s="1859"/>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t="e">
        <f ca="1">C68-C40</f>
        <v>#DIV/0!</v>
      </c>
      <c r="D46" s="1870" t="str">
        <f>C2</f>
        <v>万元</v>
      </c>
      <c r="E46" s="1864"/>
      <c r="F46" s="1864"/>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5" t="s">
        <v>1396</v>
      </c>
      <c r="B47" s="1197" t="s">
        <v>1397</v>
      </c>
      <c r="C47" s="1367" t="s">
        <v>1398</v>
      </c>
      <c r="D47" s="1197" t="s">
        <v>1399</v>
      </c>
      <c r="E47" s="1279" t="s">
        <v>1400</v>
      </c>
      <c r="F47" s="1280"/>
      <c r="G47" s="791"/>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60" t="s">
        <v>1135</v>
      </c>
      <c r="B48" s="345" t="s">
        <v>1401</v>
      </c>
      <c r="C48" s="1815">
        <f ca="1">C49+C53+C55</f>
        <v>0</v>
      </c>
      <c r="D48" s="1362"/>
      <c r="E48" s="1363"/>
      <c r="F48" s="1181"/>
      <c r="G48" s="791"/>
      <c r="H48" s="792"/>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4" t="s">
        <v>1136</v>
      </c>
      <c r="B49" s="1827" t="s">
        <v>1490</v>
      </c>
      <c r="C49" s="1364">
        <f ca="1">ROUND(F49*F51*F50*(1-F52)/10000,0)</f>
        <v>0</v>
      </c>
      <c r="D49" s="1276" t="s">
        <v>3025</v>
      </c>
      <c r="E49" s="1828" t="s">
        <v>1491</v>
      </c>
      <c r="F49" s="1281"/>
      <c r="G49" s="1889"/>
      <c r="H49" s="792"/>
      <c r="I49" s="1885" t="s">
        <v>1534</v>
      </c>
      <c r="J49" s="1890"/>
      <c r="K49" s="1887" t="s">
        <v>1535</v>
      </c>
      <c r="L49" s="1891"/>
      <c r="O49" s="1892" t="s">
        <v>1042</v>
      </c>
      <c r="P49" s="1883" t="s">
        <v>1536</v>
      </c>
      <c r="Q49" s="1884">
        <f ca="1">C29</f>
        <v>0</v>
      </c>
      <c r="R49" s="1884" t="s">
        <v>1529</v>
      </c>
    </row>
    <row r="50" spans="1:18" s="1840" customFormat="1" ht="13.5" thickBot="1">
      <c r="A50" s="1195"/>
      <c r="B50" s="1198"/>
      <c r="C50" s="1368"/>
      <c r="D50" s="1172"/>
      <c r="E50" s="1277" t="s">
        <v>1406</v>
      </c>
      <c r="F50" s="1278">
        <f ca="1">F7</f>
        <v>0</v>
      </c>
      <c r="H50" s="792"/>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6"/>
      <c r="B51" s="1198"/>
      <c r="C51" s="1199"/>
      <c r="D51" s="1172"/>
      <c r="E51" s="1200" t="s">
        <v>1407</v>
      </c>
      <c r="F51" s="348">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6"/>
      <c r="B52" s="1198"/>
      <c r="C52" s="1199"/>
      <c r="D52" s="1172"/>
      <c r="E52" s="1200" t="s">
        <v>1408</v>
      </c>
      <c r="F52" s="1275"/>
      <c r="I52" s="1901" t="s">
        <v>1543</v>
      </c>
      <c r="J52" s="1902"/>
      <c r="K52" s="1901" t="s">
        <v>1544</v>
      </c>
      <c r="L52" s="1902"/>
      <c r="O52" s="1892" t="s">
        <v>1045</v>
      </c>
      <c r="P52" s="1883" t="s">
        <v>1545</v>
      </c>
      <c r="Q52" s="1884" t="b">
        <f>J53</f>
        <v>0</v>
      </c>
      <c r="R52" s="1884" t="s">
        <v>1546</v>
      </c>
    </row>
    <row r="53" spans="1:18" s="1840" customFormat="1" ht="24.75" thickBot="1">
      <c r="A53" s="1405" t="s">
        <v>1137</v>
      </c>
      <c r="B53" s="1829" t="s">
        <v>1409</v>
      </c>
      <c r="C53" s="361">
        <f ca="1">ROUND(IF(F53="押一",C49/12*F11,IF(F53="押二",C49/12*2*F11,IF(F53="押三",C49/12*3*F11,C54*F11))),0)</f>
        <v>0</v>
      </c>
      <c r="D53" s="1822" t="s">
        <v>3032</v>
      </c>
      <c r="E53" s="358" t="s">
        <v>1410</v>
      </c>
      <c r="F53" s="1366"/>
      <c r="I53" s="1903" t="s">
        <v>1547</v>
      </c>
      <c r="J53" s="1904" t="b">
        <f>IF(M47="住宅",IF(D1="——",MAX(J51,L48),IF(D1="在建（套用方法）",MAX(J51,L48-'数据-取费表'!B24),MAX(J51,L48-'数据-取费表'!B20))),IF(D1="——",MIN(J51,L48),IF(D1="在建（套用方法）",MIN(J51,L48-'数据-取费表'!B24),IF(D1="土地（套用方法）",MIN(J51,L48-'数据-取费表'!B20)))))</f>
        <v>0</v>
      </c>
      <c r="K53" s="3259" t="s">
        <v>1548</v>
      </c>
      <c r="L53" s="3260"/>
      <c r="O53" s="1882" t="s">
        <v>1046</v>
      </c>
      <c r="P53" s="1883" t="s">
        <v>1549</v>
      </c>
      <c r="Q53" s="1884" t="e">
        <f ca="1">Q47+Q48</f>
        <v>#DIV/0!</v>
      </c>
      <c r="R53" s="1884" t="s">
        <v>1047</v>
      </c>
    </row>
    <row r="54" spans="1:18" s="1840" customFormat="1" ht="13.5" thickBot="1">
      <c r="A54" s="1406"/>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3" t="s">
        <v>1075</v>
      </c>
      <c r="B55" s="1825" t="s">
        <v>1413</v>
      </c>
      <c r="C55" s="1334"/>
      <c r="D55" s="1822"/>
      <c r="E55" s="1830"/>
      <c r="F55" s="1905"/>
      <c r="I55" s="1908" t="s">
        <v>1551</v>
      </c>
      <c r="J55" s="1909" t="e">
        <f ca="1">ROUND(IF(J47="钢混",J57/J50,1-(1-2%)*(J50-J57)/J50),3)</f>
        <v>#DIV/0!</v>
      </c>
      <c r="K55" s="1910" t="s">
        <v>1552</v>
      </c>
      <c r="L55" s="1911" t="s">
        <v>1553</v>
      </c>
      <c r="O55" s="1875" t="s">
        <v>1522</v>
      </c>
      <c r="P55" s="1876" t="s">
        <v>1523</v>
      </c>
      <c r="Q55" s="1877" t="s">
        <v>1524</v>
      </c>
      <c r="R55" s="1877" t="s">
        <v>1525</v>
      </c>
    </row>
    <row r="56" spans="1:18" s="1840" customFormat="1" ht="25.5" thickTop="1" thickBot="1">
      <c r="A56" s="1176">
        <v>2</v>
      </c>
      <c r="B56" s="1177" t="s">
        <v>1414</v>
      </c>
      <c r="C56" s="276">
        <f ca="1">C13</f>
        <v>0</v>
      </c>
      <c r="D56" s="1912"/>
      <c r="E56" s="1913"/>
      <c r="F56" s="1905"/>
      <c r="I56" s="1914" t="s">
        <v>1554</v>
      </c>
      <c r="J56" s="1915"/>
      <c r="K56" s="1885" t="s">
        <v>1555</v>
      </c>
      <c r="L56" s="1888">
        <f ca="1">IF(L48&lt;J51,"——",L48-J53)</f>
        <v>0</v>
      </c>
      <c r="O56" s="1882" t="s">
        <v>1040</v>
      </c>
      <c r="P56" s="1883" t="s">
        <v>1528</v>
      </c>
      <c r="Q56" s="1884" t="e">
        <f ca="1">C40+J29</f>
        <v>#DIV/0!</v>
      </c>
      <c r="R56" s="1884" t="s">
        <v>1529</v>
      </c>
    </row>
    <row r="57" spans="1:18" s="1840" customFormat="1" ht="24.75" thickBot="1">
      <c r="A57" s="1916"/>
      <c r="B57" s="1169" t="s">
        <v>1478</v>
      </c>
      <c r="C57" s="282">
        <f ca="1">C29</f>
        <v>0</v>
      </c>
      <c r="D57" s="1917"/>
      <c r="E57" s="1918"/>
      <c r="F57" s="1919"/>
      <c r="I57" s="1920" t="s">
        <v>1556</v>
      </c>
      <c r="J57" s="1921">
        <f ca="1">IF(OR(M47="住宅",J51&lt;L48,J56="是"),"——",J51-L48)</f>
        <v>0</v>
      </c>
      <c r="K57" s="1885" t="s">
        <v>1557</v>
      </c>
      <c r="L57" s="1888">
        <f ca="1">IF(L48&lt;J51,"——",IF(L55="比较法",L49,IF(L55="基准地价",L50,L51)))</f>
        <v>0</v>
      </c>
      <c r="O57" s="1882" t="s">
        <v>1041</v>
      </c>
      <c r="P57" s="1883" t="s">
        <v>1558</v>
      </c>
      <c r="Q57" s="1884" t="e">
        <f ca="1">L60</f>
        <v>#DIV/0!</v>
      </c>
      <c r="R57" s="1884" t="s">
        <v>1559</v>
      </c>
    </row>
    <row r="58" spans="1:18" s="1840" customFormat="1" ht="24.75" thickBot="1">
      <c r="A58" s="360" t="s">
        <v>1030</v>
      </c>
      <c r="B58" s="1177" t="s">
        <v>1424</v>
      </c>
      <c r="C58" s="361">
        <f ca="1">ROUND(C59+C64+C65+C66,0)</f>
        <v>0</v>
      </c>
      <c r="D58" s="1179" t="s">
        <v>1425</v>
      </c>
      <c r="E58" s="1180"/>
      <c r="F58" s="1181"/>
      <c r="I58" s="1920" t="s">
        <v>1560</v>
      </c>
      <c r="J58" s="1922" t="e">
        <f ca="1">IF(J55&lt;0.4,0.4,J55)</f>
        <v>#DIV/0!</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0</v>
      </c>
      <c r="D59" s="1182" t="s">
        <v>1430</v>
      </c>
      <c r="E59" s="1183" t="s">
        <v>1431</v>
      </c>
      <c r="F59" s="368"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IF(项目基本情况!B11="自然人","——",IF(D61="按租金收入计税",ROUND(C48*F61,2),IF(D61="按房产原值计税",ROUND(C57*F61*0.7,2),INDIRECT("'数据-取费表'!Aj"&amp;$G$1))))</f>
        <v>0</v>
      </c>
      <c r="D61" s="1826" t="s">
        <v>1438</v>
      </c>
      <c r="E61" s="1169" t="s">
        <v>1494</v>
      </c>
      <c r="F61" s="367">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1" t="s">
        <v>1495</v>
      </c>
      <c r="B62" s="1168" t="s">
        <v>1496</v>
      </c>
      <c r="C62" s="25">
        <f ca="1">IF(项目基本情况!B11="自然人","——",ROUND(F62*F63/10000,2))</f>
        <v>0</v>
      </c>
      <c r="D62" s="1184" t="s">
        <v>1497</v>
      </c>
      <c r="E62" s="1169" t="s">
        <v>1498</v>
      </c>
      <c r="F62" s="371">
        <f t="shared" si="0"/>
        <v>10</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2"/>
      <c r="B63" s="1175"/>
      <c r="C63" s="29"/>
      <c r="D63" s="1185"/>
      <c r="E63" s="1169"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ROUND(C57*F64,1)</f>
        <v>0</v>
      </c>
      <c r="D64" s="1183" t="s">
        <v>1502</v>
      </c>
      <c r="E64" s="1169" t="s">
        <v>1494</v>
      </c>
      <c r="F64" s="374">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0</v>
      </c>
      <c r="D65" s="1183" t="s">
        <v>1454</v>
      </c>
      <c r="E65" s="1169" t="s">
        <v>1455</v>
      </c>
      <c r="F65" s="376">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1" t="s">
        <v>1504</v>
      </c>
      <c r="B66" s="1169" t="s">
        <v>1439</v>
      </c>
      <c r="C66" s="24">
        <f ca="1">ROUND(C48*F66,1)</f>
        <v>0</v>
      </c>
      <c r="D66" s="1183" t="s">
        <v>1505</v>
      </c>
      <c r="E66" s="1169" t="s">
        <v>1422</v>
      </c>
      <c r="F66" s="357">
        <f t="shared" ca="1" si="0"/>
        <v>0</v>
      </c>
      <c r="O66" s="1882" t="s">
        <v>1041</v>
      </c>
      <c r="P66" s="1883" t="s">
        <v>1558</v>
      </c>
      <c r="Q66" s="1884" t="e">
        <f ca="1">L60</f>
        <v>#DIV/0!</v>
      </c>
      <c r="R66" s="1884" t="s">
        <v>1581</v>
      </c>
    </row>
    <row r="67" spans="1:18" s="1840" customFormat="1" ht="16.5" thickBot="1">
      <c r="A67" s="1176" t="s">
        <v>1031</v>
      </c>
      <c r="B67" s="1186" t="s">
        <v>1463</v>
      </c>
      <c r="C67" s="361">
        <f ca="1">C48-C58</f>
        <v>0</v>
      </c>
      <c r="D67" s="1182" t="s">
        <v>1464</v>
      </c>
      <c r="E67" s="1187"/>
      <c r="F67" s="1188"/>
      <c r="O67" s="1892" t="s">
        <v>1042</v>
      </c>
      <c r="P67" s="1883" t="s">
        <v>1562</v>
      </c>
      <c r="Q67" s="1931">
        <f ca="1">L51</f>
        <v>0</v>
      </c>
      <c r="R67" s="1884" t="s">
        <v>1582</v>
      </c>
    </row>
    <row r="68" spans="1:18" s="1840" customFormat="1" ht="16.5" thickBot="1">
      <c r="A68" s="1166" t="s">
        <v>1032</v>
      </c>
      <c r="B68" s="1167" t="s">
        <v>1485</v>
      </c>
      <c r="C68" s="346" t="e">
        <f ca="1">ROUND(C67*(1-((1+F70)/(1+F68))^F69)/(F68-F70),0)</f>
        <v>#DIV/0!</v>
      </c>
      <c r="D68" s="1184" t="s">
        <v>1469</v>
      </c>
      <c r="E68" s="1169" t="s">
        <v>1470</v>
      </c>
      <c r="F68" s="357">
        <f ca="1">F40</f>
        <v>0</v>
      </c>
      <c r="O68" s="1892" t="s">
        <v>1043</v>
      </c>
      <c r="P68" s="1932" t="s">
        <v>1583</v>
      </c>
      <c r="Q68" s="1884">
        <f ca="1">ROUND(Q69-Q70*Q71,0)</f>
        <v>0</v>
      </c>
      <c r="R68" s="1884" t="s">
        <v>1051</v>
      </c>
    </row>
    <row r="69" spans="1:18" s="1840" customFormat="1" ht="13.5" thickBot="1">
      <c r="A69" s="1170"/>
      <c r="B69" s="1171"/>
      <c r="C69" s="351"/>
      <c r="D69" s="1189" t="s">
        <v>1473</v>
      </c>
      <c r="E69" s="1169" t="s">
        <v>1474</v>
      </c>
      <c r="F69" s="379">
        <f ca="1">F41</f>
        <v>0</v>
      </c>
      <c r="O69" s="1892" t="s">
        <v>1048</v>
      </c>
      <c r="P69" s="1932" t="s">
        <v>1584</v>
      </c>
      <c r="Q69" s="1884">
        <f ca="1">C39</f>
        <v>0</v>
      </c>
      <c r="R69" s="1884" t="s">
        <v>1529</v>
      </c>
    </row>
    <row r="70" spans="1:18" s="1840" customFormat="1" ht="13.5" thickBot="1">
      <c r="A70" s="1173"/>
      <c r="B70" s="1174"/>
      <c r="C70" s="355"/>
      <c r="D70" s="1185"/>
      <c r="E70" s="1169" t="s">
        <v>1477</v>
      </c>
      <c r="F70" s="1275"/>
      <c r="O70" s="1892" t="s">
        <v>1049</v>
      </c>
      <c r="P70" s="1932" t="s">
        <v>1585</v>
      </c>
      <c r="Q70" s="1884">
        <f ca="1">C13</f>
        <v>0</v>
      </c>
      <c r="R70" s="1884" t="s">
        <v>1529</v>
      </c>
    </row>
    <row r="71" spans="1:18" s="1840" customFormat="1" ht="13.5" thickBot="1">
      <c r="A71" s="1190" t="s">
        <v>1033</v>
      </c>
      <c r="B71" s="1191" t="s">
        <v>1487</v>
      </c>
      <c r="C71" s="382" t="e">
        <f ca="1">ROUND(C68*10000/F71,0)</f>
        <v>#DIV/0!</v>
      </c>
      <c r="D71" s="1192" t="s">
        <v>1488</v>
      </c>
      <c r="E71" s="1193" t="s">
        <v>1489</v>
      </c>
      <c r="F71" s="385">
        <f ca="1">F43</f>
        <v>0</v>
      </c>
      <c r="O71" s="1892" t="s">
        <v>1050</v>
      </c>
      <c r="P71" s="1932" t="s">
        <v>1586</v>
      </c>
      <c r="Q71" s="1895">
        <f ca="1">C76</f>
        <v>0</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6" t="s">
        <v>1506</v>
      </c>
      <c r="C75" s="387">
        <f ca="1">ROUND(C13*C76,0)</f>
        <v>0</v>
      </c>
      <c r="D75" s="1840"/>
      <c r="E75" s="1840"/>
      <c r="F75" s="1840"/>
      <c r="K75" s="1866"/>
      <c r="L75" s="1840"/>
      <c r="O75" s="1882" t="s">
        <v>1046</v>
      </c>
      <c r="P75" s="1883" t="s">
        <v>1549</v>
      </c>
      <c r="Q75" s="1884" t="e">
        <f ca="1">Q65+Q66</f>
        <v>#DIV/0!</v>
      </c>
      <c r="R75" s="1884" t="s">
        <v>1047</v>
      </c>
    </row>
    <row r="76" spans="1:18">
      <c r="B76" s="388" t="s">
        <v>1507</v>
      </c>
      <c r="C76" s="389">
        <f ca="1">INDIRECT("'数据-取费表'!j"&amp;$G$1)</f>
        <v>0</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Normal="100" zoomScaleSheetLayoutView="90" workbookViewId="0">
      <selection activeCell="L49" sqref="L49"/>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1"/>
      <c r="C1" s="1835" t="s">
        <v>3732</v>
      </c>
      <c r="D1" s="1818" t="s">
        <v>70</v>
      </c>
      <c r="E1" s="1819" t="s">
        <v>1387</v>
      </c>
      <c r="F1" s="1283">
        <f ca="1">J53</f>
        <v>35.18</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1590</v>
      </c>
      <c r="B2" s="1842">
        <f ca="1">ROUND(D2/10000,0)</f>
        <v>547</v>
      </c>
      <c r="C2" s="1843" t="s">
        <v>1591</v>
      </c>
      <c r="D2" s="1936">
        <f ca="1">C40+J29+L46</f>
        <v>5468865</v>
      </c>
      <c r="E2" s="1844" t="s">
        <v>1592</v>
      </c>
      <c r="F2" s="1845"/>
      <c r="G2" s="1846"/>
      <c r="H2" s="1838"/>
      <c r="I2" s="1838"/>
      <c r="J2" s="1838"/>
      <c r="K2" s="1839"/>
      <c r="L2" s="1838"/>
      <c r="M2" s="1838"/>
    </row>
    <row r="3" spans="1:37" ht="18" customHeight="1" thickBot="1">
      <c r="A3" s="1847" t="s">
        <v>1593</v>
      </c>
      <c r="B3" s="1848">
        <f ca="1">IF(ISERROR(D2/F43),0,ROUND(D2/F43,0))</f>
        <v>38817</v>
      </c>
      <c r="C3" s="1843" t="s">
        <v>1594</v>
      </c>
      <c r="D3" s="1843"/>
      <c r="E3" s="1844"/>
      <c r="F3" s="1845"/>
      <c r="G3" s="1846"/>
      <c r="H3" s="743"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2">
        <f ca="1">C6+C10+C12</f>
        <v>315113</v>
      </c>
      <c r="D5" s="1820" t="s">
        <v>1601</v>
      </c>
      <c r="E5" s="1293"/>
      <c r="F5" s="1294"/>
      <c r="G5" s="1849"/>
      <c r="H5" s="344">
        <v>1</v>
      </c>
      <c r="I5" s="345" t="s">
        <v>1600</v>
      </c>
      <c r="J5" s="1292">
        <f ca="1">J6+J10+J12</f>
        <v>0</v>
      </c>
      <c r="K5" s="1820" t="s">
        <v>1601</v>
      </c>
      <c r="L5" s="1293"/>
      <c r="M5" s="1294"/>
    </row>
    <row r="6" spans="1:37" ht="18" customHeight="1">
      <c r="A6" s="1291" t="s">
        <v>1035</v>
      </c>
      <c r="B6" s="3261" t="s">
        <v>1403</v>
      </c>
      <c r="C6" s="1296">
        <f ca="1">ROUND(F6*F8*F7*(1-F9),0)</f>
        <v>314720</v>
      </c>
      <c r="D6" s="164" t="s">
        <v>3021</v>
      </c>
      <c r="E6" s="347" t="s">
        <v>1405</v>
      </c>
      <c r="F6" s="348">
        <f ca="1">INDIRECT("'数据-取费表'!u"&amp;$G$1)</f>
        <v>7.2</v>
      </c>
      <c r="G6" s="1849"/>
      <c r="H6" s="1291" t="s">
        <v>1035</v>
      </c>
      <c r="I6" s="3261" t="s">
        <v>1403</v>
      </c>
      <c r="J6" s="346">
        <f ca="1">ROUND(M6*M8*M7*(1-M9),0)</f>
        <v>0</v>
      </c>
      <c r="K6" s="1832" t="s">
        <v>3022</v>
      </c>
      <c r="L6" s="347" t="s">
        <v>1405</v>
      </c>
      <c r="M6" s="348">
        <f ca="1">INDIRECT("'数据-取费表'!z"&amp;$G$1)</f>
        <v>0</v>
      </c>
    </row>
    <row r="7" spans="1:37" ht="18" customHeight="1">
      <c r="A7" s="1295"/>
      <c r="B7" s="3262"/>
      <c r="C7" s="1297"/>
      <c r="D7" s="352"/>
      <c r="E7" s="1298" t="s">
        <v>1406</v>
      </c>
      <c r="F7" s="348">
        <f ca="1">IF(INDIRECT("'数据-取费表'!ah"&amp;$G$1)="",INDIRECT("'数据-取费表'!k"&amp;$G$1),INDIRECT("'数据-取费表'!ah"&amp;$G$1))</f>
        <v>140.88999999999999</v>
      </c>
      <c r="G7" s="1849"/>
      <c r="H7" s="349"/>
      <c r="I7" s="3262"/>
      <c r="J7" s="351"/>
      <c r="K7" s="352"/>
      <c r="L7" s="347" t="s">
        <v>1406</v>
      </c>
      <c r="M7" s="348">
        <f ca="1">F7</f>
        <v>140.88999999999999</v>
      </c>
    </row>
    <row r="8" spans="1:37" ht="18" customHeight="1">
      <c r="A8" s="349"/>
      <c r="B8" s="3262"/>
      <c r="C8" s="351"/>
      <c r="D8" s="352"/>
      <c r="E8" s="347" t="s">
        <v>1407</v>
      </c>
      <c r="F8" s="348">
        <f ca="1">INDIRECT("'数据-取费表'!ai"&amp;$G$1)</f>
        <v>365</v>
      </c>
      <c r="G8" s="1849"/>
      <c r="H8" s="349"/>
      <c r="I8" s="3262"/>
      <c r="J8" s="351"/>
      <c r="K8" s="352"/>
      <c r="L8" s="347" t="s">
        <v>1407</v>
      </c>
      <c r="M8" s="348">
        <f ca="1">INDIRECT("'数据-取费表'!ai"&amp;$G$1)</f>
        <v>365</v>
      </c>
    </row>
    <row r="9" spans="1:37" ht="18" customHeight="1">
      <c r="A9" s="349"/>
      <c r="B9" s="3263"/>
      <c r="C9" s="351"/>
      <c r="D9" s="352"/>
      <c r="E9" s="347" t="s">
        <v>1408</v>
      </c>
      <c r="F9" s="357">
        <f ca="1">INDIRECT("'数据-取费表'!w"&amp;$G$1)</f>
        <v>0.15</v>
      </c>
      <c r="G9" s="1849"/>
      <c r="H9" s="349"/>
      <c r="I9" s="3263"/>
      <c r="J9" s="351"/>
      <c r="K9" s="352"/>
      <c r="L9" s="358" t="s">
        <v>1408</v>
      </c>
      <c r="M9" s="359">
        <f ca="1">INDIRECT("'数据-取费表'!ab"&amp;$G$1)</f>
        <v>0</v>
      </c>
    </row>
    <row r="10" spans="1:37" ht="18" customHeight="1">
      <c r="A10" s="1291" t="s">
        <v>1039</v>
      </c>
      <c r="B10" s="1821" t="s">
        <v>1409</v>
      </c>
      <c r="C10" s="361">
        <f ca="1">ROUND(IF(F10="押一",C6/12*F11,IF(F10="押二",C6/12*2*F11,IF(F10="押三",C6/12*3*F11,C11*F11))),0)</f>
        <v>393</v>
      </c>
      <c r="D10" s="1822" t="s">
        <v>3032</v>
      </c>
      <c r="E10" s="358" t="s">
        <v>1410</v>
      </c>
      <c r="F10" s="1366" t="s">
        <v>3893</v>
      </c>
      <c r="G10" s="1849"/>
      <c r="H10" s="1291" t="s">
        <v>1039</v>
      </c>
      <c r="I10" s="1821" t="s">
        <v>1409</v>
      </c>
      <c r="J10" s="346">
        <f ca="1">ROUND(IF(M10="押一",J6/12*M11,IF(M10="押二",J6/12*2*M11,IF(M10="押三",J6/12*3*M11,J11*M11))),0)</f>
        <v>0</v>
      </c>
      <c r="K10" s="1833" t="s">
        <v>3034</v>
      </c>
      <c r="L10" s="358" t="s">
        <v>1410</v>
      </c>
      <c r="M10" s="1366"/>
    </row>
    <row r="11" spans="1:37" ht="18" customHeight="1">
      <c r="A11" s="353"/>
      <c r="B11" s="1823" t="s">
        <v>1602</v>
      </c>
      <c r="C11" s="1178"/>
      <c r="D11" s="352"/>
      <c r="E11" s="358" t="s">
        <v>1412</v>
      </c>
      <c r="F11" s="359">
        <f ca="1">'数据-取费表'!B39</f>
        <v>1.4999999999999999E-2</v>
      </c>
      <c r="G11" s="1849"/>
      <c r="H11" s="1299"/>
      <c r="I11" s="1823" t="s">
        <v>1603</v>
      </c>
      <c r="J11" s="1178"/>
      <c r="K11" s="747"/>
      <c r="L11" s="358" t="s">
        <v>1412</v>
      </c>
      <c r="M11" s="1058">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5">
        <f ca="1">ROUND(C29*F13,0)</f>
        <v>625975</v>
      </c>
      <c r="D13" s="1331" t="s">
        <v>1415</v>
      </c>
      <c r="E13" s="1331" t="s">
        <v>1416</v>
      </c>
      <c r="F13" s="1332">
        <f ca="1">INDIRECT("'数据-取费表'!y"&amp;$G$1)</f>
        <v>0.98</v>
      </c>
      <c r="G13" s="1849"/>
      <c r="H13" s="1329">
        <v>2</v>
      </c>
      <c r="I13" s="1330" t="s">
        <v>1414</v>
      </c>
      <c r="J13" s="1290">
        <f ca="1">ROUND(J14*J15,0)</f>
        <v>0</v>
      </c>
      <c r="K13" s="1337" t="s">
        <v>1415</v>
      </c>
      <c r="L13" s="1850"/>
      <c r="M13" s="1851"/>
    </row>
    <row r="14" spans="1:37" ht="18" customHeight="1">
      <c r="A14" s="1201" t="s">
        <v>1034</v>
      </c>
      <c r="B14" s="347" t="s">
        <v>1417</v>
      </c>
      <c r="C14" s="363">
        <f ca="1">ROUND(INDIRECT("'数据-取费表'!l"&amp;$G$1)*F43+'数据-取费表'!L14*INDIRECT("'数据-取费表'!S"&amp;$G$1),0)</f>
        <v>394492</v>
      </c>
      <c r="D14" s="1798" t="s">
        <v>1418</v>
      </c>
      <c r="E14" s="1792"/>
      <c r="F14" s="364"/>
      <c r="G14" s="1849"/>
      <c r="H14" s="1201" t="s">
        <v>1035</v>
      </c>
      <c r="I14" s="347" t="s">
        <v>1419</v>
      </c>
      <c r="J14" s="24">
        <f ca="1">C29</f>
        <v>638750</v>
      </c>
      <c r="K14" s="15"/>
      <c r="L14" s="981"/>
      <c r="M14" s="982"/>
    </row>
    <row r="15" spans="1:37" s="1856" customFormat="1" ht="18" customHeight="1" thickBot="1">
      <c r="A15" s="1201" t="s">
        <v>1036</v>
      </c>
      <c r="B15" s="347" t="s">
        <v>1420</v>
      </c>
      <c r="C15" s="24">
        <f ca="1">ROUND(C14*F15,0)</f>
        <v>15780</v>
      </c>
      <c r="D15" s="365" t="s">
        <v>1421</v>
      </c>
      <c r="E15" s="365" t="s">
        <v>1422</v>
      </c>
      <c r="F15" s="366">
        <f>'数据-取费表'!B33</f>
        <v>0.04</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49"/>
      <c r="H16" s="1329" t="s">
        <v>1030</v>
      </c>
      <c r="I16" s="1330" t="s">
        <v>1424</v>
      </c>
      <c r="J16" s="355">
        <f ca="1">ROUND(J17+J22+J23+J24,0)</f>
        <v>18391</v>
      </c>
      <c r="K16" s="1337" t="s">
        <v>1425</v>
      </c>
      <c r="L16" s="1338"/>
      <c r="M16" s="1294"/>
    </row>
    <row r="17" spans="1:37" s="1856" customFormat="1" ht="18" customHeight="1">
      <c r="A17" s="1201" t="s">
        <v>1390</v>
      </c>
      <c r="B17" s="347" t="s">
        <v>1426</v>
      </c>
      <c r="C17" s="24">
        <f ca="1">ROUND(F17*(F43+INDIRECT("'数据-取费表'!S"&amp;$G$1)),0)</f>
        <v>28178</v>
      </c>
      <c r="D17" s="347" t="s">
        <v>1427</v>
      </c>
      <c r="E17" s="347" t="s">
        <v>1428</v>
      </c>
      <c r="F17" s="26">
        <f>'数据-取费表'!B35</f>
        <v>200</v>
      </c>
      <c r="G17" s="1852"/>
      <c r="H17" s="1201" t="s">
        <v>1035</v>
      </c>
      <c r="I17" s="347" t="s">
        <v>1429</v>
      </c>
      <c r="J17" s="24">
        <f ca="1">ROUND(IF(项目基本情况!B11="自然人",J5*M17,J18+J19+J20),0)</f>
        <v>5616</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5917</v>
      </c>
      <c r="D18" s="347" t="s">
        <v>1421</v>
      </c>
      <c r="E18" s="347" t="s">
        <v>1422</v>
      </c>
      <c r="F18" s="367">
        <f>'数据-取费表'!B36</f>
        <v>1.4999999999999999E-2</v>
      </c>
      <c r="G18" s="1852"/>
      <c r="H18" s="1201" t="s">
        <v>1034</v>
      </c>
      <c r="I18" s="347" t="s">
        <v>1433</v>
      </c>
      <c r="J18" s="24">
        <f ca="1">ROUND(J5*M18/(1+'数据-取费表'!C42),0)</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444367</v>
      </c>
      <c r="D19" s="140" t="s">
        <v>1436</v>
      </c>
      <c r="E19" s="1816"/>
      <c r="F19" s="26"/>
      <c r="G19" s="1849"/>
      <c r="H19" s="1201" t="s">
        <v>1036</v>
      </c>
      <c r="I19" s="347" t="s">
        <v>1437</v>
      </c>
      <c r="J19" s="24">
        <f ca="1">IF(K19="按租金收入计税",ROUND(J5*M19,0),ROUND(C29*M19*0.7,0))</f>
        <v>5366</v>
      </c>
      <c r="K19" s="1826" t="s">
        <v>1438</v>
      </c>
      <c r="L19" s="347" t="s">
        <v>1422</v>
      </c>
      <c r="M19" s="367">
        <f>IF(K19="按租金收入计税",'数据-取费表'!B51,'数据-取费表'!B50)</f>
        <v>1.2E-2</v>
      </c>
    </row>
    <row r="20" spans="1:37" s="1856" customFormat="1" ht="18" customHeight="1">
      <c r="A20" s="1201" t="s">
        <v>1039</v>
      </c>
      <c r="B20" s="347" t="s">
        <v>1439</v>
      </c>
      <c r="C20" s="24">
        <f ca="1">ROUND(C19*F20,0)</f>
        <v>8887</v>
      </c>
      <c r="D20" s="369" t="s">
        <v>1440</v>
      </c>
      <c r="E20" s="347" t="s">
        <v>1422</v>
      </c>
      <c r="F20" s="367">
        <f>'数据-取费表'!B37</f>
        <v>0.02</v>
      </c>
      <c r="G20" s="1852"/>
      <c r="H20" s="1201" t="s">
        <v>1389</v>
      </c>
      <c r="I20" s="164" t="s">
        <v>1441</v>
      </c>
      <c r="J20" s="25">
        <f ca="1">ROUND(M20*M21,0)</f>
        <v>250</v>
      </c>
      <c r="K20" s="370" t="s">
        <v>1442</v>
      </c>
      <c r="L20" s="347" t="s">
        <v>1443</v>
      </c>
      <c r="M20" s="371">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v>
      </c>
      <c r="D21" s="369" t="s">
        <v>1445</v>
      </c>
      <c r="E21" s="347" t="s">
        <v>1446</v>
      </c>
      <c r="F21" s="367">
        <f>'数据-取费表'!B38</f>
        <v>0.02</v>
      </c>
      <c r="G21" s="1852"/>
      <c r="H21" s="372"/>
      <c r="I21" s="356"/>
      <c r="J21" s="29"/>
      <c r="K21" s="373"/>
      <c r="L21" s="347" t="s">
        <v>1447</v>
      </c>
      <c r="M21" s="348">
        <f ca="1">INDIRECT("'数据-取费表'!r"&amp;$G$1)</f>
        <v>25.01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6"/>
      <c r="F22" s="26"/>
      <c r="G22" s="1849"/>
      <c r="H22" s="1201" t="s">
        <v>1039</v>
      </c>
      <c r="I22" s="347" t="s">
        <v>1449</v>
      </c>
      <c r="J22" s="24">
        <f ca="1">ROUND(J14*M22,0)</f>
        <v>12775</v>
      </c>
      <c r="K22" s="1796" t="s">
        <v>1450</v>
      </c>
      <c r="L22" s="347" t="s">
        <v>1422</v>
      </c>
      <c r="M22" s="374">
        <f ca="1">INDIRECT("'数据-取费表'!Ak"&amp;$G$1)</f>
        <v>0.02</v>
      </c>
    </row>
    <row r="23" spans="1:37" s="1856" customFormat="1" ht="18" customHeight="1">
      <c r="A23" s="1201" t="s">
        <v>1034</v>
      </c>
      <c r="B23" s="347" t="s">
        <v>1451</v>
      </c>
      <c r="C23" s="24">
        <f ca="1">IF('数据-取费表'!B22&lt;=1,ROUND(C19*F24*F23/2,0)+ROUND(C20*F24*F23/2,0),ROUND(C19*(POWER((1+F24),F23/2)-1),0)+ROUND(C20*(POWER((1+F24),F23/2)-1),0))</f>
        <v>21529</v>
      </c>
      <c r="D23" s="375" t="str">
        <f>IF(F23&lt;=1,"(建造成本+管理费用)×利率×(建设周期÷2)","(建造成本+管理费用)×((1+利率)^(建设周期÷2)-1)")</f>
        <v>(建造成本+管理费用)×((1+利率)^(建设周期÷2)-1)</v>
      </c>
      <c r="E23" s="347" t="s">
        <v>1452</v>
      </c>
      <c r="F23" s="371">
        <f>'数据-取费表'!B20</f>
        <v>2</v>
      </c>
      <c r="G23" s="1852"/>
      <c r="H23" s="1201" t="s">
        <v>1075</v>
      </c>
      <c r="I23" s="347" t="s">
        <v>1453</v>
      </c>
      <c r="J23" s="24">
        <f ca="1">ROUND(J13*M23,0)</f>
        <v>0</v>
      </c>
      <c r="K23" s="1796" t="s">
        <v>1454</v>
      </c>
      <c r="L23" s="347" t="s">
        <v>1455</v>
      </c>
      <c r="M23" s="376">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9" t="s">
        <v>1393</v>
      </c>
      <c r="I24" s="1340" t="s">
        <v>1439</v>
      </c>
      <c r="J24" s="1341">
        <f ca="1">ROUND(J5*M24,0)</f>
        <v>0</v>
      </c>
      <c r="K24" s="1342" t="s">
        <v>1459</v>
      </c>
      <c r="L24" s="1340" t="s">
        <v>1455</v>
      </c>
      <c r="M24" s="1336">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7" t="s">
        <v>1461</v>
      </c>
      <c r="C25" s="24"/>
      <c r="D25" s="140" t="s">
        <v>1462</v>
      </c>
      <c r="E25" s="1816"/>
      <c r="F25" s="26"/>
      <c r="G25" s="1849"/>
      <c r="H25" s="1329" t="s">
        <v>1031</v>
      </c>
      <c r="I25" s="1344" t="s">
        <v>1463</v>
      </c>
      <c r="J25" s="355">
        <f ca="1">J5-J16</f>
        <v>-18391</v>
      </c>
      <c r="K25" s="1345" t="s">
        <v>1464</v>
      </c>
      <c r="L25" s="1346"/>
      <c r="M25" s="1347"/>
    </row>
    <row r="26" spans="1:37" ht="18" customHeight="1">
      <c r="A26" s="1201" t="s">
        <v>1034</v>
      </c>
      <c r="B26" s="347" t="s">
        <v>1465</v>
      </c>
      <c r="C26" s="24">
        <f ca="1">ROUND((C19+C20)*F26,0)</f>
        <v>113314</v>
      </c>
      <c r="D26" s="369" t="s">
        <v>1466</v>
      </c>
      <c r="E26" s="358" t="s">
        <v>1467</v>
      </c>
      <c r="F26" s="357">
        <f ca="1">INDIRECT("'数据-取费表'!q"&amp;$G$1)</f>
        <v>0.25</v>
      </c>
      <c r="G26" s="1849"/>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5.0000000000000001E-3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638750</v>
      </c>
      <c r="D29" s="1342"/>
      <c r="E29" s="1340"/>
      <c r="F29" s="1343"/>
      <c r="G29" s="1852"/>
      <c r="H29" s="380" t="s">
        <v>1033</v>
      </c>
      <c r="I29" s="381" t="s">
        <v>1479</v>
      </c>
      <c r="J29" s="382">
        <f ca="1">ROUND(J26/(1+F40)^F41,0)</f>
        <v>0</v>
      </c>
      <c r="K29" s="383" t="s">
        <v>1480</v>
      </c>
      <c r="L29" s="384"/>
      <c r="M29" s="385">
        <f ca="1">INDIRECT("'数据-取费表'!k"&amp;$G$1)</f>
        <v>140.88999999999999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5">
        <f ca="1">ROUND(C31+C36+C37+C38,0)</f>
        <v>75199</v>
      </c>
      <c r="D30" s="1337" t="s">
        <v>1425</v>
      </c>
      <c r="E30" s="1338"/>
      <c r="F30" s="1294"/>
      <c r="G30" s="1849"/>
      <c r="H30" s="744"/>
      <c r="I30" s="745"/>
      <c r="J30" s="746"/>
      <c r="K30" s="747"/>
      <c r="L30" s="748"/>
      <c r="M30" s="749"/>
    </row>
    <row r="31" spans="1:37" ht="18" customHeight="1">
      <c r="A31" s="1201" t="s">
        <v>1035</v>
      </c>
      <c r="B31" s="347" t="s">
        <v>1429</v>
      </c>
      <c r="C31" s="24">
        <f ca="1">ROUND(IF(项目基本情况!B11="自然人",C5*F31,C32+C33+C34),0)</f>
        <v>54870</v>
      </c>
      <c r="D31" s="1798" t="s">
        <v>1430</v>
      </c>
      <c r="E31" s="1796" t="s">
        <v>1481</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1433</v>
      </c>
      <c r="C32" s="24">
        <f ca="1">IF(项目基本情况!B11="自然人","——",ROUND(C5*F32/(1+'数据-取费表'!C42),0))</f>
        <v>16806</v>
      </c>
      <c r="D32" s="1796" t="s">
        <v>1434</v>
      </c>
      <c r="E32" s="347" t="s">
        <v>1422</v>
      </c>
      <c r="F32" s="377">
        <f>'数据-取费表'!B41</f>
        <v>5.6000000000000001E-2</v>
      </c>
      <c r="G32" s="1849"/>
      <c r="H32" s="744"/>
      <c r="I32" s="745"/>
      <c r="J32" s="746"/>
      <c r="K32" s="747"/>
      <c r="L32" s="748"/>
      <c r="M32" s="749"/>
    </row>
    <row r="33" spans="1:18" ht="18" customHeight="1">
      <c r="A33" s="1201" t="s">
        <v>1036</v>
      </c>
      <c r="B33" s="347" t="s">
        <v>1437</v>
      </c>
      <c r="C33" s="24">
        <f ca="1">IF(项目基本情况!B11="自然人","——",IF(D33="按租金收入计税",ROUND(C5*F33,0),IF(D33="按房产原值计税",ROUND(C29*F33*0.7,0),INDIRECT("'数据-取费表'!Aj"&amp;$G$1))))</f>
        <v>37814</v>
      </c>
      <c r="D33" s="1826" t="s">
        <v>3916</v>
      </c>
      <c r="E33" s="347" t="s">
        <v>1422</v>
      </c>
      <c r="F33" s="367">
        <f>IF(D33="按票据","——",IF(D33="按租金收入计税",'数据-取费表'!B51,'数据-取费表'!B50))</f>
        <v>0.12</v>
      </c>
      <c r="G33" s="1849"/>
      <c r="H33" s="1857"/>
      <c r="I33" s="1858"/>
      <c r="J33" s="1859"/>
      <c r="K33" s="1860"/>
      <c r="L33" s="1857"/>
      <c r="M33" s="1857"/>
    </row>
    <row r="34" spans="1:18" ht="18" customHeight="1">
      <c r="A34" s="1291" t="s">
        <v>1389</v>
      </c>
      <c r="B34" s="164" t="s">
        <v>1441</v>
      </c>
      <c r="C34" s="25">
        <f ca="1">IF(项目基本情况!B11="自然人","——",ROUND(F34*F35,))</f>
        <v>250</v>
      </c>
      <c r="D34" s="370" t="s">
        <v>1442</v>
      </c>
      <c r="E34" s="347" t="s">
        <v>1443</v>
      </c>
      <c r="F34" s="371">
        <f>'数据-取费表'!B52</f>
        <v>10</v>
      </c>
      <c r="G34" s="1849"/>
      <c r="H34" s="744"/>
      <c r="I34" s="1858"/>
      <c r="J34" s="1859"/>
      <c r="K34" s="1861"/>
      <c r="L34" s="1862"/>
      <c r="M34" s="1862"/>
    </row>
    <row r="35" spans="1:18" ht="18" customHeight="1">
      <c r="A35" s="1353"/>
      <c r="B35" s="1351"/>
      <c r="C35" s="29"/>
      <c r="D35" s="373"/>
      <c r="E35" s="347" t="s">
        <v>1447</v>
      </c>
      <c r="F35" s="348">
        <f ca="1">INDIRECT("'数据-取费表'!r"&amp;$G$1)</f>
        <v>25.01</v>
      </c>
      <c r="G35" s="1849"/>
      <c r="H35" s="744"/>
      <c r="I35" s="1858"/>
      <c r="J35" s="1859"/>
      <c r="K35" s="1860"/>
      <c r="L35" s="1857"/>
      <c r="M35" s="1857"/>
    </row>
    <row r="36" spans="1:18" ht="18" customHeight="1">
      <c r="A36" s="1352" t="s">
        <v>1039</v>
      </c>
      <c r="B36" s="347" t="s">
        <v>1449</v>
      </c>
      <c r="C36" s="24">
        <f ca="1">ROUND(C29*F36,0)</f>
        <v>12775</v>
      </c>
      <c r="D36" s="1796" t="s">
        <v>1482</v>
      </c>
      <c r="E36" s="347" t="s">
        <v>1422</v>
      </c>
      <c r="F36" s="374">
        <f ca="1">INDIRECT("'数据-取费表'!Ak"&amp;$G$1)</f>
        <v>0.02</v>
      </c>
      <c r="G36" s="1849"/>
      <c r="H36" s="1857"/>
      <c r="I36" s="1858"/>
      <c r="J36" s="1859"/>
      <c r="K36" s="750"/>
      <c r="L36" s="1857"/>
      <c r="M36" s="1857"/>
    </row>
    <row r="37" spans="1:18" ht="18" customHeight="1">
      <c r="A37" s="1201" t="s">
        <v>1075</v>
      </c>
      <c r="B37" s="347" t="s">
        <v>1453</v>
      </c>
      <c r="C37" s="24">
        <f ca="1">ROUND(C13*F37,0)</f>
        <v>1252</v>
      </c>
      <c r="D37" s="1796" t="s">
        <v>1454</v>
      </c>
      <c r="E37" s="347" t="s">
        <v>1455</v>
      </c>
      <c r="F37" s="376">
        <f ca="1">INDIRECT("'数据-取费表'!Al"&amp;$G$1)</f>
        <v>2E-3</v>
      </c>
      <c r="G37" s="1849"/>
      <c r="H37" s="1857"/>
      <c r="I37" s="1858"/>
      <c r="J37" s="1859"/>
      <c r="K37" s="750"/>
      <c r="L37" s="1857"/>
      <c r="M37" s="1857"/>
    </row>
    <row r="38" spans="1:18" ht="18" customHeight="1" thickBot="1">
      <c r="A38" s="1339" t="s">
        <v>1393</v>
      </c>
      <c r="B38" s="1340" t="s">
        <v>1439</v>
      </c>
      <c r="C38" s="1341">
        <f ca="1">ROUND(C5*F38,1)</f>
        <v>6302.3</v>
      </c>
      <c r="D38" s="1342" t="s">
        <v>1459</v>
      </c>
      <c r="E38" s="1340" t="s">
        <v>1455</v>
      </c>
      <c r="F38" s="1336">
        <f ca="1">INDIRECT("'数据-取费表'!Am"&amp;$G$1)</f>
        <v>0.02</v>
      </c>
      <c r="G38" s="1849"/>
      <c r="H38" s="1857"/>
      <c r="I38" s="1858"/>
      <c r="J38" s="1859"/>
      <c r="K38" s="1863"/>
      <c r="L38" s="1857"/>
      <c r="M38" s="1857"/>
    </row>
    <row r="39" spans="1:18" ht="24.6" customHeight="1" thickTop="1">
      <c r="A39" s="1329" t="s">
        <v>1031</v>
      </c>
      <c r="B39" s="1344" t="s">
        <v>1483</v>
      </c>
      <c r="C39" s="355">
        <f ca="1">C5-C30</f>
        <v>239914</v>
      </c>
      <c r="D39" s="1345" t="s">
        <v>1484</v>
      </c>
      <c r="E39" s="1346"/>
      <c r="F39" s="1347"/>
      <c r="G39" s="1849"/>
      <c r="H39" s="1857"/>
      <c r="I39" s="1858"/>
      <c r="J39" s="1859"/>
      <c r="K39" s="1863"/>
      <c r="L39" s="1857"/>
      <c r="M39" s="1857"/>
    </row>
    <row r="40" spans="1:18" ht="18" customHeight="1">
      <c r="A40" s="344" t="s">
        <v>1032</v>
      </c>
      <c r="B40" s="345" t="s">
        <v>1485</v>
      </c>
      <c r="C40" s="346">
        <f ca="1">ROUND(C39*(1-((1+F42)/(1+F40))^F41)/(F40-F42),0)</f>
        <v>5468865</v>
      </c>
      <c r="D40" s="370" t="s">
        <v>1469</v>
      </c>
      <c r="E40" s="347" t="s">
        <v>1470</v>
      </c>
      <c r="F40" s="357">
        <f ca="1">INDIRECT("'数据-取费表'!I"&amp;$G$1)</f>
        <v>5.5E-2</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35.18</v>
      </c>
      <c r="G41" s="1849"/>
      <c r="H41" s="731"/>
      <c r="I41" s="1858"/>
      <c r="J41" s="1859"/>
      <c r="K41" s="750"/>
      <c r="L41" s="731"/>
      <c r="M41" s="731"/>
    </row>
    <row r="42" spans="1:18" ht="18" customHeight="1">
      <c r="A42" s="353"/>
      <c r="B42" s="354"/>
      <c r="C42" s="355"/>
      <c r="D42" s="373"/>
      <c r="E42" s="347" t="s">
        <v>1477</v>
      </c>
      <c r="F42" s="357">
        <f ca="1">INDIRECT("'数据-取费表'!v"&amp;$G$1)</f>
        <v>0.03</v>
      </c>
      <c r="G42" s="1849"/>
      <c r="H42" s="731"/>
      <c r="I42" s="1858"/>
      <c r="J42" s="1859"/>
      <c r="K42" s="750"/>
      <c r="L42" s="731"/>
      <c r="M42" s="731"/>
    </row>
    <row r="43" spans="1:18" ht="18" customHeight="1" thickBot="1">
      <c r="A43" s="380" t="s">
        <v>1033</v>
      </c>
      <c r="B43" s="381" t="s">
        <v>1487</v>
      </c>
      <c r="C43" s="382">
        <f ca="1">ROUND(C40/F43,0)</f>
        <v>38817</v>
      </c>
      <c r="D43" s="383" t="s">
        <v>1488</v>
      </c>
      <c r="E43" s="384" t="s">
        <v>1489</v>
      </c>
      <c r="F43" s="385">
        <f ca="1">INDIRECT("'数据-取费表'!k"&amp;$G$1)</f>
        <v>140.88999999999999</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f ca="1">C68-C40</f>
        <v>-7017382</v>
      </c>
      <c r="D45" s="1938" t="s">
        <v>1604</v>
      </c>
      <c r="E45" s="1864"/>
      <c r="F45" s="1864"/>
      <c r="O45" s="1867" t="s">
        <v>1519</v>
      </c>
      <c r="P45" s="1837"/>
      <c r="Q45" s="1837"/>
      <c r="R45" s="1837"/>
    </row>
    <row r="46" spans="1:18" s="1840" customFormat="1" ht="13.5" thickBot="1">
      <c r="A46" s="1868" t="s">
        <v>1520</v>
      </c>
      <c r="C46" s="1869">
        <f ca="1">ROUND(C45/10000,0)</f>
        <v>-702</v>
      </c>
      <c r="D46" s="1870" t="str">
        <f>C2</f>
        <v>万元</v>
      </c>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197" t="s">
        <v>1398</v>
      </c>
      <c r="D47" s="1197" t="s">
        <v>1399</v>
      </c>
      <c r="E47" s="1279" t="s">
        <v>1400</v>
      </c>
      <c r="F47" s="1280"/>
      <c r="G47" s="791"/>
      <c r="I47" s="1878" t="s">
        <v>1526</v>
      </c>
      <c r="J47" s="1879" t="s">
        <v>3885</v>
      </c>
      <c r="K47" s="1880" t="s">
        <v>1527</v>
      </c>
      <c r="L47" s="1881">
        <f ca="1">INDIRECT("'数据-取费表'!d"&amp;$G$1)</f>
        <v>40</v>
      </c>
      <c r="M47" s="1836" t="str">
        <f>IF(ISNUMBER(FIND("住宅",C1)),"住宅","非住宅")</f>
        <v>非住宅</v>
      </c>
      <c r="O47" s="1882" t="s">
        <v>1040</v>
      </c>
      <c r="P47" s="1883" t="s">
        <v>1528</v>
      </c>
      <c r="Q47" s="1884">
        <f ca="1">C40+J29</f>
        <v>5468865</v>
      </c>
      <c r="R47" s="1884" t="s">
        <v>1529</v>
      </c>
    </row>
    <row r="48" spans="1:18" s="1840" customFormat="1" ht="28.5" thickBot="1">
      <c r="A48" s="1360" t="s">
        <v>1135</v>
      </c>
      <c r="B48" s="345" t="s">
        <v>1401</v>
      </c>
      <c r="C48" s="1815">
        <f ca="1">C49+C53+C55</f>
        <v>0</v>
      </c>
      <c r="D48" s="1362"/>
      <c r="E48" s="1363"/>
      <c r="F48" s="1181"/>
      <c r="G48" s="791"/>
      <c r="H48" s="792"/>
      <c r="I48" s="1885" t="s">
        <v>1530</v>
      </c>
      <c r="J48" s="1886" t="s">
        <v>3917</v>
      </c>
      <c r="K48" s="1887" t="s">
        <v>1531</v>
      </c>
      <c r="L48" s="1888">
        <f ca="1">INDIRECT("'数据-取费表'!f"&amp;$G$1)</f>
        <v>35.18</v>
      </c>
      <c r="O48" s="1882" t="s">
        <v>1041</v>
      </c>
      <c r="P48" s="1883" t="s">
        <v>1532</v>
      </c>
      <c r="Q48" s="1884" t="str">
        <f ca="1">J60</f>
        <v>0</v>
      </c>
      <c r="R48" s="1884" t="s">
        <v>1533</v>
      </c>
    </row>
    <row r="49" spans="1:18" s="1840" customFormat="1" ht="13.5" thickBot="1">
      <c r="A49" s="1194" t="s">
        <v>1136</v>
      </c>
      <c r="B49" s="1827" t="s">
        <v>1490</v>
      </c>
      <c r="C49" s="1364">
        <f ca="1">ROUND(F49*F51*F50*(1-F52),0)</f>
        <v>0</v>
      </c>
      <c r="D49" s="1276" t="s">
        <v>1404</v>
      </c>
      <c r="E49" s="1828" t="s">
        <v>1491</v>
      </c>
      <c r="F49" s="1281"/>
      <c r="G49" s="1889"/>
      <c r="H49" s="792"/>
      <c r="I49" s="1885" t="s">
        <v>1534</v>
      </c>
      <c r="J49" s="1890">
        <v>2017</v>
      </c>
      <c r="K49" s="1887" t="s">
        <v>1535</v>
      </c>
      <c r="L49" s="1891"/>
      <c r="O49" s="1892" t="s">
        <v>1042</v>
      </c>
      <c r="P49" s="1883" t="s">
        <v>1536</v>
      </c>
      <c r="Q49" s="1884">
        <f ca="1">C29</f>
        <v>638750</v>
      </c>
      <c r="R49" s="1884" t="s">
        <v>1529</v>
      </c>
    </row>
    <row r="50" spans="1:18" s="1840" customFormat="1" ht="13.5" thickBot="1">
      <c r="A50" s="1195"/>
      <c r="B50" s="1198"/>
      <c r="C50" s="1199"/>
      <c r="D50" s="1172"/>
      <c r="E50" s="1277" t="s">
        <v>1406</v>
      </c>
      <c r="F50" s="1278">
        <f ca="1">F7</f>
        <v>140.88999999999999</v>
      </c>
      <c r="H50" s="792"/>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8">
        <f ca="1">F8</f>
        <v>365</v>
      </c>
      <c r="I51" s="1896" t="s">
        <v>1540</v>
      </c>
      <c r="J51" s="1897">
        <f>IF(J49="",J50,J49+J50-YEAR('数据-取费表'!B2))</f>
        <v>59</v>
      </c>
      <c r="K51" s="1898" t="s">
        <v>1541</v>
      </c>
      <c r="L51" s="1899">
        <f ca="1">ROUND(-PV(INDIRECT("'数据-取费表'!h"&amp;$G$1),L48,(C39-C13*C76),0),0)</f>
        <v>3063082</v>
      </c>
      <c r="M51" s="1900"/>
      <c r="O51" s="1892" t="s">
        <v>1044</v>
      </c>
      <c r="P51" s="1883" t="s">
        <v>1542</v>
      </c>
      <c r="Q51" s="1895">
        <f>J52</f>
        <v>0.09</v>
      </c>
      <c r="R51" s="1884"/>
    </row>
    <row r="52" spans="1:18" s="1840" customFormat="1" ht="13.5" thickBot="1">
      <c r="A52" s="1196"/>
      <c r="B52" s="1198"/>
      <c r="C52" s="1199"/>
      <c r="D52" s="1172"/>
      <c r="E52" s="1200" t="s">
        <v>1408</v>
      </c>
      <c r="F52" s="1275"/>
      <c r="I52" s="1901" t="s">
        <v>1543</v>
      </c>
      <c r="J52" s="1902">
        <v>0.09</v>
      </c>
      <c r="K52" s="1901" t="s">
        <v>1544</v>
      </c>
      <c r="L52" s="1902"/>
      <c r="O52" s="1892" t="s">
        <v>1045</v>
      </c>
      <c r="P52" s="1883" t="s">
        <v>1545</v>
      </c>
      <c r="Q52" s="1884">
        <f ca="1">J53</f>
        <v>35.18</v>
      </c>
      <c r="R52" s="1884" t="s">
        <v>1546</v>
      </c>
    </row>
    <row r="53" spans="1:18" s="1840" customFormat="1" ht="30.75" customHeight="1" thickBot="1">
      <c r="A53" s="1361" t="s">
        <v>1137</v>
      </c>
      <c r="B53" s="369" t="s">
        <v>1409</v>
      </c>
      <c r="C53" s="361">
        <f ca="1">ROUND(IF(F53="押一",C49/12*F11,IF(F53="押二",C49/12*2*F11,IF(F53="押三",C49/12*3*F11,C54*F11))),0)</f>
        <v>0</v>
      </c>
      <c r="D53" s="1822" t="s">
        <v>3035</v>
      </c>
      <c r="E53" s="358" t="s">
        <v>1410</v>
      </c>
      <c r="F53" s="1366"/>
      <c r="I53" s="1903" t="s">
        <v>1547</v>
      </c>
      <c r="J53" s="1904">
        <f ca="1">IF(M47="住宅",IF(D1="——",MAX(J51,L48),IF(D1="在建（套用方法）",MAX(J51,L48-'数据-取费表'!B24),MAX(J51,L48-'数据-取费表'!B20))),IF(D1="——",MIN(J51,L48),IF(D1="在建（套用方法）",MIN(J51,L48-'数据-取费表'!B24),IF(D1="土地（套用方法）",MIN(J51,L48-'数据-取费表'!B20)))))</f>
        <v>35.18</v>
      </c>
      <c r="K53" s="3259" t="s">
        <v>1548</v>
      </c>
      <c r="L53" s="3260"/>
      <c r="O53" s="1882" t="s">
        <v>1046</v>
      </c>
      <c r="P53" s="1883" t="s">
        <v>1549</v>
      </c>
      <c r="Q53" s="1884">
        <f ca="1">Q47+Q48</f>
        <v>5468865</v>
      </c>
      <c r="R53" s="1884" t="s">
        <v>1047</v>
      </c>
    </row>
    <row r="54" spans="1:18" s="1840" customFormat="1" ht="13.5" thickBot="1">
      <c r="A54" s="1194"/>
      <c r="B54" s="1939" t="s">
        <v>1603</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3" t="s">
        <v>1075</v>
      </c>
      <c r="B55" s="1825" t="s">
        <v>1413</v>
      </c>
      <c r="C55" s="1334"/>
      <c r="D55" s="1822"/>
      <c r="E55" s="1830"/>
      <c r="F55" s="1905"/>
      <c r="I55" s="1908" t="s">
        <v>1551</v>
      </c>
      <c r="J55" s="1909" t="e">
        <f ca="1">ROUND(IF(J47="钢混",J57/J50,1-(1-2%)*(J50-J57)/J50),3)</f>
        <v>#VALUE!</v>
      </c>
      <c r="K55" s="1910" t="s">
        <v>1552</v>
      </c>
      <c r="L55" s="1911"/>
      <c r="O55" s="1875" t="s">
        <v>1522</v>
      </c>
      <c r="P55" s="1876" t="s">
        <v>1523</v>
      </c>
      <c r="Q55" s="1877" t="s">
        <v>1524</v>
      </c>
      <c r="R55" s="1877" t="s">
        <v>1525</v>
      </c>
    </row>
    <row r="56" spans="1:18" s="1840" customFormat="1" ht="36" customHeight="1" thickTop="1" thickBot="1">
      <c r="A56" s="1176">
        <v>2</v>
      </c>
      <c r="B56" s="1177" t="s">
        <v>1414</v>
      </c>
      <c r="C56" s="276">
        <f ca="1">C13</f>
        <v>625975</v>
      </c>
      <c r="D56" s="1912"/>
      <c r="E56" s="1913"/>
      <c r="F56" s="1905"/>
      <c r="I56" s="1914" t="s">
        <v>1554</v>
      </c>
      <c r="J56" s="1915" t="s">
        <v>3049</v>
      </c>
      <c r="K56" s="1885" t="s">
        <v>1555</v>
      </c>
      <c r="L56" s="1888" t="str">
        <f ca="1">IF(L48&lt;J51,"——",L48-J51)</f>
        <v>——</v>
      </c>
      <c r="O56" s="1882" t="s">
        <v>1040</v>
      </c>
      <c r="P56" s="1883" t="s">
        <v>1528</v>
      </c>
      <c r="Q56" s="1884">
        <f ca="1">C40+J29</f>
        <v>5468865</v>
      </c>
      <c r="R56" s="1884" t="s">
        <v>1529</v>
      </c>
    </row>
    <row r="57" spans="1:18" s="1840" customFormat="1" ht="24.75" thickBot="1">
      <c r="A57" s="1916"/>
      <c r="B57" s="1169" t="s">
        <v>1478</v>
      </c>
      <c r="C57" s="282">
        <f ca="1">C29</f>
        <v>638750</v>
      </c>
      <c r="D57" s="1917"/>
      <c r="E57" s="1918"/>
      <c r="F57" s="1919"/>
      <c r="I57" s="1920" t="s">
        <v>1556</v>
      </c>
      <c r="J57" s="1921" t="str">
        <f ca="1">IF(OR(M47="住宅",J51&lt;L48,J56="是"),"——",J51-L48)</f>
        <v>——</v>
      </c>
      <c r="K57" s="1885" t="s">
        <v>1605</v>
      </c>
      <c r="L57" s="1888" t="str">
        <f ca="1">IF(L48&lt;J51,"——",IF(L55="比较法",L49,IF(L55="基准地价",L50,L51)))</f>
        <v>——</v>
      </c>
      <c r="O57" s="1882" t="s">
        <v>1041</v>
      </c>
      <c r="P57" s="1883" t="s">
        <v>1606</v>
      </c>
      <c r="Q57" s="1884">
        <f ca="1">L60</f>
        <v>0</v>
      </c>
      <c r="R57" s="1884" t="s">
        <v>1607</v>
      </c>
    </row>
    <row r="58" spans="1:18" s="1840" customFormat="1" ht="24.75" thickBot="1">
      <c r="A58" s="360" t="s">
        <v>1030</v>
      </c>
      <c r="B58" s="1177" t="s">
        <v>1424</v>
      </c>
      <c r="C58" s="361">
        <f ca="1">ROUND(C59+C64+C65+C66,0)</f>
        <v>67932</v>
      </c>
      <c r="D58" s="1179" t="s">
        <v>1425</v>
      </c>
      <c r="E58" s="1180"/>
      <c r="F58" s="1181"/>
      <c r="I58" s="1920" t="s">
        <v>1560</v>
      </c>
      <c r="J58" s="1922" t="e">
        <f ca="1">IF(J55&lt;0.4,0.4,J55)</f>
        <v>#VALUE!</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ROUND(IF(项目基本情况!B11="自然人",C48*F59,C60+C61+C62),0)</f>
        <v>53905</v>
      </c>
      <c r="D59" s="1182" t="s">
        <v>1430</v>
      </c>
      <c r="E59" s="1183"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IF(项目基本情况!B11="自然人","——",IF(D61="按租金收入计税",ROUND(C48*F61,0),IF(D61="按房产原值计税",ROUND(C57*F61*0.7,0),INDIRECT("'数据-取费表'!Aj"&amp;$G$1))))</f>
        <v>53655</v>
      </c>
      <c r="D61" s="1826" t="s">
        <v>1438</v>
      </c>
      <c r="E61" s="1169"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1" t="s">
        <v>1495</v>
      </c>
      <c r="B62" s="1168" t="s">
        <v>1496</v>
      </c>
      <c r="C62" s="25">
        <f ca="1">IF(项目基本情况!B11="自然人","——",ROUND(F62*F63,0))</f>
        <v>250</v>
      </c>
      <c r="D62" s="1184" t="s">
        <v>1497</v>
      </c>
      <c r="E62" s="1169" t="s">
        <v>1498</v>
      </c>
      <c r="F62" s="371">
        <f t="shared" si="0"/>
        <v>10</v>
      </c>
      <c r="I62" s="1927" t="s">
        <v>1570</v>
      </c>
      <c r="J62" s="1928" t="s">
        <v>1571</v>
      </c>
      <c r="K62" s="1928" t="s">
        <v>1572</v>
      </c>
      <c r="L62" s="1928" t="s">
        <v>1573</v>
      </c>
      <c r="M62" s="1929" t="s">
        <v>1574</v>
      </c>
      <c r="O62" s="1882" t="s">
        <v>1046</v>
      </c>
      <c r="P62" s="1883" t="s">
        <v>1575</v>
      </c>
      <c r="Q62" s="1884">
        <f ca="1">Q56+Q57</f>
        <v>5468865</v>
      </c>
      <c r="R62" s="1884" t="s">
        <v>1047</v>
      </c>
    </row>
    <row r="63" spans="1:18" s="1840" customFormat="1" ht="13.5" thickBot="1">
      <c r="A63" s="372"/>
      <c r="B63" s="1175"/>
      <c r="C63" s="29"/>
      <c r="D63" s="1185"/>
      <c r="E63" s="1169" t="s">
        <v>1499</v>
      </c>
      <c r="F63" s="348">
        <f t="shared" ca="1" si="0"/>
        <v>25.01</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ROUND(C57*F64,0)</f>
        <v>12775</v>
      </c>
      <c r="D64" s="1183" t="s">
        <v>1502</v>
      </c>
      <c r="E64" s="1169" t="s">
        <v>1494</v>
      </c>
      <c r="F64" s="374">
        <f t="shared" ca="1" si="0"/>
        <v>0.02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ROUND(C56*F65,0)</f>
        <v>1252</v>
      </c>
      <c r="D65" s="1183" t="s">
        <v>1454</v>
      </c>
      <c r="E65" s="1169" t="s">
        <v>1455</v>
      </c>
      <c r="F65" s="376">
        <f t="shared" ca="1" si="0"/>
        <v>2E-3</v>
      </c>
      <c r="I65" s="1927" t="s">
        <v>1579</v>
      </c>
      <c r="J65" s="1928">
        <v>40</v>
      </c>
      <c r="K65" s="1928">
        <v>30</v>
      </c>
      <c r="L65" s="1928">
        <v>50</v>
      </c>
      <c r="M65" s="1930">
        <v>0.02</v>
      </c>
      <c r="O65" s="1882" t="s">
        <v>1040</v>
      </c>
      <c r="P65" s="1883" t="s">
        <v>1580</v>
      </c>
      <c r="Q65" s="1884">
        <f ca="1">C40+J29</f>
        <v>5468865</v>
      </c>
      <c r="R65" s="1884" t="s">
        <v>1529</v>
      </c>
    </row>
    <row r="66" spans="1:18" s="1840" customFormat="1" ht="16.5" thickBot="1">
      <c r="A66" s="1201" t="s">
        <v>1504</v>
      </c>
      <c r="B66" s="1169" t="s">
        <v>1439</v>
      </c>
      <c r="C66" s="24">
        <f ca="1">ROUND(C48*F66,0)</f>
        <v>0</v>
      </c>
      <c r="D66" s="1183" t="s">
        <v>1505</v>
      </c>
      <c r="E66" s="1169" t="s">
        <v>1422</v>
      </c>
      <c r="F66" s="357">
        <f t="shared" ca="1" si="0"/>
        <v>0.02</v>
      </c>
      <c r="O66" s="1882" t="s">
        <v>1041</v>
      </c>
      <c r="P66" s="1883" t="s">
        <v>1558</v>
      </c>
      <c r="Q66" s="1884">
        <f ca="1">L60</f>
        <v>0</v>
      </c>
      <c r="R66" s="1884" t="s">
        <v>1581</v>
      </c>
    </row>
    <row r="67" spans="1:18" s="1840" customFormat="1" ht="16.5" thickBot="1">
      <c r="A67" s="1176" t="s">
        <v>1031</v>
      </c>
      <c r="B67" s="1186" t="s">
        <v>1463</v>
      </c>
      <c r="C67" s="361">
        <f ca="1">C48-C58</f>
        <v>-67932</v>
      </c>
      <c r="D67" s="1182" t="s">
        <v>1464</v>
      </c>
      <c r="E67" s="1187"/>
      <c r="F67" s="1188"/>
      <c r="O67" s="1892" t="s">
        <v>1042</v>
      </c>
      <c r="P67" s="1883" t="s">
        <v>1562</v>
      </c>
      <c r="Q67" s="1931">
        <f ca="1">L51</f>
        <v>3063082</v>
      </c>
      <c r="R67" s="1884" t="s">
        <v>1582</v>
      </c>
    </row>
    <row r="68" spans="1:18" s="1840" customFormat="1" ht="16.5" thickBot="1">
      <c r="A68" s="1166" t="s">
        <v>1032</v>
      </c>
      <c r="B68" s="1167" t="s">
        <v>1485</v>
      </c>
      <c r="C68" s="346">
        <f ca="1">ROUND(C67*(1-((1+F70)/(1+F68))^F69)/(F68-F70),0)</f>
        <v>-1548517</v>
      </c>
      <c r="D68" s="1184" t="s">
        <v>1469</v>
      </c>
      <c r="E68" s="1169" t="s">
        <v>1470</v>
      </c>
      <c r="F68" s="357">
        <f ca="1">F40</f>
        <v>5.5E-2</v>
      </c>
      <c r="O68" s="1892" t="s">
        <v>1043</v>
      </c>
      <c r="P68" s="1932" t="s">
        <v>1583</v>
      </c>
      <c r="Q68" s="1884">
        <f ca="1">ROUND(Q69-Q70*Q71,0)</f>
        <v>186706</v>
      </c>
      <c r="R68" s="1884" t="s">
        <v>1051</v>
      </c>
    </row>
    <row r="69" spans="1:18" s="1840" customFormat="1" ht="13.5" thickBot="1">
      <c r="A69" s="1170"/>
      <c r="B69" s="1171"/>
      <c r="C69" s="351"/>
      <c r="D69" s="1189" t="s">
        <v>1473</v>
      </c>
      <c r="E69" s="1169" t="s">
        <v>1474</v>
      </c>
      <c r="F69" s="379">
        <f ca="1">F41</f>
        <v>35.18</v>
      </c>
      <c r="O69" s="1892" t="s">
        <v>1048</v>
      </c>
      <c r="P69" s="1932" t="s">
        <v>1584</v>
      </c>
      <c r="Q69" s="1884">
        <f ca="1">C39</f>
        <v>239914</v>
      </c>
      <c r="R69" s="1884" t="s">
        <v>1529</v>
      </c>
    </row>
    <row r="70" spans="1:18" s="1840" customFormat="1" ht="13.5" thickBot="1">
      <c r="A70" s="1173"/>
      <c r="B70" s="1174"/>
      <c r="C70" s="355"/>
      <c r="D70" s="1185"/>
      <c r="E70" s="1169" t="s">
        <v>1477</v>
      </c>
      <c r="F70" s="1275">
        <f ca="1">F42</f>
        <v>0.03</v>
      </c>
      <c r="O70" s="1892" t="s">
        <v>1049</v>
      </c>
      <c r="P70" s="1932" t="s">
        <v>1585</v>
      </c>
      <c r="Q70" s="1884">
        <f ca="1">C13</f>
        <v>625975</v>
      </c>
      <c r="R70" s="1884" t="s">
        <v>1529</v>
      </c>
    </row>
    <row r="71" spans="1:18" s="1840" customFormat="1" ht="13.5" thickBot="1">
      <c r="A71" s="1190" t="s">
        <v>1033</v>
      </c>
      <c r="B71" s="1191" t="s">
        <v>1487</v>
      </c>
      <c r="C71" s="382">
        <f ca="1">ROUND(C68/F71,0)</f>
        <v>-10991</v>
      </c>
      <c r="D71" s="1192" t="s">
        <v>1488</v>
      </c>
      <c r="E71" s="1193" t="s">
        <v>1489</v>
      </c>
      <c r="F71" s="385">
        <f ca="1">F43</f>
        <v>140.88999999999999</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53208</v>
      </c>
      <c r="D75" s="1840"/>
      <c r="E75" s="1840"/>
      <c r="F75" s="1840"/>
      <c r="K75" s="1866"/>
      <c r="L75" s="1840"/>
      <c r="O75" s="1882" t="s">
        <v>1046</v>
      </c>
      <c r="P75" s="1883" t="s">
        <v>1549</v>
      </c>
      <c r="Q75" s="1884">
        <f ca="1">Q65+Q66</f>
        <v>5468865</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0.77800000000000002</v>
      </c>
    </row>
    <row r="80" spans="1:18">
      <c r="B80" s="386" t="s">
        <v>1511</v>
      </c>
      <c r="C80" s="318">
        <f ca="1">ROUND(C75/C39,3)</f>
        <v>0.222</v>
      </c>
    </row>
    <row r="81" spans="2:3">
      <c r="B81" s="314" t="s">
        <v>1512</v>
      </c>
      <c r="C81" s="282"/>
    </row>
    <row r="82" spans="2:3">
      <c r="B82" s="317" t="s">
        <v>1513</v>
      </c>
      <c r="C82" s="319">
        <f ca="1">1-C83</f>
        <v>0.88600000000000001</v>
      </c>
    </row>
    <row r="83" spans="2:3">
      <c r="B83" s="317" t="s">
        <v>1514</v>
      </c>
      <c r="C83" s="318">
        <f ca="1">ROUND(C13/C40,3)</f>
        <v>0.114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2521</v>
      </c>
      <c r="B1" s="2558"/>
      <c r="C1" s="2558"/>
      <c r="D1" s="2558"/>
      <c r="E1" s="2559"/>
    </row>
    <row r="2" spans="1:6" ht="15.75">
      <c r="A2" s="2560" t="s">
        <v>2322</v>
      </c>
      <c r="B2" s="2561">
        <f ca="1">SUMIF(B6:B13,"&lt;&gt;#ref!",B6:B13)</f>
        <v>547</v>
      </c>
      <c r="C2" s="2562" t="s">
        <v>2514</v>
      </c>
      <c r="D2" s="2563" t="s">
        <v>2515</v>
      </c>
      <c r="E2" s="2564">
        <f>SUM(E6:E13)</f>
        <v>140.88999999999999</v>
      </c>
    </row>
    <row r="3" spans="1:6" ht="15.75">
      <c r="A3" s="2560" t="s">
        <v>1395</v>
      </c>
      <c r="B3" s="2561">
        <f ca="1">ROUND(B2*10000/E2,0)</f>
        <v>38825</v>
      </c>
      <c r="C3" s="2562" t="s">
        <v>2522</v>
      </c>
      <c r="D3" s="2565"/>
      <c r="E3" s="2566"/>
    </row>
    <row r="4" spans="1:6" ht="15.75">
      <c r="A4" s="2567"/>
      <c r="B4" s="2565"/>
      <c r="C4" s="2565"/>
      <c r="D4" s="2565"/>
      <c r="E4" s="2566"/>
    </row>
    <row r="5" spans="1:6" ht="15">
      <c r="A5" s="2568" t="s">
        <v>2516</v>
      </c>
      <c r="B5" s="3264" t="s">
        <v>2517</v>
      </c>
      <c r="C5" s="3264"/>
      <c r="D5" s="2569"/>
      <c r="E5" s="2570" t="s">
        <v>2518</v>
      </c>
      <c r="F5" s="2571" t="s">
        <v>2519</v>
      </c>
    </row>
    <row r="6" spans="1:6">
      <c r="A6" s="2572" t="str">
        <f>'数据-取费表'!AN6</f>
        <v>收益法 (元)</v>
      </c>
      <c r="B6" s="2571">
        <f ca="1">IF(F6="是",'数据-取费表'!AO6,0)</f>
        <v>547</v>
      </c>
      <c r="C6" s="2562" t="s">
        <v>2514</v>
      </c>
      <c r="D6" s="2565"/>
      <c r="E6" s="2573">
        <f>IF(OR(A6=0,F6="否"),0,'数据-取费表'!K6+'数据-取费表'!S6)</f>
        <v>140.88999999999999</v>
      </c>
      <c r="F6" s="2574" t="s">
        <v>2520</v>
      </c>
    </row>
    <row r="7" spans="1:6">
      <c r="A7" s="2572">
        <f>'数据-取费表'!AN7</f>
        <v>0</v>
      </c>
      <c r="B7" s="2571" t="e">
        <f ca="1">IF(F7="是",'数据-取费表'!AO7,0)</f>
        <v>#REF!</v>
      </c>
      <c r="C7" s="2562" t="s">
        <v>2514</v>
      </c>
      <c r="D7" s="2565"/>
      <c r="E7" s="2573">
        <f>IF(OR(A7=0,F7="否"),0,'数据-取费表'!K7+'数据-取费表'!S7)</f>
        <v>0</v>
      </c>
      <c r="F7" s="2574" t="s">
        <v>2520</v>
      </c>
    </row>
    <row r="8" spans="1:6">
      <c r="A8" s="2572">
        <f>'数据-取费表'!AN8</f>
        <v>0</v>
      </c>
      <c r="B8" s="2571" t="e">
        <f ca="1">IF(F8="是",'数据-取费表'!AO8,0)</f>
        <v>#REF!</v>
      </c>
      <c r="C8" s="2562" t="s">
        <v>2514</v>
      </c>
      <c r="D8" s="2565"/>
      <c r="E8" s="2573">
        <f>IF(OR(A8=0,F8="否"),0,'数据-取费表'!K8+'数据-取费表'!S8)</f>
        <v>0</v>
      </c>
      <c r="F8" s="2574" t="s">
        <v>2520</v>
      </c>
    </row>
    <row r="9" spans="1:6">
      <c r="A9" s="2572">
        <f>'数据-取费表'!AN9</f>
        <v>0</v>
      </c>
      <c r="B9" s="2571" t="e">
        <f ca="1">IF(F9="是",'数据-取费表'!AO9,0)</f>
        <v>#REF!</v>
      </c>
      <c r="C9" s="2562" t="s">
        <v>2514</v>
      </c>
      <c r="D9" s="2565"/>
      <c r="E9" s="2573">
        <f>IF(OR(A9=0,F9="否"),0,'数据-取费表'!K9+'数据-取费表'!S9)</f>
        <v>0</v>
      </c>
      <c r="F9" s="2574" t="s">
        <v>2520</v>
      </c>
    </row>
    <row r="10" spans="1:6">
      <c r="A10" s="2572">
        <f>'数据-取费表'!AN10</f>
        <v>0</v>
      </c>
      <c r="B10" s="2571" t="e">
        <f ca="1">IF(F10="是",'数据-取费表'!AO10,0)</f>
        <v>#REF!</v>
      </c>
      <c r="C10" s="2562" t="s">
        <v>2514</v>
      </c>
      <c r="D10" s="2565"/>
      <c r="E10" s="2573">
        <f>IF(OR(A10=0,F10="否"),0,'数据-取费表'!K10+'数据-取费表'!S10)</f>
        <v>0</v>
      </c>
      <c r="F10" s="2574" t="s">
        <v>2520</v>
      </c>
    </row>
    <row r="11" spans="1:6">
      <c r="A11" s="2572">
        <f>'数据-取费表'!AN11</f>
        <v>0</v>
      </c>
      <c r="B11" s="2571" t="e">
        <f ca="1">IF(F11="是",'数据-取费表'!AO11,0)</f>
        <v>#REF!</v>
      </c>
      <c r="C11" s="2562" t="s">
        <v>2514</v>
      </c>
      <c r="D11" s="2565"/>
      <c r="E11" s="2573">
        <f>IF(OR(A11=0,F11="否"),0,'数据-取费表'!K11+'数据-取费表'!S11)</f>
        <v>0</v>
      </c>
      <c r="F11" s="2574" t="s">
        <v>2520</v>
      </c>
    </row>
    <row r="12" spans="1:6">
      <c r="A12" s="2572">
        <f>'数据-取费表'!AN12</f>
        <v>0</v>
      </c>
      <c r="B12" s="2571" t="e">
        <f ca="1">IF(F12="是",'数据-取费表'!AO12,0)</f>
        <v>#REF!</v>
      </c>
      <c r="C12" s="2562" t="s">
        <v>2514</v>
      </c>
      <c r="D12" s="2565"/>
      <c r="E12" s="2573">
        <f>IF(OR(A12=0,F12="否"),0,'数据-取费表'!K12+'数据-取费表'!S12)</f>
        <v>0</v>
      </c>
      <c r="F12" s="2574" t="s">
        <v>2520</v>
      </c>
    </row>
    <row r="13" spans="1:6" ht="15" thickBot="1">
      <c r="A13" s="2575">
        <f>'数据-取费表'!AN13</f>
        <v>0</v>
      </c>
      <c r="B13" s="2571" t="e">
        <f ca="1">IF(F13="是",'数据-取费表'!AO13,0)</f>
        <v>#REF!</v>
      </c>
      <c r="C13" s="2576" t="s">
        <v>2514</v>
      </c>
      <c r="D13" s="2577"/>
      <c r="E13" s="2573">
        <f>IF(OR(A13=0,F13="否"),0,'数据-取费表'!K13+'数据-取费表'!S13)</f>
        <v>0</v>
      </c>
      <c r="F13" s="2574"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65" t="s">
        <v>1076</v>
      </c>
      <c r="B1" s="3266"/>
      <c r="C1" s="3267"/>
      <c r="D1" s="3268">
        <f>SUM(I10,I15,I20,I21,I23)</f>
        <v>0</v>
      </c>
      <c r="E1" s="3268"/>
      <c r="F1" s="3268"/>
      <c r="G1" s="3268"/>
      <c r="H1" s="3268"/>
      <c r="I1" s="3269"/>
    </row>
    <row r="2" spans="1:9">
      <c r="A2" s="3270" t="s">
        <v>1077</v>
      </c>
      <c r="B2" s="3271" t="s">
        <v>1078</v>
      </c>
      <c r="C2" s="3271"/>
      <c r="D2" s="1301" t="s">
        <v>1079</v>
      </c>
      <c r="E2" s="1301" t="s">
        <v>1080</v>
      </c>
      <c r="F2" s="1301" t="s">
        <v>1081</v>
      </c>
      <c r="G2" s="1301" t="s">
        <v>1082</v>
      </c>
      <c r="H2" s="1301" t="s">
        <v>1083</v>
      </c>
      <c r="I2" s="1302" t="s">
        <v>1084</v>
      </c>
    </row>
    <row r="3" spans="1:9">
      <c r="A3" s="3270"/>
      <c r="B3" s="3271" t="s">
        <v>1085</v>
      </c>
      <c r="C3" s="3271"/>
      <c r="D3" s="1303"/>
      <c r="E3" s="1301"/>
      <c r="F3" s="1304"/>
      <c r="G3" s="1304"/>
      <c r="H3" s="1305"/>
      <c r="I3" s="1306">
        <f>ROUND(D3*E3*F3*G3*H3/10000,0)</f>
        <v>0</v>
      </c>
    </row>
    <row r="4" spans="1:9">
      <c r="A4" s="3270"/>
      <c r="B4" s="3271" t="s">
        <v>1086</v>
      </c>
      <c r="C4" s="3271"/>
      <c r="D4" s="1303"/>
      <c r="E4" s="1301"/>
      <c r="F4" s="1304"/>
      <c r="G4" s="1304"/>
      <c r="H4" s="1305"/>
      <c r="I4" s="1306">
        <f t="shared" ref="I4:I9" si="0">ROUND(D4*E4*F4*G4*H4/10000,0)</f>
        <v>0</v>
      </c>
    </row>
    <row r="5" spans="1:9">
      <c r="A5" s="3270"/>
      <c r="B5" s="3271" t="s">
        <v>1087</v>
      </c>
      <c r="C5" s="3271"/>
      <c r="D5" s="1303"/>
      <c r="E5" s="1301"/>
      <c r="F5" s="1304"/>
      <c r="G5" s="1304"/>
      <c r="H5" s="1305"/>
      <c r="I5" s="1306">
        <f t="shared" si="0"/>
        <v>0</v>
      </c>
    </row>
    <row r="6" spans="1:9">
      <c r="A6" s="3270"/>
      <c r="B6" s="3271" t="s">
        <v>1088</v>
      </c>
      <c r="C6" s="3271"/>
      <c r="D6" s="1303"/>
      <c r="E6" s="1301"/>
      <c r="F6" s="1304"/>
      <c r="G6" s="1304"/>
      <c r="H6" s="1305"/>
      <c r="I6" s="1306">
        <f t="shared" si="0"/>
        <v>0</v>
      </c>
    </row>
    <row r="7" spans="1:9">
      <c r="A7" s="3270"/>
      <c r="B7" s="3271" t="s">
        <v>1089</v>
      </c>
      <c r="C7" s="3271"/>
      <c r="D7" s="1303"/>
      <c r="E7" s="1301"/>
      <c r="F7" s="1304"/>
      <c r="G7" s="1304"/>
      <c r="H7" s="1305"/>
      <c r="I7" s="1306">
        <f t="shared" si="0"/>
        <v>0</v>
      </c>
    </row>
    <row r="8" spans="1:9">
      <c r="A8" s="3270"/>
      <c r="B8" s="3271" t="s">
        <v>1090</v>
      </c>
      <c r="C8" s="3271"/>
      <c r="D8" s="1303"/>
      <c r="E8" s="1301"/>
      <c r="F8" s="1304"/>
      <c r="G8" s="1304"/>
      <c r="H8" s="1305"/>
      <c r="I8" s="1306">
        <f t="shared" si="0"/>
        <v>0</v>
      </c>
    </row>
    <row r="9" spans="1:9">
      <c r="A9" s="3270"/>
      <c r="B9" s="3271" t="s">
        <v>1091</v>
      </c>
      <c r="C9" s="3271"/>
      <c r="D9" s="1303"/>
      <c r="E9" s="1301"/>
      <c r="F9" s="1304"/>
      <c r="G9" s="1304"/>
      <c r="H9" s="1305"/>
      <c r="I9" s="1306">
        <f t="shared" si="0"/>
        <v>0</v>
      </c>
    </row>
    <row r="10" spans="1:9">
      <c r="A10" s="3270"/>
      <c r="B10" s="3272" t="s">
        <v>1092</v>
      </c>
      <c r="C10" s="3272"/>
      <c r="D10" s="1307"/>
      <c r="E10" s="1307" t="e">
        <f>ROUND(D1*10000/D10/H9,0)</f>
        <v>#DIV/0!</v>
      </c>
      <c r="F10" s="1308"/>
      <c r="G10" s="1308"/>
      <c r="H10" s="1309"/>
      <c r="I10" s="1310">
        <f>SUM(I3:I9)</f>
        <v>0</v>
      </c>
    </row>
    <row r="11" spans="1:9" ht="14.25">
      <c r="A11" s="3270" t="s">
        <v>1093</v>
      </c>
      <c r="B11" s="3271" t="s">
        <v>1094</v>
      </c>
      <c r="C11" s="3271"/>
      <c r="D11" s="1303" t="s">
        <v>1095</v>
      </c>
      <c r="E11" s="1303" t="s">
        <v>1096</v>
      </c>
      <c r="F11" s="1304" t="s">
        <v>1097</v>
      </c>
      <c r="G11" s="1304" t="s">
        <v>1083</v>
      </c>
      <c r="H11" s="1311" t="s">
        <v>1098</v>
      </c>
      <c r="I11" s="1302" t="s">
        <v>1084</v>
      </c>
    </row>
    <row r="12" spans="1:9">
      <c r="A12" s="3270"/>
      <c r="B12" s="3271" t="s">
        <v>1099</v>
      </c>
      <c r="C12" s="3271"/>
      <c r="D12" s="1303"/>
      <c r="E12" s="1303"/>
      <c r="F12" s="1304"/>
      <c r="G12" s="1305"/>
      <c r="H12" s="1312"/>
      <c r="I12" s="1302">
        <f>ROUND(D12*E12*F12*G12/10000,0)</f>
        <v>0</v>
      </c>
    </row>
    <row r="13" spans="1:9">
      <c r="A13" s="3270"/>
      <c r="B13" s="3271" t="s">
        <v>1100</v>
      </c>
      <c r="C13" s="3271"/>
      <c r="D13" s="1303"/>
      <c r="E13" s="1303"/>
      <c r="F13" s="1304"/>
      <c r="G13" s="1305"/>
      <c r="H13" s="1312"/>
      <c r="I13" s="1302">
        <f>ROUND(D13*E13*F13*G13/10000,0)</f>
        <v>0</v>
      </c>
    </row>
    <row r="14" spans="1:9">
      <c r="A14" s="3270"/>
      <c r="B14" s="3271" t="s">
        <v>1101</v>
      </c>
      <c r="C14" s="3271"/>
      <c r="D14" s="1303"/>
      <c r="E14" s="1303"/>
      <c r="F14" s="1304"/>
      <c r="G14" s="1305"/>
      <c r="H14" s="1312"/>
      <c r="I14" s="1302">
        <f>ROUND(D14*E14*F14*G14/10000,0)</f>
        <v>0</v>
      </c>
    </row>
    <row r="15" spans="1:9">
      <c r="A15" s="3270"/>
      <c r="B15" s="3272" t="s">
        <v>1092</v>
      </c>
      <c r="C15" s="3272"/>
      <c r="D15" s="1307"/>
      <c r="E15" s="1307">
        <f>SUM(E12:E14)</f>
        <v>0</v>
      </c>
      <c r="F15" s="1308"/>
      <c r="G15" s="1305"/>
      <c r="H15" s="1312"/>
      <c r="I15" s="1313">
        <f>SUM(I12:I14)</f>
        <v>0</v>
      </c>
    </row>
    <row r="16" spans="1:9" ht="24">
      <c r="A16" s="3270" t="s">
        <v>1102</v>
      </c>
      <c r="B16" s="3271" t="s">
        <v>1103</v>
      </c>
      <c r="C16" s="3271"/>
      <c r="D16" s="1303" t="s">
        <v>1079</v>
      </c>
      <c r="E16" s="1314" t="s">
        <v>1104</v>
      </c>
      <c r="F16" s="1304" t="s">
        <v>1105</v>
      </c>
      <c r="G16" s="1305" t="s">
        <v>1083</v>
      </c>
      <c r="H16" s="1311" t="s">
        <v>1098</v>
      </c>
      <c r="I16" s="1302" t="s">
        <v>1084</v>
      </c>
    </row>
    <row r="17" spans="1:9" ht="14.25">
      <c r="A17" s="3270"/>
      <c r="B17" s="3271" t="s">
        <v>1106</v>
      </c>
      <c r="C17" s="3271"/>
      <c r="D17" s="1303"/>
      <c r="E17" s="1303"/>
      <c r="F17" s="1304"/>
      <c r="G17" s="1305"/>
      <c r="H17" s="1315"/>
      <c r="I17" s="1316">
        <f>ROUND(D17*E17*F17*G17/10000,0)</f>
        <v>0</v>
      </c>
    </row>
    <row r="18" spans="1:9" ht="14.25">
      <c r="A18" s="3270"/>
      <c r="B18" s="3271" t="s">
        <v>1107</v>
      </c>
      <c r="C18" s="3271"/>
      <c r="D18" s="1303"/>
      <c r="E18" s="1303"/>
      <c r="F18" s="1304"/>
      <c r="G18" s="1305"/>
      <c r="H18" s="1315"/>
      <c r="I18" s="1316">
        <f>ROUND(D18*E18*F18*G18/10000,0)</f>
        <v>0</v>
      </c>
    </row>
    <row r="19" spans="1:9" ht="14.25">
      <c r="A19" s="3270"/>
      <c r="B19" s="3271" t="s">
        <v>1108</v>
      </c>
      <c r="C19" s="3271"/>
      <c r="D19" s="1303"/>
      <c r="E19" s="1303"/>
      <c r="F19" s="1304"/>
      <c r="G19" s="1305"/>
      <c r="H19" s="1315"/>
      <c r="I19" s="1316">
        <f>ROUND(D19*E19*F19*G19/10000,0)</f>
        <v>0</v>
      </c>
    </row>
    <row r="20" spans="1:9">
      <c r="A20" s="3270"/>
      <c r="B20" s="3272" t="s">
        <v>1092</v>
      </c>
      <c r="C20" s="3272"/>
      <c r="D20" s="1307">
        <f>SUM(D17:D19)</f>
        <v>0</v>
      </c>
      <c r="E20" s="1307"/>
      <c r="F20" s="1308"/>
      <c r="G20" s="1305"/>
      <c r="H20" s="1312"/>
      <c r="I20" s="1313">
        <f>SUM(I17:I19)</f>
        <v>0</v>
      </c>
    </row>
    <row r="21" spans="1:9">
      <c r="A21" s="3270" t="s">
        <v>1109</v>
      </c>
      <c r="B21" s="3274"/>
      <c r="C21" s="3274"/>
      <c r="D21" s="3274"/>
      <c r="E21" s="3274"/>
      <c r="F21" s="3274"/>
      <c r="G21" s="3274"/>
      <c r="H21" s="1764">
        <v>0.1</v>
      </c>
      <c r="I21" s="1310">
        <f>ROUND(I10*H21,0)</f>
        <v>0</v>
      </c>
    </row>
    <row r="22" spans="1:9" ht="14.25">
      <c r="A22" s="3275" t="s">
        <v>1110</v>
      </c>
      <c r="B22" s="3276"/>
      <c r="C22" s="3277"/>
      <c r="D22" s="1317" t="s">
        <v>1111</v>
      </c>
      <c r="E22" s="1317" t="s">
        <v>1112</v>
      </c>
      <c r="F22" s="1318" t="s">
        <v>1113</v>
      </c>
      <c r="G22" s="1318" t="s">
        <v>1114</v>
      </c>
      <c r="H22" s="1311" t="s">
        <v>1115</v>
      </c>
      <c r="I22" s="1302" t="s">
        <v>1116</v>
      </c>
    </row>
    <row r="23" spans="1:9" ht="14.25" thickBot="1">
      <c r="A23" s="3278"/>
      <c r="B23" s="3279"/>
      <c r="C23" s="3280"/>
      <c r="D23" s="1319"/>
      <c r="E23" s="1319"/>
      <c r="F23" s="1319"/>
      <c r="G23" s="1320"/>
      <c r="H23" s="1321"/>
      <c r="I23" s="1322">
        <f>ROUND(E23*D23*F23*(1-G23)/10000,0)</f>
        <v>0</v>
      </c>
    </row>
    <row r="26" spans="1:9">
      <c r="A26" s="1323" t="s">
        <v>1117</v>
      </c>
      <c r="B26" s="1323"/>
      <c r="C26" s="1323"/>
      <c r="D26" s="1323"/>
      <c r="E26" s="3281">
        <f>C27-C30-C31-C32</f>
        <v>0</v>
      </c>
      <c r="F26" s="3281"/>
      <c r="G26" s="3281"/>
      <c r="H26" s="1736" t="s">
        <v>1340</v>
      </c>
    </row>
    <row r="27" spans="1:9">
      <c r="A27" s="1324">
        <v>1</v>
      </c>
      <c r="B27" s="1325" t="s">
        <v>1118</v>
      </c>
      <c r="C27" s="1325">
        <f>C28+C29</f>
        <v>0</v>
      </c>
      <c r="D27" s="1325"/>
      <c r="E27" s="3282"/>
      <c r="F27" s="3282"/>
      <c r="G27" s="3282"/>
    </row>
    <row r="28" spans="1:9">
      <c r="A28" s="1326" t="s">
        <v>1119</v>
      </c>
      <c r="B28" s="1325" t="s">
        <v>1120</v>
      </c>
      <c r="C28" s="1325"/>
      <c r="D28" s="1325"/>
      <c r="E28" s="3282"/>
      <c r="F28" s="3282"/>
      <c r="G28" s="3282"/>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73"/>
      <c r="F32" s="3273"/>
      <c r="G32" s="3273"/>
    </row>
    <row r="33" spans="1:7" hidden="1">
      <c r="A33" s="3283" t="s">
        <v>1129</v>
      </c>
      <c r="B33" s="3284"/>
      <c r="C33" s="3284"/>
      <c r="D33" s="3285"/>
      <c r="E33" s="3281"/>
      <c r="F33" s="3281"/>
      <c r="G33" s="3281"/>
    </row>
    <row r="34" spans="1:7" hidden="1">
      <c r="A34" s="1328">
        <v>1</v>
      </c>
      <c r="B34" s="1325" t="s">
        <v>1130</v>
      </c>
      <c r="C34" s="1325"/>
      <c r="D34" s="1325"/>
      <c r="E34" s="3282"/>
      <c r="F34" s="3282"/>
      <c r="G34" s="3282"/>
    </row>
    <row r="35" spans="1:7" hidden="1">
      <c r="A35" s="1328">
        <v>2</v>
      </c>
      <c r="B35" s="1325" t="s">
        <v>1131</v>
      </c>
      <c r="C35" s="1325"/>
      <c r="D35" s="1325"/>
      <c r="E35" s="3282"/>
      <c r="F35" s="3282"/>
      <c r="G35" s="3282"/>
    </row>
    <row r="36" spans="1:7" hidden="1">
      <c r="A36" s="1328">
        <v>3</v>
      </c>
      <c r="B36" s="1325" t="s">
        <v>1132</v>
      </c>
      <c r="C36" s="1325"/>
      <c r="D36" s="1325"/>
      <c r="E36" s="3282"/>
      <c r="F36" s="3282"/>
      <c r="G36" s="3282"/>
    </row>
    <row r="37" spans="1:7" hidden="1">
      <c r="A37" s="1328">
        <v>4</v>
      </c>
      <c r="B37" s="1325" t="s">
        <v>1133</v>
      </c>
      <c r="C37" s="1325"/>
      <c r="D37" s="1325"/>
      <c r="E37" s="3282"/>
      <c r="F37" s="3282"/>
      <c r="G37" s="3282"/>
    </row>
    <row r="38" spans="1:7" hidden="1">
      <c r="A38" s="3283" t="s">
        <v>1134</v>
      </c>
      <c r="B38" s="3284"/>
      <c r="C38" s="3284"/>
      <c r="D38" s="3285"/>
      <c r="E38" s="3281"/>
      <c r="F38" s="3281"/>
      <c r="G38" s="32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8" t="s">
        <v>2524</v>
      </c>
      <c r="C1" s="1634" t="s">
        <v>2525</v>
      </c>
      <c r="D1" s="1621"/>
      <c r="E1" s="2579"/>
      <c r="F1" s="2580" t="s">
        <v>2526</v>
      </c>
      <c r="G1" s="1631" t="s">
        <v>2527</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2"/>
      <c r="D2" s="1365" t="e">
        <f ca="1">SUMIF(INDIRECT("'"&amp;F2&amp;"'"&amp;"!A:A"),"承租人权益价值",INDIRECT("'"&amp;F2&amp;"'"&amp;"!c:c"))</f>
        <v>#REF!</v>
      </c>
      <c r="E2" s="2583" t="s">
        <v>2528</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t="e">
        <f ca="1">IF(C2="——",C49,ROUND(B2*10000/D3,0))</f>
        <v>#DIV/0!</v>
      </c>
      <c r="C3" s="400" t="s">
        <v>2529</v>
      </c>
      <c r="D3" s="399">
        <f>IF(D1="",'数据-汇总表'!E3,SUMIF('数据-汇总表'!$C19:$C33,D1,'数据-汇总表'!$E19:$E33))</f>
        <v>18418.460000000006</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2530</v>
      </c>
      <c r="B4" s="402"/>
      <c r="C4" s="3232" t="s">
        <v>2531</v>
      </c>
      <c r="D4" s="3233"/>
      <c r="E4" s="3234" t="s">
        <v>2532</v>
      </c>
      <c r="F4" s="3235"/>
      <c r="G4" s="3232" t="s">
        <v>2533</v>
      </c>
      <c r="H4" s="3233"/>
      <c r="I4" s="3232" t="s">
        <v>2534</v>
      </c>
      <c r="J4" s="3233"/>
      <c r="K4" s="2592" t="s">
        <v>2535</v>
      </c>
      <c r="L4" s="1130"/>
      <c r="M4" s="1131"/>
      <c r="N4" s="1131"/>
      <c r="O4" s="1131"/>
      <c r="P4" s="3236" t="s">
        <v>2536</v>
      </c>
      <c r="Q4" s="3237"/>
      <c r="R4" s="3219" t="s">
        <v>2532</v>
      </c>
      <c r="S4" s="3220"/>
      <c r="T4" s="3219" t="s">
        <v>2533</v>
      </c>
      <c r="U4" s="3220"/>
      <c r="V4" s="3216" t="s">
        <v>2534</v>
      </c>
      <c r="W4" s="3216"/>
      <c r="X4" s="1811"/>
      <c r="Y4" s="3219" t="s">
        <v>2536</v>
      </c>
      <c r="Z4" s="3220"/>
      <c r="AA4" s="3213" t="s">
        <v>2532</v>
      </c>
      <c r="AB4" s="3213" t="s">
        <v>2533</v>
      </c>
      <c r="AC4" s="3213" t="s">
        <v>2534</v>
      </c>
    </row>
    <row r="5" spans="1:29" ht="15">
      <c r="A5" s="404"/>
      <c r="B5" s="405"/>
      <c r="C5" s="3287" t="s">
        <v>2537</v>
      </c>
      <c r="D5" s="3226"/>
      <c r="E5" s="3286" t="s">
        <v>2538</v>
      </c>
      <c r="F5" s="3224"/>
      <c r="G5" s="3287" t="s">
        <v>2539</v>
      </c>
      <c r="H5" s="3226"/>
      <c r="I5" s="3287" t="s">
        <v>2540</v>
      </c>
      <c r="J5" s="3226"/>
      <c r="K5" s="2593"/>
      <c r="L5" s="1130"/>
      <c r="M5" s="1131"/>
      <c r="N5" s="1131"/>
      <c r="O5" s="1131"/>
      <c r="P5" s="3238"/>
      <c r="Q5" s="3239"/>
      <c r="R5" s="3221"/>
      <c r="S5" s="3222"/>
      <c r="T5" s="3221"/>
      <c r="U5" s="3222"/>
      <c r="V5" s="3216"/>
      <c r="W5" s="3216"/>
      <c r="X5" s="1811"/>
      <c r="Y5" s="3221"/>
      <c r="Z5" s="3222"/>
      <c r="AA5" s="3214"/>
      <c r="AB5" s="3214"/>
      <c r="AC5" s="3214"/>
    </row>
    <row r="6" spans="1:29" ht="15.75" thickBot="1">
      <c r="A6" s="406"/>
      <c r="B6" s="407"/>
      <c r="C6" s="3288" t="s">
        <v>2541</v>
      </c>
      <c r="D6" s="3228"/>
      <c r="E6" s="3289" t="s">
        <v>2541</v>
      </c>
      <c r="F6" s="3230"/>
      <c r="G6" s="3288" t="s">
        <v>2541</v>
      </c>
      <c r="H6" s="3228"/>
      <c r="I6" s="3288" t="s">
        <v>2541</v>
      </c>
      <c r="J6" s="3228"/>
      <c r="K6" s="2593" t="s">
        <v>2542</v>
      </c>
      <c r="L6" s="1130"/>
      <c r="M6" s="1131"/>
      <c r="N6" s="1131"/>
      <c r="O6" s="1131"/>
      <c r="P6" s="3240"/>
      <c r="Q6" s="3241"/>
      <c r="R6" s="3221"/>
      <c r="S6" s="3222"/>
      <c r="T6" s="3242"/>
      <c r="U6" s="3243"/>
      <c r="V6" s="3216"/>
      <c r="W6" s="3216"/>
      <c r="X6" s="1811"/>
      <c r="Y6" s="3242"/>
      <c r="Z6" s="3243"/>
      <c r="AA6" s="3215"/>
      <c r="AB6" s="3215"/>
      <c r="AC6" s="3215"/>
    </row>
    <row r="7" spans="1:29" s="117" customFormat="1" ht="15.75" thickBot="1">
      <c r="A7" s="408" t="s">
        <v>2543</v>
      </c>
      <c r="B7" s="409"/>
      <c r="C7" s="410">
        <f>'数据-取费表'!B2</f>
        <v>43279</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217" t="s">
        <v>2544</v>
      </c>
      <c r="Q7" s="3244"/>
      <c r="R7" s="769" t="s">
        <v>23</v>
      </c>
      <c r="S7" s="770">
        <f t="shared" ref="S7:S15" si="0">F7</f>
        <v>0</v>
      </c>
      <c r="T7" s="769" t="s">
        <v>23</v>
      </c>
      <c r="U7" s="770">
        <f t="shared" ref="U7:U15" si="1">H7</f>
        <v>0</v>
      </c>
      <c r="V7" s="769" t="s">
        <v>23</v>
      </c>
      <c r="W7" s="770">
        <f t="shared" ref="W7:W15" si="2">J7</f>
        <v>0</v>
      </c>
      <c r="X7" s="771"/>
      <c r="Y7" s="3217" t="s">
        <v>2544</v>
      </c>
      <c r="Z7" s="3218"/>
      <c r="AA7" s="772" t="e">
        <f>D7/F7</f>
        <v>#DIV/0!</v>
      </c>
      <c r="AB7" s="772" t="e">
        <f>D7/H7</f>
        <v>#DIV/0!</v>
      </c>
      <c r="AC7" s="772" t="e">
        <f>D7/J7</f>
        <v>#DIV/0!</v>
      </c>
    </row>
    <row r="8" spans="1:29" s="117" customFormat="1" ht="15.75" thickBot="1">
      <c r="A8" s="408" t="s">
        <v>2545</v>
      </c>
      <c r="B8" s="409"/>
      <c r="C8" s="414" t="s">
        <v>2546</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217" t="s">
        <v>2547</v>
      </c>
      <c r="Q8" s="3218"/>
      <c r="R8" s="769" t="s">
        <v>23</v>
      </c>
      <c r="S8" s="770">
        <f t="shared" si="0"/>
        <v>0</v>
      </c>
      <c r="T8" s="769" t="s">
        <v>23</v>
      </c>
      <c r="U8" s="770">
        <f t="shared" si="1"/>
        <v>0</v>
      </c>
      <c r="V8" s="769" t="s">
        <v>23</v>
      </c>
      <c r="W8" s="770">
        <f t="shared" si="2"/>
        <v>0</v>
      </c>
      <c r="X8" s="771"/>
      <c r="Y8" s="3217" t="s">
        <v>2547</v>
      </c>
      <c r="Z8" s="3218"/>
      <c r="AA8" s="772" t="e">
        <f t="shared" ref="AA8:AA19" si="3">D8/F8</f>
        <v>#DIV/0!</v>
      </c>
      <c r="AB8" s="772" t="e">
        <f t="shared" ref="AB8:AB19" si="4">D8/H8</f>
        <v>#DIV/0!</v>
      </c>
      <c r="AC8" s="772"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31" t="s">
        <v>2550</v>
      </c>
      <c r="Q9" s="1793" t="str">
        <f t="shared" ref="Q9:Q15" si="6">B9</f>
        <v>用途</v>
      </c>
      <c r="R9" s="769" t="s">
        <v>17</v>
      </c>
      <c r="S9" s="770">
        <f t="shared" si="0"/>
        <v>100</v>
      </c>
      <c r="T9" s="769" t="s">
        <v>17</v>
      </c>
      <c r="U9" s="770">
        <f t="shared" si="1"/>
        <v>100</v>
      </c>
      <c r="V9" s="769" t="s">
        <v>17</v>
      </c>
      <c r="W9" s="770">
        <f t="shared" si="2"/>
        <v>100</v>
      </c>
      <c r="X9" s="771"/>
      <c r="Y9" s="3090" t="s">
        <v>2551</v>
      </c>
      <c r="Z9" s="55" t="str">
        <f t="shared" ref="Z9:Z15" si="7">Q9</f>
        <v>用途</v>
      </c>
      <c r="AA9" s="772">
        <f t="shared" si="3"/>
        <v>1</v>
      </c>
      <c r="AB9" s="772">
        <f t="shared" si="4"/>
        <v>1</v>
      </c>
      <c r="AC9" s="772">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1"/>
      <c r="Q10" s="1793" t="str">
        <f t="shared" si="6"/>
        <v>土地使用年限（年）</v>
      </c>
      <c r="R10" s="769" t="s">
        <v>17</v>
      </c>
      <c r="S10" s="770">
        <f t="shared" si="0"/>
        <v>100</v>
      </c>
      <c r="T10" s="769" t="s">
        <v>17</v>
      </c>
      <c r="U10" s="770">
        <f t="shared" si="1"/>
        <v>100</v>
      </c>
      <c r="V10" s="769" t="s">
        <v>17</v>
      </c>
      <c r="W10" s="770">
        <f t="shared" si="2"/>
        <v>100</v>
      </c>
      <c r="X10" s="771"/>
      <c r="Y10" s="3090"/>
      <c r="Z10" s="55" t="str">
        <f t="shared" si="7"/>
        <v>土地使用年限（年）</v>
      </c>
      <c r="AA10" s="772">
        <f t="shared" si="3"/>
        <v>1</v>
      </c>
      <c r="AB10" s="772">
        <f t="shared" si="4"/>
        <v>1</v>
      </c>
      <c r="AC10" s="772">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1"/>
      <c r="Q11" s="1793" t="str">
        <f t="shared" si="6"/>
        <v>容积率</v>
      </c>
      <c r="R11" s="769" t="s">
        <v>21</v>
      </c>
      <c r="S11" s="770" t="e">
        <f t="shared" si="0"/>
        <v>#N/A</v>
      </c>
      <c r="T11" s="769" t="s">
        <v>21</v>
      </c>
      <c r="U11" s="770" t="e">
        <f t="shared" si="1"/>
        <v>#N/A</v>
      </c>
      <c r="V11" s="769" t="s">
        <v>21</v>
      </c>
      <c r="W11" s="770" t="e">
        <f t="shared" si="2"/>
        <v>#N/A</v>
      </c>
      <c r="X11" s="771"/>
      <c r="Y11" s="3090"/>
      <c r="Z11" s="55" t="str">
        <f t="shared" si="7"/>
        <v>容积率</v>
      </c>
      <c r="AA11" s="772" t="e">
        <f t="shared" si="3"/>
        <v>#N/A</v>
      </c>
      <c r="AB11" s="772" t="e">
        <f t="shared" si="4"/>
        <v>#N/A</v>
      </c>
      <c r="AC11" s="772"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31"/>
      <c r="Q12" s="1793">
        <f t="shared" si="6"/>
        <v>111</v>
      </c>
      <c r="R12" s="769" t="s">
        <v>21</v>
      </c>
      <c r="S12" s="770">
        <f t="shared" si="0"/>
        <v>100</v>
      </c>
      <c r="T12" s="769" t="s">
        <v>21</v>
      </c>
      <c r="U12" s="770">
        <f t="shared" si="1"/>
        <v>100</v>
      </c>
      <c r="V12" s="769" t="s">
        <v>21</v>
      </c>
      <c r="W12" s="770">
        <f t="shared" si="2"/>
        <v>100</v>
      </c>
      <c r="X12" s="771"/>
      <c r="Y12" s="3090"/>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31"/>
      <c r="Q13" s="1793">
        <f t="shared" si="6"/>
        <v>111</v>
      </c>
      <c r="R13" s="769" t="s">
        <v>21</v>
      </c>
      <c r="S13" s="770">
        <f t="shared" si="0"/>
        <v>100</v>
      </c>
      <c r="T13" s="769" t="s">
        <v>21</v>
      </c>
      <c r="U13" s="770">
        <f t="shared" si="1"/>
        <v>100</v>
      </c>
      <c r="V13" s="769" t="s">
        <v>21</v>
      </c>
      <c r="W13" s="770">
        <f t="shared" si="2"/>
        <v>100</v>
      </c>
      <c r="X13" s="771"/>
      <c r="Y13" s="3090"/>
      <c r="Z13" s="55">
        <f t="shared" si="7"/>
        <v>111</v>
      </c>
      <c r="AA13" s="772">
        <f t="shared" si="3"/>
        <v>1</v>
      </c>
      <c r="AB13" s="772">
        <f t="shared" si="4"/>
        <v>1</v>
      </c>
      <c r="AC13" s="772">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31"/>
      <c r="Q14" s="1793">
        <f t="shared" si="6"/>
        <v>111</v>
      </c>
      <c r="R14" s="769" t="s">
        <v>21</v>
      </c>
      <c r="S14" s="770">
        <f t="shared" si="0"/>
        <v>100</v>
      </c>
      <c r="T14" s="769" t="s">
        <v>21</v>
      </c>
      <c r="U14" s="770">
        <f t="shared" si="1"/>
        <v>100</v>
      </c>
      <c r="V14" s="769" t="s">
        <v>21</v>
      </c>
      <c r="W14" s="770">
        <f t="shared" si="2"/>
        <v>100</v>
      </c>
      <c r="X14" s="771"/>
      <c r="Y14" s="3090"/>
      <c r="Z14" s="55">
        <f t="shared" si="7"/>
        <v>111</v>
      </c>
      <c r="AA14" s="772">
        <f t="shared" si="3"/>
        <v>1</v>
      </c>
      <c r="AB14" s="772">
        <f t="shared" si="4"/>
        <v>1</v>
      </c>
      <c r="AC14" s="772">
        <f t="shared" si="5"/>
        <v>1</v>
      </c>
    </row>
    <row r="15" spans="1:29" ht="99.75">
      <c r="A15" s="440" t="s">
        <v>2554</v>
      </c>
      <c r="B15" s="69" t="s">
        <v>2084</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5" t="s">
        <v>2555</v>
      </c>
      <c r="Q15" s="1808" t="str">
        <f t="shared" si="6"/>
        <v>居住社区成熟度</v>
      </c>
      <c r="R15" s="773" t="s">
        <v>21</v>
      </c>
      <c r="S15" s="774">
        <f t="shared" si="0"/>
        <v>100</v>
      </c>
      <c r="T15" s="773" t="s">
        <v>21</v>
      </c>
      <c r="U15" s="774">
        <f t="shared" si="1"/>
        <v>100</v>
      </c>
      <c r="V15" s="773" t="s">
        <v>21</v>
      </c>
      <c r="W15" s="774">
        <f t="shared" si="2"/>
        <v>100</v>
      </c>
      <c r="X15" s="1811"/>
      <c r="Y15" s="3247" t="s">
        <v>2555</v>
      </c>
      <c r="Z15" s="1812" t="str">
        <f t="shared" si="7"/>
        <v>居住社区成熟度</v>
      </c>
      <c r="AA15" s="1809">
        <f t="shared" si="3"/>
        <v>1</v>
      </c>
      <c r="AB15" s="1809">
        <f t="shared" si="4"/>
        <v>1</v>
      </c>
      <c r="AC15" s="1809">
        <f t="shared" si="5"/>
        <v>1</v>
      </c>
    </row>
    <row r="16" spans="1:29" ht="15">
      <c r="A16" s="428"/>
      <c r="B16" s="446"/>
      <c r="C16" s="447"/>
      <c r="D16" s="448"/>
      <c r="E16" s="2600"/>
      <c r="F16" s="448"/>
      <c r="G16" s="2601"/>
      <c r="H16" s="450"/>
      <c r="I16" s="2601"/>
      <c r="J16" s="448"/>
      <c r="K16" s="2602"/>
      <c r="L16" s="1140"/>
      <c r="M16" s="1131"/>
      <c r="N16" s="1131"/>
      <c r="O16" s="1131"/>
      <c r="P16" s="3246"/>
      <c r="Q16" s="1808"/>
      <c r="R16" s="773"/>
      <c r="S16" s="774"/>
      <c r="T16" s="773"/>
      <c r="U16" s="774"/>
      <c r="V16" s="773"/>
      <c r="W16" s="774"/>
      <c r="X16" s="1811"/>
      <c r="Y16" s="3248"/>
      <c r="Z16" s="1812"/>
      <c r="AA16" s="1809">
        <v>1</v>
      </c>
      <c r="AB16" s="1809">
        <v>1</v>
      </c>
      <c r="AC16" s="1809">
        <v>1</v>
      </c>
    </row>
    <row r="17" spans="1:29" ht="99.75">
      <c r="A17" s="428"/>
      <c r="B17" s="451" t="s">
        <v>2095</v>
      </c>
      <c r="C17" s="2603" t="str">
        <f>估价对象房地状况!C6</f>
        <v>估价对象周边道路状况较好、公共交通通达情况较好、停车便捷程度较好，综合评价交通便捷度较好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6"/>
      <c r="Q17" s="1808" t="str">
        <f>B17</f>
        <v>交通便捷度</v>
      </c>
      <c r="R17" s="773" t="s">
        <v>21</v>
      </c>
      <c r="S17" s="774">
        <f>F17</f>
        <v>100</v>
      </c>
      <c r="T17" s="773" t="s">
        <v>21</v>
      </c>
      <c r="U17" s="774">
        <f>H17</f>
        <v>100</v>
      </c>
      <c r="V17" s="773" t="s">
        <v>21</v>
      </c>
      <c r="W17" s="774">
        <f>J17</f>
        <v>100</v>
      </c>
      <c r="X17" s="1811"/>
      <c r="Y17" s="3248"/>
      <c r="Z17" s="1812" t="str">
        <f>Q17</f>
        <v>交通便捷度</v>
      </c>
      <c r="AA17" s="1809">
        <f t="shared" si="3"/>
        <v>1</v>
      </c>
      <c r="AB17" s="1809">
        <f t="shared" si="4"/>
        <v>1</v>
      </c>
      <c r="AC17" s="1809">
        <f t="shared" si="5"/>
        <v>1</v>
      </c>
    </row>
    <row r="18" spans="1:29" ht="15">
      <c r="A18" s="428"/>
      <c r="B18" s="456"/>
      <c r="C18" s="2604"/>
      <c r="D18" s="450"/>
      <c r="E18" s="2605"/>
      <c r="F18" s="450"/>
      <c r="G18" s="2606"/>
      <c r="H18" s="448"/>
      <c r="I18" s="2606"/>
      <c r="J18" s="448"/>
      <c r="K18" s="2602"/>
      <c r="L18" s="1140"/>
      <c r="M18" s="1131"/>
      <c r="N18" s="1131"/>
      <c r="O18" s="1131"/>
      <c r="P18" s="3246"/>
      <c r="Q18" s="1808"/>
      <c r="R18" s="773"/>
      <c r="S18" s="774"/>
      <c r="T18" s="773"/>
      <c r="U18" s="774"/>
      <c r="V18" s="773"/>
      <c r="W18" s="774"/>
      <c r="X18" s="1811"/>
      <c r="Y18" s="3248"/>
      <c r="Z18" s="1812"/>
      <c r="AA18" s="1809">
        <v>1</v>
      </c>
      <c r="AB18" s="1809">
        <v>1</v>
      </c>
      <c r="AC18" s="1809">
        <v>1</v>
      </c>
    </row>
    <row r="19" spans="1:29" ht="42.75">
      <c r="A19" s="428"/>
      <c r="B19" s="451" t="s">
        <v>2093</v>
      </c>
      <c r="C19" s="2603"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6"/>
      <c r="Q19" s="1808" t="str">
        <f>B19</f>
        <v>公共配套设施</v>
      </c>
      <c r="R19" s="773" t="s">
        <v>21</v>
      </c>
      <c r="S19" s="774">
        <f>F19</f>
        <v>100</v>
      </c>
      <c r="T19" s="773" t="s">
        <v>21</v>
      </c>
      <c r="U19" s="774">
        <f>H19</f>
        <v>100</v>
      </c>
      <c r="V19" s="773" t="s">
        <v>21</v>
      </c>
      <c r="W19" s="774">
        <f>J19</f>
        <v>100</v>
      </c>
      <c r="X19" s="1811"/>
      <c r="Y19" s="3248"/>
      <c r="Z19" s="1812" t="str">
        <f>Q19</f>
        <v>公共配套设施</v>
      </c>
      <c r="AA19" s="1809">
        <f t="shared" si="3"/>
        <v>1</v>
      </c>
      <c r="AB19" s="1809">
        <f t="shared" si="4"/>
        <v>1</v>
      </c>
      <c r="AC19" s="1809">
        <f t="shared" si="5"/>
        <v>1</v>
      </c>
    </row>
    <row r="20" spans="1:29" ht="15">
      <c r="A20" s="428"/>
      <c r="B20" s="456"/>
      <c r="C20" s="447"/>
      <c r="D20" s="448"/>
      <c r="E20" s="2600"/>
      <c r="F20" s="448"/>
      <c r="G20" s="2601"/>
      <c r="H20" s="448"/>
      <c r="I20" s="2601"/>
      <c r="J20" s="448"/>
      <c r="K20" s="2602"/>
      <c r="L20" s="1140"/>
      <c r="M20" s="1131"/>
      <c r="N20" s="1131"/>
      <c r="O20" s="1131"/>
      <c r="P20" s="3246"/>
      <c r="Q20" s="1808"/>
      <c r="R20" s="773"/>
      <c r="S20" s="774"/>
      <c r="T20" s="773"/>
      <c r="U20" s="774"/>
      <c r="V20" s="773"/>
      <c r="W20" s="774"/>
      <c r="X20" s="1811"/>
      <c r="Y20" s="3248"/>
      <c r="Z20" s="1812"/>
      <c r="AA20" s="1809">
        <v>1</v>
      </c>
      <c r="AB20" s="1809">
        <v>1</v>
      </c>
      <c r="AC20" s="1809">
        <v>1</v>
      </c>
    </row>
    <row r="21" spans="1:29" ht="42.75">
      <c r="A21" s="428"/>
      <c r="B21" s="1384" t="s">
        <v>2096</v>
      </c>
      <c r="C21" s="2603" t="str">
        <f>估价对象房地状况!C8</f>
        <v>估价对象所在区域基础设施水平为六通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6"/>
      <c r="Q21" s="1808" t="str">
        <f>B21</f>
        <v>基础设施水平</v>
      </c>
      <c r="R21" s="773" t="s">
        <v>17</v>
      </c>
      <c r="S21" s="774">
        <f>F21</f>
        <v>100</v>
      </c>
      <c r="T21" s="773" t="s">
        <v>17</v>
      </c>
      <c r="U21" s="774">
        <f>H21</f>
        <v>100</v>
      </c>
      <c r="V21" s="773" t="s">
        <v>17</v>
      </c>
      <c r="W21" s="774">
        <f>J21</f>
        <v>100</v>
      </c>
      <c r="X21" s="1811"/>
      <c r="Y21" s="3248"/>
      <c r="Z21" s="1812" t="str">
        <f>Q21</f>
        <v>基础设施水平</v>
      </c>
      <c r="AA21" s="1809">
        <f t="shared" ref="AA21" si="8">D21/F21</f>
        <v>1</v>
      </c>
      <c r="AB21" s="1809">
        <f t="shared" ref="AB21" si="9">D21/H21</f>
        <v>1</v>
      </c>
      <c r="AC21" s="1809">
        <f t="shared" ref="AC21" si="10">D21/J21</f>
        <v>1</v>
      </c>
    </row>
    <row r="22" spans="1:29" ht="15">
      <c r="A22" s="428"/>
      <c r="B22" s="1384"/>
      <c r="C22" s="2604"/>
      <c r="D22" s="448"/>
      <c r="E22" s="447"/>
      <c r="F22" s="448"/>
      <c r="G22" s="2607"/>
      <c r="H22" s="448"/>
      <c r="I22" s="447"/>
      <c r="J22" s="448"/>
      <c r="K22" s="2608"/>
      <c r="L22" s="1140"/>
      <c r="M22" s="1131"/>
      <c r="N22" s="1131"/>
      <c r="O22" s="1131"/>
      <c r="P22" s="3246"/>
      <c r="Q22" s="1808"/>
      <c r="R22" s="773"/>
      <c r="S22" s="774"/>
      <c r="T22" s="773"/>
      <c r="U22" s="774"/>
      <c r="V22" s="773"/>
      <c r="W22" s="774"/>
      <c r="X22" s="1811"/>
      <c r="Y22" s="3248"/>
      <c r="Z22" s="1812"/>
      <c r="AA22" s="1809">
        <v>1</v>
      </c>
      <c r="AB22" s="1809">
        <v>1</v>
      </c>
      <c r="AC22" s="1809">
        <v>1</v>
      </c>
    </row>
    <row r="23" spans="1:29" ht="71.25">
      <c r="A23" s="428"/>
      <c r="B23" s="451" t="s">
        <v>2100</v>
      </c>
      <c r="C23" s="2603" t="str">
        <f>估价对象房地状况!C9</f>
        <v>区域：江东公园，自然环境一般：；人文环境一般；综合评价环境状况一般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6"/>
      <c r="Q23" s="1808" t="str">
        <f>B23</f>
        <v>自然及人文环境</v>
      </c>
      <c r="R23" s="773" t="s">
        <v>21</v>
      </c>
      <c r="S23" s="774">
        <f>F23</f>
        <v>100</v>
      </c>
      <c r="T23" s="773" t="s">
        <v>21</v>
      </c>
      <c r="U23" s="774">
        <f>H23</f>
        <v>100</v>
      </c>
      <c r="V23" s="773" t="s">
        <v>21</v>
      </c>
      <c r="W23" s="774">
        <f>J23</f>
        <v>100</v>
      </c>
      <c r="X23" s="1811"/>
      <c r="Y23" s="3248"/>
      <c r="Z23" s="1812" t="str">
        <f>Q23</f>
        <v>自然及人文环境</v>
      </c>
      <c r="AA23" s="1809">
        <f>D23/F23</f>
        <v>1</v>
      </c>
      <c r="AB23" s="1809">
        <f>D23/H23</f>
        <v>1</v>
      </c>
      <c r="AC23" s="1809">
        <f>D23/J23</f>
        <v>1</v>
      </c>
    </row>
    <row r="24" spans="1:29" ht="15">
      <c r="A24" s="428"/>
      <c r="B24" s="456"/>
      <c r="C24" s="447"/>
      <c r="D24" s="448"/>
      <c r="E24" s="2600"/>
      <c r="F24" s="448"/>
      <c r="G24" s="2601"/>
      <c r="H24" s="448"/>
      <c r="I24" s="2601"/>
      <c r="J24" s="448"/>
      <c r="K24" s="2602"/>
      <c r="L24" s="1140"/>
      <c r="M24" s="1131"/>
      <c r="N24" s="1131"/>
      <c r="O24" s="1131"/>
      <c r="P24" s="3246"/>
      <c r="Q24" s="1808"/>
      <c r="R24" s="773"/>
      <c r="S24" s="774"/>
      <c r="T24" s="773"/>
      <c r="U24" s="774"/>
      <c r="V24" s="773"/>
      <c r="W24" s="774"/>
      <c r="X24" s="1811"/>
      <c r="Y24" s="3248"/>
      <c r="Z24" s="1812"/>
      <c r="AA24" s="1809">
        <v>1</v>
      </c>
      <c r="AB24" s="1809">
        <v>1</v>
      </c>
      <c r="AC24" s="1809">
        <v>1</v>
      </c>
    </row>
    <row r="25" spans="1:29" ht="15">
      <c r="A25" s="428"/>
      <c r="B25" s="422" t="s">
        <v>2556</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46"/>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48"/>
      <c r="Z25" s="1812" t="str">
        <f>Q25</f>
        <v>楼层-1</v>
      </c>
      <c r="AA25" s="1809">
        <f t="shared" ref="AA25:AA46" si="15">D25/F25</f>
        <v>1</v>
      </c>
      <c r="AB25" s="1809">
        <f t="shared" ref="AB25:AB46" si="16">D25/H25</f>
        <v>1</v>
      </c>
      <c r="AC25" s="1809">
        <f t="shared" ref="AC25:AC46" si="17">D25/J25</f>
        <v>1</v>
      </c>
    </row>
    <row r="26" spans="1:29" ht="15">
      <c r="A26" s="428"/>
      <c r="B26" s="422" t="s">
        <v>2557</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46"/>
      <c r="Q26" s="1808" t="str">
        <f t="shared" si="11"/>
        <v>朝向</v>
      </c>
      <c r="R26" s="773" t="s">
        <v>21</v>
      </c>
      <c r="S26" s="774">
        <f t="shared" si="12"/>
        <v>100</v>
      </c>
      <c r="T26" s="773" t="s">
        <v>21</v>
      </c>
      <c r="U26" s="774">
        <f t="shared" si="13"/>
        <v>100</v>
      </c>
      <c r="V26" s="773" t="s">
        <v>21</v>
      </c>
      <c r="W26" s="774">
        <f t="shared" si="14"/>
        <v>100</v>
      </c>
      <c r="X26" s="1811"/>
      <c r="Y26" s="3248"/>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46"/>
      <c r="Q27" s="1793">
        <f t="shared" si="11"/>
        <v>111</v>
      </c>
      <c r="R27" s="769" t="s">
        <v>21</v>
      </c>
      <c r="S27" s="770">
        <f t="shared" si="12"/>
        <v>100</v>
      </c>
      <c r="T27" s="769" t="s">
        <v>21</v>
      </c>
      <c r="U27" s="770">
        <f t="shared" si="13"/>
        <v>100</v>
      </c>
      <c r="V27" s="769" t="s">
        <v>21</v>
      </c>
      <c r="W27" s="770">
        <f t="shared" si="14"/>
        <v>100</v>
      </c>
      <c r="X27" s="771"/>
      <c r="Y27" s="3248"/>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46"/>
      <c r="Q28" s="1808">
        <f t="shared" si="11"/>
        <v>111</v>
      </c>
      <c r="R28" s="773" t="s">
        <v>21</v>
      </c>
      <c r="S28" s="774">
        <f t="shared" si="12"/>
        <v>100</v>
      </c>
      <c r="T28" s="773" t="s">
        <v>21</v>
      </c>
      <c r="U28" s="774">
        <f t="shared" si="13"/>
        <v>100</v>
      </c>
      <c r="V28" s="773" t="s">
        <v>21</v>
      </c>
      <c r="W28" s="774">
        <f t="shared" si="14"/>
        <v>100</v>
      </c>
      <c r="X28" s="1811"/>
      <c r="Y28" s="3248"/>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46"/>
      <c r="Q29" s="1808">
        <f t="shared" si="11"/>
        <v>111</v>
      </c>
      <c r="R29" s="773" t="s">
        <v>21</v>
      </c>
      <c r="S29" s="774">
        <f t="shared" si="12"/>
        <v>100</v>
      </c>
      <c r="T29" s="773" t="s">
        <v>21</v>
      </c>
      <c r="U29" s="774">
        <f t="shared" si="13"/>
        <v>100</v>
      </c>
      <c r="V29" s="773" t="s">
        <v>21</v>
      </c>
      <c r="W29" s="774">
        <f t="shared" si="14"/>
        <v>100</v>
      </c>
      <c r="X29" s="1811"/>
      <c r="Y29" s="3248"/>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46"/>
      <c r="Q30" s="1808">
        <f t="shared" si="11"/>
        <v>111</v>
      </c>
      <c r="R30" s="773" t="s">
        <v>21</v>
      </c>
      <c r="S30" s="774">
        <f t="shared" si="12"/>
        <v>100</v>
      </c>
      <c r="T30" s="773" t="s">
        <v>21</v>
      </c>
      <c r="U30" s="774">
        <f t="shared" si="13"/>
        <v>100</v>
      </c>
      <c r="V30" s="773" t="s">
        <v>21</v>
      </c>
      <c r="W30" s="774">
        <f t="shared" si="14"/>
        <v>100</v>
      </c>
      <c r="X30" s="1811"/>
      <c r="Y30" s="3248"/>
      <c r="Z30" s="1812">
        <f t="shared" si="18"/>
        <v>111</v>
      </c>
      <c r="AA30" s="1809">
        <f t="shared" si="15"/>
        <v>1</v>
      </c>
      <c r="AB30" s="1809">
        <f t="shared" si="16"/>
        <v>1</v>
      </c>
      <c r="AC30" s="1809">
        <f t="shared" si="17"/>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46"/>
      <c r="Q31" s="1808">
        <f t="shared" si="11"/>
        <v>111</v>
      </c>
      <c r="R31" s="773" t="s">
        <v>21</v>
      </c>
      <c r="S31" s="774">
        <f t="shared" si="12"/>
        <v>100</v>
      </c>
      <c r="T31" s="773" t="s">
        <v>21</v>
      </c>
      <c r="U31" s="774">
        <f t="shared" si="13"/>
        <v>100</v>
      </c>
      <c r="V31" s="773" t="s">
        <v>21</v>
      </c>
      <c r="W31" s="774">
        <f t="shared" si="14"/>
        <v>100</v>
      </c>
      <c r="X31" s="1811"/>
      <c r="Y31" s="3248"/>
      <c r="Z31" s="1812">
        <f t="shared" si="18"/>
        <v>111</v>
      </c>
      <c r="AA31" s="1809">
        <f t="shared" si="15"/>
        <v>1</v>
      </c>
      <c r="AB31" s="1809">
        <f t="shared" si="16"/>
        <v>1</v>
      </c>
      <c r="AC31" s="1809">
        <f t="shared" si="17"/>
        <v>1</v>
      </c>
    </row>
    <row r="32" spans="1:29" ht="15">
      <c r="A32" s="440" t="s">
        <v>2558</v>
      </c>
      <c r="B32" s="71" t="s">
        <v>2559</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49" t="s">
        <v>2560</v>
      </c>
      <c r="Q32" s="1808" t="str">
        <f t="shared" si="11"/>
        <v>建筑类型</v>
      </c>
      <c r="R32" s="773" t="s">
        <v>21</v>
      </c>
      <c r="S32" s="774">
        <f t="shared" si="12"/>
        <v>100</v>
      </c>
      <c r="T32" s="773" t="s">
        <v>21</v>
      </c>
      <c r="U32" s="774">
        <f t="shared" si="13"/>
        <v>100</v>
      </c>
      <c r="V32" s="773" t="s">
        <v>21</v>
      </c>
      <c r="W32" s="774">
        <f t="shared" si="14"/>
        <v>100</v>
      </c>
      <c r="X32" s="1811"/>
      <c r="Y32" s="3252" t="s">
        <v>2560</v>
      </c>
      <c r="Z32" s="1812" t="str">
        <f t="shared" si="18"/>
        <v>建筑类型</v>
      </c>
      <c r="AA32" s="1809">
        <f t="shared" si="15"/>
        <v>1</v>
      </c>
      <c r="AB32" s="1809">
        <f t="shared" si="16"/>
        <v>1</v>
      </c>
      <c r="AC32" s="1809">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50"/>
      <c r="Q33" s="775" t="str">
        <f t="shared" si="11"/>
        <v>项目建筑规模</v>
      </c>
      <c r="R33" s="776" t="s">
        <v>21</v>
      </c>
      <c r="S33" s="777" t="e">
        <f t="shared" si="12"/>
        <v>#N/A</v>
      </c>
      <c r="T33" s="776" t="s">
        <v>21</v>
      </c>
      <c r="U33" s="777" t="e">
        <f t="shared" si="13"/>
        <v>#N/A</v>
      </c>
      <c r="V33" s="776" t="s">
        <v>21</v>
      </c>
      <c r="W33" s="777" t="e">
        <f t="shared" si="14"/>
        <v>#N/A</v>
      </c>
      <c r="X33" s="778"/>
      <c r="Y33" s="3252"/>
      <c r="Z33" s="779" t="str">
        <f t="shared" si="18"/>
        <v>项目建筑规模</v>
      </c>
      <c r="AA33" s="1809" t="e">
        <f t="shared" si="15"/>
        <v>#N/A</v>
      </c>
      <c r="AB33" s="1809" t="e">
        <f t="shared" si="16"/>
        <v>#N/A</v>
      </c>
      <c r="AC33" s="1809" t="e">
        <f t="shared" si="17"/>
        <v>#N/A</v>
      </c>
    </row>
    <row r="34" spans="1:29" ht="15">
      <c r="A34" s="472"/>
      <c r="B34" s="422" t="s">
        <v>2562</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50"/>
      <c r="Q34" s="1808" t="str">
        <f t="shared" si="11"/>
        <v>建筑结构</v>
      </c>
      <c r="R34" s="773" t="s">
        <v>21</v>
      </c>
      <c r="S34" s="774">
        <f t="shared" si="12"/>
        <v>100</v>
      </c>
      <c r="T34" s="773" t="s">
        <v>21</v>
      </c>
      <c r="U34" s="774">
        <f t="shared" si="13"/>
        <v>100</v>
      </c>
      <c r="V34" s="773" t="s">
        <v>21</v>
      </c>
      <c r="W34" s="774">
        <f t="shared" si="14"/>
        <v>100</v>
      </c>
      <c r="X34" s="1811"/>
      <c r="Y34" s="3252"/>
      <c r="Z34" s="1812" t="str">
        <f t="shared" si="18"/>
        <v>建筑结构</v>
      </c>
      <c r="AA34" s="1809">
        <f t="shared" si="15"/>
        <v>1</v>
      </c>
      <c r="AB34" s="1809">
        <f t="shared" si="16"/>
        <v>1</v>
      </c>
      <c r="AC34" s="1809">
        <f t="shared" si="17"/>
        <v>1</v>
      </c>
    </row>
    <row r="35" spans="1:29" ht="15">
      <c r="A35" s="472"/>
      <c r="B35" s="422" t="s">
        <v>2563</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50"/>
      <c r="Q35" s="1808" t="str">
        <f t="shared" si="11"/>
        <v>建筑品质</v>
      </c>
      <c r="R35" s="773" t="s">
        <v>21</v>
      </c>
      <c r="S35" s="774">
        <f t="shared" si="12"/>
        <v>100</v>
      </c>
      <c r="T35" s="773" t="s">
        <v>21</v>
      </c>
      <c r="U35" s="774">
        <f t="shared" si="13"/>
        <v>100</v>
      </c>
      <c r="V35" s="773" t="s">
        <v>21</v>
      </c>
      <c r="W35" s="774">
        <f t="shared" si="14"/>
        <v>100</v>
      </c>
      <c r="X35" s="1811"/>
      <c r="Y35" s="3252"/>
      <c r="Z35" s="1812" t="str">
        <f t="shared" si="18"/>
        <v>建筑品质</v>
      </c>
      <c r="AA35" s="1809">
        <f t="shared" si="15"/>
        <v>1</v>
      </c>
      <c r="AB35" s="1809">
        <f t="shared" si="16"/>
        <v>1</v>
      </c>
      <c r="AC35" s="1809">
        <f t="shared" si="17"/>
        <v>1</v>
      </c>
    </row>
    <row r="36" spans="1:29" ht="15">
      <c r="A36" s="472"/>
      <c r="B36" s="422" t="s">
        <v>2564</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50"/>
      <c r="Q36" s="1808" t="str">
        <f t="shared" si="11"/>
        <v>公共部分装修</v>
      </c>
      <c r="R36" s="773" t="s">
        <v>21</v>
      </c>
      <c r="S36" s="774">
        <f t="shared" si="12"/>
        <v>100</v>
      </c>
      <c r="T36" s="773" t="s">
        <v>21</v>
      </c>
      <c r="U36" s="774">
        <f t="shared" si="13"/>
        <v>100</v>
      </c>
      <c r="V36" s="773" t="s">
        <v>21</v>
      </c>
      <c r="W36" s="774">
        <f t="shared" si="14"/>
        <v>100</v>
      </c>
      <c r="X36" s="1811"/>
      <c r="Y36" s="3252"/>
      <c r="Z36" s="1812" t="str">
        <f t="shared" si="18"/>
        <v>公共部分装修</v>
      </c>
      <c r="AA36" s="1809">
        <f t="shared" si="15"/>
        <v>1</v>
      </c>
      <c r="AB36" s="1809">
        <f t="shared" si="16"/>
        <v>1</v>
      </c>
      <c r="AC36" s="1809">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0"/>
      <c r="Q37" s="1793" t="str">
        <f t="shared" si="11"/>
        <v>成新度</v>
      </c>
      <c r="R37" s="769" t="s">
        <v>21</v>
      </c>
      <c r="S37" s="770" t="e">
        <f t="shared" si="12"/>
        <v>#N/A</v>
      </c>
      <c r="T37" s="769" t="s">
        <v>21</v>
      </c>
      <c r="U37" s="770" t="e">
        <f t="shared" si="13"/>
        <v>#N/A</v>
      </c>
      <c r="V37" s="769" t="s">
        <v>21</v>
      </c>
      <c r="W37" s="770" t="e">
        <f t="shared" si="14"/>
        <v>#N/A</v>
      </c>
      <c r="X37" s="771"/>
      <c r="Y37" s="3252"/>
      <c r="Z37" s="55" t="str">
        <f t="shared" si="18"/>
        <v>成新度</v>
      </c>
      <c r="AA37" s="772" t="e">
        <f t="shared" si="15"/>
        <v>#N/A</v>
      </c>
      <c r="AB37" s="772" t="e">
        <f t="shared" si="16"/>
        <v>#N/A</v>
      </c>
      <c r="AC37" s="772" t="e">
        <f t="shared" si="17"/>
        <v>#N/A</v>
      </c>
    </row>
    <row r="38" spans="1:29" ht="15">
      <c r="A38" s="472"/>
      <c r="B38" s="422" t="s">
        <v>2566</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50" t="s">
        <v>2560</v>
      </c>
      <c r="Q38" s="1808" t="str">
        <f t="shared" si="11"/>
        <v>物业管理</v>
      </c>
      <c r="R38" s="773" t="s">
        <v>21</v>
      </c>
      <c r="S38" s="774">
        <f t="shared" si="12"/>
        <v>100</v>
      </c>
      <c r="T38" s="773" t="s">
        <v>21</v>
      </c>
      <c r="U38" s="774">
        <f t="shared" si="13"/>
        <v>100</v>
      </c>
      <c r="V38" s="773" t="s">
        <v>21</v>
      </c>
      <c r="W38" s="774">
        <f t="shared" si="14"/>
        <v>100</v>
      </c>
      <c r="X38" s="1811"/>
      <c r="Y38" s="3252" t="s">
        <v>2560</v>
      </c>
      <c r="Z38" s="1812" t="str">
        <f t="shared" si="18"/>
        <v>物业管理</v>
      </c>
      <c r="AA38" s="1809">
        <f t="shared" si="15"/>
        <v>1</v>
      </c>
      <c r="AB38" s="1809">
        <f t="shared" si="16"/>
        <v>1</v>
      </c>
      <c r="AC38" s="1809">
        <f t="shared" si="17"/>
        <v>1</v>
      </c>
    </row>
    <row r="39" spans="1:29" ht="15">
      <c r="A39" s="472"/>
      <c r="B39" s="422" t="s">
        <v>2567</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50"/>
      <c r="Q39" s="1808" t="str">
        <f t="shared" si="11"/>
        <v>市政基础设施</v>
      </c>
      <c r="R39" s="773" t="s">
        <v>21</v>
      </c>
      <c r="S39" s="774">
        <f t="shared" si="12"/>
        <v>100</v>
      </c>
      <c r="T39" s="773" t="s">
        <v>21</v>
      </c>
      <c r="U39" s="774">
        <f t="shared" si="13"/>
        <v>100</v>
      </c>
      <c r="V39" s="773" t="s">
        <v>21</v>
      </c>
      <c r="W39" s="774">
        <f t="shared" si="14"/>
        <v>100</v>
      </c>
      <c r="X39" s="1811"/>
      <c r="Y39" s="3252"/>
      <c r="Z39" s="1812" t="str">
        <f t="shared" si="18"/>
        <v>市政基础设施</v>
      </c>
      <c r="AA39" s="1809">
        <f t="shared" si="15"/>
        <v>1</v>
      </c>
      <c r="AB39" s="1809">
        <f t="shared" si="16"/>
        <v>1</v>
      </c>
      <c r="AC39" s="1809">
        <f t="shared" si="17"/>
        <v>1</v>
      </c>
    </row>
    <row r="40" spans="1:29" ht="15">
      <c r="A40" s="472"/>
      <c r="B40" s="422" t="s">
        <v>2568</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50"/>
      <c r="Q40" s="1808" t="str">
        <f t="shared" si="11"/>
        <v>房型</v>
      </c>
      <c r="R40" s="773" t="s">
        <v>21</v>
      </c>
      <c r="S40" s="774">
        <f t="shared" si="12"/>
        <v>100</v>
      </c>
      <c r="T40" s="773" t="s">
        <v>21</v>
      </c>
      <c r="U40" s="774">
        <f t="shared" si="13"/>
        <v>100</v>
      </c>
      <c r="V40" s="773" t="s">
        <v>21</v>
      </c>
      <c r="W40" s="774">
        <f t="shared" si="14"/>
        <v>100</v>
      </c>
      <c r="X40" s="1811"/>
      <c r="Y40" s="3252"/>
      <c r="Z40" s="1812" t="str">
        <f t="shared" si="18"/>
        <v>房型</v>
      </c>
      <c r="AA40" s="1809">
        <f t="shared" si="15"/>
        <v>1</v>
      </c>
      <c r="AB40" s="1809">
        <f t="shared" si="16"/>
        <v>1</v>
      </c>
      <c r="AC40" s="1809">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50"/>
      <c r="Q41" s="775" t="str">
        <f t="shared" si="11"/>
        <v>单套/主力户型建筑面积</v>
      </c>
      <c r="R41" s="776" t="s">
        <v>21</v>
      </c>
      <c r="S41" s="777">
        <f t="shared" si="12"/>
        <v>100</v>
      </c>
      <c r="T41" s="776" t="s">
        <v>21</v>
      </c>
      <c r="U41" s="777">
        <f t="shared" si="13"/>
        <v>100</v>
      </c>
      <c r="V41" s="776" t="s">
        <v>21</v>
      </c>
      <c r="W41" s="777">
        <f t="shared" si="14"/>
        <v>100</v>
      </c>
      <c r="X41" s="778"/>
      <c r="Y41" s="3252"/>
      <c r="Z41" s="779" t="str">
        <f t="shared" si="18"/>
        <v>单套/主力户型建筑面积</v>
      </c>
      <c r="AA41" s="1809">
        <f t="shared" si="15"/>
        <v>1</v>
      </c>
      <c r="AB41" s="1809">
        <f t="shared" si="16"/>
        <v>1</v>
      </c>
      <c r="AC41" s="1809">
        <f t="shared" si="17"/>
        <v>1</v>
      </c>
    </row>
    <row r="42" spans="1:29" ht="15">
      <c r="A42" s="472"/>
      <c r="B42" s="422" t="s">
        <v>2570</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50"/>
      <c r="Q42" s="1808" t="str">
        <f t="shared" si="11"/>
        <v>内部装修</v>
      </c>
      <c r="R42" s="773" t="s">
        <v>21</v>
      </c>
      <c r="S42" s="774">
        <f t="shared" si="12"/>
        <v>100</v>
      </c>
      <c r="T42" s="773" t="s">
        <v>21</v>
      </c>
      <c r="U42" s="774">
        <f t="shared" si="13"/>
        <v>100</v>
      </c>
      <c r="V42" s="773" t="s">
        <v>21</v>
      </c>
      <c r="W42" s="774">
        <f t="shared" si="14"/>
        <v>100</v>
      </c>
      <c r="X42" s="1811"/>
      <c r="Y42" s="3252"/>
      <c r="Z42" s="1812" t="str">
        <f t="shared" si="18"/>
        <v>内部装修</v>
      </c>
      <c r="AA42" s="1809">
        <f t="shared" si="15"/>
        <v>1</v>
      </c>
      <c r="AB42" s="1809">
        <f t="shared" si="16"/>
        <v>1</v>
      </c>
      <c r="AC42" s="1809">
        <f t="shared" si="17"/>
        <v>1</v>
      </c>
    </row>
    <row r="43" spans="1:29" ht="15">
      <c r="A43" s="472"/>
      <c r="B43" s="422" t="s">
        <v>2571</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50"/>
      <c r="Q43" s="1808" t="str">
        <f t="shared" si="11"/>
        <v>内部装修维护情况</v>
      </c>
      <c r="R43" s="773" t="s">
        <v>21</v>
      </c>
      <c r="S43" s="774">
        <f t="shared" si="12"/>
        <v>100</v>
      </c>
      <c r="T43" s="773" t="s">
        <v>21</v>
      </c>
      <c r="U43" s="774">
        <f t="shared" si="13"/>
        <v>100</v>
      </c>
      <c r="V43" s="773" t="s">
        <v>21</v>
      </c>
      <c r="W43" s="774">
        <f t="shared" si="14"/>
        <v>100</v>
      </c>
      <c r="X43" s="1811"/>
      <c r="Y43" s="3252"/>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50"/>
      <c r="Q44" s="1793">
        <f t="shared" si="11"/>
        <v>111</v>
      </c>
      <c r="R44" s="769" t="s">
        <v>21</v>
      </c>
      <c r="S44" s="770">
        <f t="shared" si="12"/>
        <v>100</v>
      </c>
      <c r="T44" s="769" t="s">
        <v>21</v>
      </c>
      <c r="U44" s="770">
        <f t="shared" si="13"/>
        <v>100</v>
      </c>
      <c r="V44" s="769" t="s">
        <v>21</v>
      </c>
      <c r="W44" s="770">
        <f t="shared" si="14"/>
        <v>100</v>
      </c>
      <c r="X44" s="771"/>
      <c r="Y44" s="3252"/>
      <c r="Z44" s="55">
        <f t="shared" si="18"/>
        <v>111</v>
      </c>
      <c r="AA44" s="772">
        <f t="shared" si="15"/>
        <v>1</v>
      </c>
      <c r="AB44" s="772">
        <f t="shared" si="16"/>
        <v>1</v>
      </c>
      <c r="AC44" s="772">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50"/>
      <c r="Q45" s="1808">
        <f t="shared" si="11"/>
        <v>111</v>
      </c>
      <c r="R45" s="773" t="s">
        <v>21</v>
      </c>
      <c r="S45" s="774">
        <f t="shared" si="12"/>
        <v>100</v>
      </c>
      <c r="T45" s="773" t="s">
        <v>21</v>
      </c>
      <c r="U45" s="774">
        <f t="shared" si="13"/>
        <v>100</v>
      </c>
      <c r="V45" s="773" t="s">
        <v>21</v>
      </c>
      <c r="W45" s="774">
        <f t="shared" si="14"/>
        <v>100</v>
      </c>
      <c r="X45" s="1811"/>
      <c r="Y45" s="3252"/>
      <c r="Z45" s="1812">
        <f t="shared" si="18"/>
        <v>111</v>
      </c>
      <c r="AA45" s="1809">
        <f t="shared" si="15"/>
        <v>1</v>
      </c>
      <c r="AB45" s="1809">
        <f t="shared" si="16"/>
        <v>1</v>
      </c>
      <c r="AC45" s="1809">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51"/>
      <c r="Q46" s="1808">
        <f t="shared" si="11"/>
        <v>111</v>
      </c>
      <c r="R46" s="773" t="s">
        <v>20</v>
      </c>
      <c r="S46" s="774">
        <f t="shared" si="12"/>
        <v>100</v>
      </c>
      <c r="T46" s="773" t="s">
        <v>20</v>
      </c>
      <c r="U46" s="774">
        <f t="shared" si="13"/>
        <v>100</v>
      </c>
      <c r="V46" s="773" t="s">
        <v>20</v>
      </c>
      <c r="W46" s="774">
        <f t="shared" si="14"/>
        <v>100</v>
      </c>
      <c r="X46" s="1811"/>
      <c r="Y46" s="3253"/>
      <c r="Z46" s="1812">
        <f t="shared" si="18"/>
        <v>111</v>
      </c>
      <c r="AA46" s="1809">
        <f t="shared" si="15"/>
        <v>1</v>
      </c>
      <c r="AB46" s="1809">
        <f t="shared" si="16"/>
        <v>1</v>
      </c>
      <c r="AC46" s="1809">
        <f t="shared" si="17"/>
        <v>1</v>
      </c>
    </row>
    <row r="47" spans="1:29" ht="15">
      <c r="A47" s="479" t="s">
        <v>2572</v>
      </c>
      <c r="B47" s="480"/>
      <c r="C47" s="1407" t="s">
        <v>19</v>
      </c>
      <c r="D47" s="1408"/>
      <c r="E47" s="1409"/>
      <c r="F47" s="1410"/>
      <c r="G47" s="1411"/>
      <c r="H47" s="1412"/>
      <c r="I47" s="1409"/>
      <c r="J47" s="1412"/>
      <c r="K47" s="2617"/>
      <c r="L47" s="1143"/>
      <c r="M47" s="1144"/>
      <c r="N47" s="1131"/>
      <c r="O47" s="1144"/>
      <c r="P47" s="3254" t="str">
        <f>A47</f>
        <v>成交单价（元/平方米）</v>
      </c>
      <c r="Q47" s="3254"/>
      <c r="R47" s="3255">
        <f>E47</f>
        <v>0</v>
      </c>
      <c r="S47" s="3255"/>
      <c r="T47" s="3255">
        <f>G47</f>
        <v>0</v>
      </c>
      <c r="U47" s="3255"/>
      <c r="V47" s="3255">
        <f>I47</f>
        <v>0</v>
      </c>
      <c r="W47" s="3255"/>
      <c r="X47" s="758"/>
      <c r="Y47" s="780"/>
      <c r="Z47" s="758"/>
      <c r="AA47" s="758"/>
      <c r="AB47" s="758"/>
      <c r="AC47" s="758"/>
    </row>
    <row r="48" spans="1:29" ht="15.75" thickBot="1">
      <c r="A48" s="486" t="s">
        <v>2573</v>
      </c>
      <c r="B48" s="487"/>
      <c r="C48" s="1413" t="e">
        <f>R49</f>
        <v>#DIV/0!</v>
      </c>
      <c r="D48" s="1414"/>
      <c r="E48" s="1415" t="e">
        <f>R48</f>
        <v>#DIV/0!</v>
      </c>
      <c r="F48" s="1415"/>
      <c r="G48" s="1413" t="e">
        <f>T48</f>
        <v>#DIV/0!</v>
      </c>
      <c r="H48" s="1414"/>
      <c r="I48" s="1415" t="e">
        <f>V48</f>
        <v>#DIV/0!</v>
      </c>
      <c r="J48" s="1414"/>
      <c r="K48" s="2618"/>
      <c r="L48" s="1143"/>
      <c r="M48" s="1144"/>
      <c r="N48" s="1144"/>
      <c r="O48" s="1144"/>
      <c r="P48" s="3254" t="str">
        <f>A48</f>
        <v>比较价值（元/平方米）</v>
      </c>
      <c r="Q48" s="3254"/>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8"/>
      <c r="Y48" s="758"/>
      <c r="Z48" s="758"/>
      <c r="AA48" s="758"/>
      <c r="AB48" s="758"/>
      <c r="AC48" s="758"/>
    </row>
    <row r="49" spans="1:29" ht="15.75" thickBot="1">
      <c r="A49" s="492" t="s">
        <v>2574</v>
      </c>
      <c r="B49" s="493"/>
      <c r="C49" s="1416" t="e">
        <f>R49</f>
        <v>#DIV/0!</v>
      </c>
      <c r="D49" s="1417"/>
      <c r="E49" s="1417"/>
      <c r="F49" s="1417"/>
      <c r="G49" s="1417"/>
      <c r="H49" s="1417"/>
      <c r="I49" s="1417"/>
      <c r="J49" s="1417"/>
      <c r="K49" s="2619"/>
      <c r="L49" s="1143"/>
      <c r="M49" s="1144"/>
      <c r="N49" s="1144"/>
      <c r="O49" s="1144"/>
      <c r="P49" s="3256" t="str">
        <f>A49</f>
        <v>估价对象XX用房的比较价值（楼面单价，元/平方米）</v>
      </c>
      <c r="Q49" s="3257"/>
      <c r="R49" s="3258" t="e">
        <f>IF(F1="售价",ROUND(AVERAGE(R48:V48),0),ROUND(AVERAGE(R48:V48),1))</f>
        <v>#DIV/0!</v>
      </c>
      <c r="S49" s="3258"/>
      <c r="T49" s="3258"/>
      <c r="U49" s="3258"/>
      <c r="V49" s="3258"/>
      <c r="W49" s="3258"/>
      <c r="X49" s="758"/>
      <c r="Y49" s="758"/>
      <c r="Z49" s="758"/>
      <c r="AA49" s="758"/>
      <c r="AB49" s="758"/>
      <c r="AC49" s="758"/>
    </row>
    <row r="50" spans="1:29">
      <c r="A50" s="1144"/>
      <c r="B50" s="1144"/>
      <c r="C50" s="1144"/>
      <c r="D50" s="1144"/>
      <c r="E50" s="1144"/>
      <c r="F50" s="1144"/>
      <c r="G50" s="1147"/>
      <c r="H50" s="1144"/>
      <c r="I50" s="1144"/>
      <c r="J50" s="1144"/>
      <c r="K50" s="1107"/>
      <c r="L50" s="1108"/>
      <c r="M50" s="1144"/>
      <c r="N50" s="1144"/>
      <c r="O50" s="1144"/>
    </row>
    <row r="51" spans="1:29">
      <c r="A51" s="1144"/>
      <c r="B51" s="1144"/>
      <c r="C51" s="1144"/>
      <c r="D51" s="1144"/>
      <c r="E51" s="1144"/>
      <c r="F51" s="1144"/>
      <c r="G51" s="1144"/>
      <c r="H51" s="1144"/>
      <c r="I51" s="1144"/>
      <c r="J51" s="1144"/>
      <c r="K51" s="1107"/>
      <c r="L51" s="1108"/>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7"/>
      <c r="L56" s="1108"/>
      <c r="M56" s="1144"/>
      <c r="N56" s="1144"/>
      <c r="O56" s="1144"/>
    </row>
    <row r="57" spans="1:29" ht="21.75" thickBot="1">
      <c r="A57" s="762" t="s">
        <v>2578</v>
      </c>
      <c r="B57" s="758"/>
      <c r="C57" s="763"/>
      <c r="D57" s="763"/>
      <c r="E57" s="763"/>
      <c r="F57" s="764"/>
      <c r="G57" s="764"/>
      <c r="H57" s="763"/>
      <c r="I57" s="763"/>
      <c r="J57" s="763"/>
      <c r="K57" s="1160"/>
      <c r="L57" s="1161"/>
      <c r="M57" s="1159"/>
      <c r="N57" s="1159"/>
      <c r="O57" s="1159"/>
      <c r="P57" s="2622"/>
      <c r="Q57" s="504"/>
    </row>
    <row r="58" spans="1:29" s="508" customFormat="1" ht="15">
      <c r="A58" s="505" t="s">
        <v>2579</v>
      </c>
      <c r="B58" s="506"/>
      <c r="C58" s="1576" t="str">
        <f>YEAR(C7)&amp;"-"&amp;MONTH(C7)</f>
        <v>2018-6</v>
      </c>
      <c r="D58" s="1575">
        <f>EDATE(C58,-1)</f>
        <v>43221</v>
      </c>
      <c r="E58" s="1575">
        <f>EDATE(D58,-1)</f>
        <v>43191</v>
      </c>
      <c r="F58" s="1575">
        <f t="shared" ref="F58:O58" si="19">EDATE(E58,-1)</f>
        <v>43160</v>
      </c>
      <c r="G58" s="1575">
        <f t="shared" si="19"/>
        <v>43132</v>
      </c>
      <c r="H58" s="1575">
        <f t="shared" si="19"/>
        <v>43101</v>
      </c>
      <c r="I58" s="1575">
        <f t="shared" si="19"/>
        <v>43070</v>
      </c>
      <c r="J58" s="1575">
        <f t="shared" si="19"/>
        <v>43040</v>
      </c>
      <c r="K58" s="1575">
        <f t="shared" si="19"/>
        <v>43009</v>
      </c>
      <c r="L58" s="1575">
        <f t="shared" si="19"/>
        <v>42979</v>
      </c>
      <c r="M58" s="1575">
        <f t="shared" si="19"/>
        <v>42948</v>
      </c>
      <c r="N58" s="1575">
        <f t="shared" si="19"/>
        <v>42917</v>
      </c>
      <c r="O58" s="1575">
        <f t="shared" si="19"/>
        <v>42887</v>
      </c>
      <c r="P58" s="1570"/>
    </row>
    <row r="59" spans="1:29" s="117" customFormat="1" ht="15">
      <c r="A59" s="509"/>
      <c r="B59" s="2623"/>
      <c r="C59" s="1573">
        <v>100</v>
      </c>
      <c r="D59" s="511"/>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2581</v>
      </c>
      <c r="B61" s="510"/>
      <c r="C61" s="522" t="s">
        <v>2582</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2583</v>
      </c>
      <c r="B63" s="528" t="s">
        <v>2549</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2096</v>
      </c>
      <c r="C82" s="539" t="s">
        <v>2599</v>
      </c>
      <c r="D82" s="539" t="s">
        <v>2600</v>
      </c>
      <c r="E82" s="539" t="s">
        <v>2601</v>
      </c>
      <c r="F82" s="539" t="s">
        <v>2602</v>
      </c>
      <c r="G82" s="539" t="s">
        <v>2603</v>
      </c>
      <c r="H82" s="539"/>
      <c r="I82" s="539"/>
      <c r="J82" s="539"/>
      <c r="K82" s="539"/>
      <c r="L82" s="539"/>
      <c r="M82" s="1382"/>
      <c r="N82" s="1153"/>
      <c r="O82" s="1153"/>
      <c r="P82" s="2626"/>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3"/>
      <c r="O83" s="1153"/>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2605</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2606</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2558</v>
      </c>
      <c r="B100" s="528" t="s">
        <v>2607</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2609</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2610</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2611</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2612</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2613</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2614</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2615</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2617</v>
      </c>
    </row>
    <row r="137" spans="1:17" ht="15">
      <c r="B137" s="2634" t="s">
        <v>2618</v>
      </c>
      <c r="C137" s="2635"/>
      <c r="D137" s="2635"/>
      <c r="E137" s="2635"/>
      <c r="F137" s="2635"/>
      <c r="G137" s="2636"/>
      <c r="H137" s="2637"/>
      <c r="I137" s="2638" t="s">
        <v>2619</v>
      </c>
      <c r="J137" s="2635"/>
      <c r="K137" s="2639"/>
    </row>
    <row r="138" spans="1:17" ht="15">
      <c r="B138" s="2640"/>
      <c r="C138" s="146" t="s">
        <v>2620</v>
      </c>
      <c r="D138" s="146" t="s">
        <v>2621</v>
      </c>
      <c r="E138" s="2641" t="s">
        <v>2622</v>
      </c>
      <c r="F138" s="2642" t="s">
        <v>2623</v>
      </c>
      <c r="G138" s="146" t="s">
        <v>2621</v>
      </c>
      <c r="H138" s="147" t="s">
        <v>2622</v>
      </c>
      <c r="I138" s="2643"/>
      <c r="J138" s="146" t="s">
        <v>2624</v>
      </c>
      <c r="K138" s="147" t="s">
        <v>2625</v>
      </c>
    </row>
    <row r="139" spans="1:17" ht="15">
      <c r="B139" s="1086">
        <v>6</v>
      </c>
      <c r="C139" s="1087">
        <v>96</v>
      </c>
      <c r="D139" s="2644" t="s">
        <v>2626</v>
      </c>
      <c r="E139" s="1088">
        <v>100</v>
      </c>
      <c r="F139" s="1089">
        <v>102.5</v>
      </c>
      <c r="G139" s="2644" t="s">
        <v>2626</v>
      </c>
      <c r="H139" s="1090">
        <v>105</v>
      </c>
      <c r="I139" s="2645" t="s">
        <v>2627</v>
      </c>
      <c r="J139" s="1087">
        <v>20</v>
      </c>
      <c r="K139" s="1091">
        <f>C145/(J139-2)</f>
        <v>4.0555555555555553E-3</v>
      </c>
    </row>
    <row r="140" spans="1:17" ht="15">
      <c r="B140" s="1092">
        <v>5</v>
      </c>
      <c r="C140" s="1093">
        <v>100</v>
      </c>
      <c r="D140" s="1093"/>
      <c r="E140" s="1094"/>
      <c r="F140" s="1095">
        <v>102</v>
      </c>
      <c r="G140" s="1093"/>
      <c r="H140" s="1096"/>
      <c r="I140" s="2646" t="s">
        <v>2628</v>
      </c>
      <c r="J140" s="315">
        <f>ROUNDUP((J139-1)/2,0)</f>
        <v>10</v>
      </c>
      <c r="K140" s="1097">
        <v>100</v>
      </c>
    </row>
    <row r="141" spans="1:17" ht="15">
      <c r="B141" s="1092">
        <v>4</v>
      </c>
      <c r="C141" s="1093">
        <v>102</v>
      </c>
      <c r="D141" s="1093"/>
      <c r="E141" s="1094"/>
      <c r="F141" s="1095">
        <v>101.5</v>
      </c>
      <c r="G141" s="1093"/>
      <c r="H141" s="1096"/>
      <c r="I141" s="2646" t="s">
        <v>2629</v>
      </c>
      <c r="J141" s="315">
        <v>1</v>
      </c>
      <c r="K141" s="1098">
        <f>ROUND(100+(J141-J140)*K139*100,1)</f>
        <v>96.4</v>
      </c>
    </row>
    <row r="142" spans="1:17" ht="15">
      <c r="B142" s="1092">
        <v>3</v>
      </c>
      <c r="C142" s="1093">
        <v>103</v>
      </c>
      <c r="D142" s="1093"/>
      <c r="E142" s="1094"/>
      <c r="F142" s="1095">
        <v>101</v>
      </c>
      <c r="G142" s="1093"/>
      <c r="H142" s="1096"/>
      <c r="I142" s="2646" t="s">
        <v>2630</v>
      </c>
      <c r="J142" s="315">
        <f>J139</f>
        <v>20</v>
      </c>
      <c r="K142" s="1099">
        <v>95</v>
      </c>
    </row>
    <row r="143" spans="1:17" ht="15">
      <c r="B143" s="1092">
        <v>2</v>
      </c>
      <c r="C143" s="1093">
        <v>100</v>
      </c>
      <c r="D143" s="1093"/>
      <c r="E143" s="1094"/>
      <c r="F143" s="1095">
        <v>100.5</v>
      </c>
      <c r="G143" s="1093"/>
      <c r="H143" s="1096"/>
      <c r="I143" s="2646" t="s">
        <v>2631</v>
      </c>
      <c r="J143" s="1093">
        <v>15</v>
      </c>
      <c r="K143" s="1098">
        <f>ROUND(100+(J143-J140)*K139*100,1)</f>
        <v>102</v>
      </c>
    </row>
    <row r="144" spans="1:17" ht="15">
      <c r="B144" s="1092">
        <v>1</v>
      </c>
      <c r="C144" s="1093">
        <v>98</v>
      </c>
      <c r="D144" s="2647" t="s">
        <v>2632</v>
      </c>
      <c r="E144" s="1094">
        <v>102</v>
      </c>
      <c r="F144" s="1100">
        <v>100</v>
      </c>
      <c r="G144" s="2647" t="s">
        <v>2632</v>
      </c>
      <c r="H144" s="1096">
        <v>105</v>
      </c>
      <c r="I144" s="2646" t="s">
        <v>2631</v>
      </c>
      <c r="J144" s="1093">
        <v>18</v>
      </c>
      <c r="K144" s="1098">
        <f>ROUND(100+(J144-J140)*K139*100,1)</f>
        <v>103.2</v>
      </c>
    </row>
    <row r="145" spans="2:11" ht="15.75" thickBot="1">
      <c r="B145" s="2648" t="s">
        <v>2633</v>
      </c>
      <c r="C145" s="1101">
        <f>ROUND(MAX(C139:C144)/MIN(C139:C144)-1,3)</f>
        <v>7.2999999999999995E-2</v>
      </c>
      <c r="D145" s="1102"/>
      <c r="E145" s="1102"/>
      <c r="F145" s="2649" t="s">
        <v>2634</v>
      </c>
      <c r="G145" s="2650"/>
      <c r="H145" s="2651"/>
      <c r="I145" s="2652" t="s">
        <v>2631</v>
      </c>
      <c r="J145" s="1103">
        <v>8</v>
      </c>
      <c r="K145" s="1104">
        <f>ROUND(100+(J145-J140)*K139*100,1)</f>
        <v>99.2</v>
      </c>
    </row>
    <row r="147" spans="2:11">
      <c r="B147" s="2633" t="s">
        <v>2635</v>
      </c>
    </row>
    <row r="148" spans="2:11">
      <c r="B148" s="2633"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5" t="s">
        <v>2681</v>
      </c>
      <c r="C1" s="1620" t="s">
        <v>2525</v>
      </c>
      <c r="D1" s="1621"/>
      <c r="E1" s="1630"/>
      <c r="F1" s="2580"/>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82"/>
      <c r="D2" s="1365" t="e">
        <f ca="1">SUMIF(INDIRECT("'"&amp;F2&amp;"'"&amp;"!A:A"),"承租人权益价值",INDIRECT("'"&amp;F2&amp;"'"&amp;"!c:c"))</f>
        <v>#REF!</v>
      </c>
      <c r="E2" s="2583" t="s">
        <v>2323</v>
      </c>
      <c r="F2" s="2584"/>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2324</v>
      </c>
      <c r="B3" s="609" t="e">
        <f ca="1">IF(C2="——",C50,ROUND(B2*10000/D3,0))</f>
        <v>#DIV/0!</v>
      </c>
      <c r="C3" s="400" t="s">
        <v>2639</v>
      </c>
      <c r="D3" s="399">
        <f>IF(D1="",'数据-汇总表'!E3,SUMIF('数据-汇总表'!$C19:$C33,D1,'数据-汇总表'!$E19:$E33))</f>
        <v>18418.460000000006</v>
      </c>
      <c r="E3" s="2659"/>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1" t="s">
        <v>2640</v>
      </c>
      <c r="B4" s="402"/>
      <c r="C4" s="3232" t="s">
        <v>2641</v>
      </c>
      <c r="D4" s="3233"/>
      <c r="E4" s="3234" t="s">
        <v>2642</v>
      </c>
      <c r="F4" s="3235"/>
      <c r="G4" s="3232" t="s">
        <v>2643</v>
      </c>
      <c r="H4" s="3233"/>
      <c r="I4" s="3232" t="s">
        <v>2644</v>
      </c>
      <c r="J4" s="3233"/>
      <c r="K4" s="610" t="s">
        <v>2645</v>
      </c>
      <c r="L4" s="1130"/>
      <c r="M4" s="1131"/>
      <c r="N4" s="1131"/>
      <c r="O4" s="1131"/>
      <c r="P4" s="3296" t="s">
        <v>2646</v>
      </c>
      <c r="Q4" s="3297"/>
      <c r="R4" s="3291" t="s">
        <v>2642</v>
      </c>
      <c r="S4" s="3292"/>
      <c r="T4" s="3291" t="s">
        <v>2643</v>
      </c>
      <c r="U4" s="3292"/>
      <c r="V4" s="3300" t="s">
        <v>2644</v>
      </c>
      <c r="W4" s="3300"/>
      <c r="X4" s="2666"/>
      <c r="Y4" s="3291" t="s">
        <v>2646</v>
      </c>
      <c r="Z4" s="3292"/>
      <c r="AA4" s="3290" t="s">
        <v>2642</v>
      </c>
      <c r="AB4" s="3290" t="s">
        <v>2643</v>
      </c>
      <c r="AC4" s="3293" t="s">
        <v>2644</v>
      </c>
    </row>
    <row r="5" spans="1:29" ht="15">
      <c r="A5" s="404"/>
      <c r="B5" s="405"/>
      <c r="C5" s="3287" t="s">
        <v>2537</v>
      </c>
      <c r="D5" s="3226"/>
      <c r="E5" s="3286" t="s">
        <v>2538</v>
      </c>
      <c r="F5" s="3224"/>
      <c r="G5" s="3287" t="s">
        <v>2539</v>
      </c>
      <c r="H5" s="3226"/>
      <c r="I5" s="3287" t="s">
        <v>2540</v>
      </c>
      <c r="J5" s="3226"/>
      <c r="K5" s="610"/>
      <c r="L5" s="1130"/>
      <c r="M5" s="1131"/>
      <c r="N5" s="1131"/>
      <c r="O5" s="1131"/>
      <c r="P5" s="3298"/>
      <c r="Q5" s="3239"/>
      <c r="R5" s="3221"/>
      <c r="S5" s="3222"/>
      <c r="T5" s="3221"/>
      <c r="U5" s="3222"/>
      <c r="V5" s="3216"/>
      <c r="W5" s="3216"/>
      <c r="X5" s="1811"/>
      <c r="Y5" s="3221"/>
      <c r="Z5" s="3222"/>
      <c r="AA5" s="3214"/>
      <c r="AB5" s="3214"/>
      <c r="AC5" s="3294"/>
    </row>
    <row r="6" spans="1:29" ht="15.75" thickBot="1">
      <c r="A6" s="406"/>
      <c r="B6" s="407"/>
      <c r="C6" s="3288" t="s">
        <v>2541</v>
      </c>
      <c r="D6" s="3228"/>
      <c r="E6" s="3289" t="s">
        <v>2541</v>
      </c>
      <c r="F6" s="3230"/>
      <c r="G6" s="3288" t="s">
        <v>2541</v>
      </c>
      <c r="H6" s="3228"/>
      <c r="I6" s="3288" t="s">
        <v>2541</v>
      </c>
      <c r="J6" s="3228"/>
      <c r="K6" s="610" t="s">
        <v>2542</v>
      </c>
      <c r="L6" s="1130"/>
      <c r="M6" s="1131"/>
      <c r="N6" s="1131"/>
      <c r="O6" s="1131"/>
      <c r="P6" s="3299"/>
      <c r="Q6" s="3241"/>
      <c r="R6" s="3221"/>
      <c r="S6" s="3222"/>
      <c r="T6" s="3242"/>
      <c r="U6" s="3243"/>
      <c r="V6" s="3216"/>
      <c r="W6" s="3216"/>
      <c r="X6" s="1811"/>
      <c r="Y6" s="3242"/>
      <c r="Z6" s="3243"/>
      <c r="AA6" s="3215"/>
      <c r="AB6" s="3215"/>
      <c r="AC6" s="3295"/>
    </row>
    <row r="7" spans="1:29" s="117" customFormat="1" ht="15.75" thickBot="1">
      <c r="A7" s="408" t="s">
        <v>2543</v>
      </c>
      <c r="B7" s="409"/>
      <c r="C7" s="410">
        <f>'数据-取费表'!B2</f>
        <v>43279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01" t="s">
        <v>2544</v>
      </c>
      <c r="Q7" s="3244"/>
      <c r="R7" s="769" t="s">
        <v>17</v>
      </c>
      <c r="S7" s="770">
        <f t="shared" ref="S7:S15" si="0">F7</f>
        <v>0</v>
      </c>
      <c r="T7" s="769" t="s">
        <v>17</v>
      </c>
      <c r="U7" s="770">
        <f t="shared" ref="U7:U15" si="1">H7</f>
        <v>0</v>
      </c>
      <c r="V7" s="769" t="s">
        <v>17</v>
      </c>
      <c r="W7" s="770">
        <f t="shared" ref="W7:W15" si="2">J7</f>
        <v>0</v>
      </c>
      <c r="X7" s="771"/>
      <c r="Y7" s="3217" t="s">
        <v>2544</v>
      </c>
      <c r="Z7" s="3218"/>
      <c r="AA7" s="772" t="e">
        <f>D7/F7</f>
        <v>#DIV/0!</v>
      </c>
      <c r="AB7" s="772" t="e">
        <f>D7/H7</f>
        <v>#DIV/0!</v>
      </c>
      <c r="AC7" s="2667"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01" t="s">
        <v>2547</v>
      </c>
      <c r="Q8" s="3218"/>
      <c r="R8" s="769" t="s">
        <v>17</v>
      </c>
      <c r="S8" s="770">
        <f t="shared" si="0"/>
        <v>0</v>
      </c>
      <c r="T8" s="769" t="s">
        <v>17</v>
      </c>
      <c r="U8" s="770">
        <f t="shared" si="1"/>
        <v>0</v>
      </c>
      <c r="V8" s="769" t="s">
        <v>17</v>
      </c>
      <c r="W8" s="770">
        <f t="shared" si="2"/>
        <v>0</v>
      </c>
      <c r="X8" s="771"/>
      <c r="Y8" s="3217" t="s">
        <v>2547</v>
      </c>
      <c r="Z8" s="3218"/>
      <c r="AA8" s="772" t="e">
        <f t="shared" ref="AA8:AA47" si="3">D8/F8</f>
        <v>#DIV/0!</v>
      </c>
      <c r="AB8" s="772" t="e">
        <f t="shared" ref="AB8:AB47" si="4">D8/H8</f>
        <v>#DIV/0!</v>
      </c>
      <c r="AC8" s="2667"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1" t="s">
        <v>2550</v>
      </c>
      <c r="Q9" s="1793" t="str">
        <f t="shared" ref="Q9:Q15" si="6">B9</f>
        <v>用途</v>
      </c>
      <c r="R9" s="769" t="s">
        <v>17</v>
      </c>
      <c r="S9" s="770">
        <f t="shared" si="0"/>
        <v>100</v>
      </c>
      <c r="T9" s="769" t="s">
        <v>17</v>
      </c>
      <c r="U9" s="770">
        <f t="shared" si="1"/>
        <v>100</v>
      </c>
      <c r="V9" s="769" t="s">
        <v>17</v>
      </c>
      <c r="W9" s="770">
        <f t="shared" si="2"/>
        <v>100</v>
      </c>
      <c r="X9" s="771"/>
      <c r="Y9" s="3090" t="s">
        <v>2551</v>
      </c>
      <c r="Z9" s="55" t="str">
        <f t="shared" ref="Z9:Z15" si="7">Q9</f>
        <v>用途</v>
      </c>
      <c r="AA9" s="772">
        <f t="shared" si="3"/>
        <v>1</v>
      </c>
      <c r="AB9" s="772">
        <f t="shared" si="4"/>
        <v>1</v>
      </c>
      <c r="AC9" s="2667">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1"/>
      <c r="Q10" s="1793" t="str">
        <f t="shared" si="6"/>
        <v>土地使用年限（年）</v>
      </c>
      <c r="R10" s="769" t="s">
        <v>17</v>
      </c>
      <c r="S10" s="770">
        <f t="shared" si="0"/>
        <v>100</v>
      </c>
      <c r="T10" s="769" t="s">
        <v>17</v>
      </c>
      <c r="U10" s="770">
        <f t="shared" si="1"/>
        <v>100</v>
      </c>
      <c r="V10" s="769" t="s">
        <v>17</v>
      </c>
      <c r="W10" s="770">
        <f t="shared" si="2"/>
        <v>100</v>
      </c>
      <c r="X10" s="771"/>
      <c r="Y10" s="3090"/>
      <c r="Z10" s="55" t="str">
        <f t="shared" si="7"/>
        <v>土地使用年限（年）</v>
      </c>
      <c r="AA10" s="772">
        <f t="shared" si="3"/>
        <v>1</v>
      </c>
      <c r="AB10" s="772">
        <f t="shared" si="4"/>
        <v>1</v>
      </c>
      <c r="AC10" s="2667">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1"/>
      <c r="Q11" s="1793" t="str">
        <f t="shared" si="6"/>
        <v>容积率</v>
      </c>
      <c r="R11" s="769" t="s">
        <v>17</v>
      </c>
      <c r="S11" s="770" t="e">
        <f t="shared" si="0"/>
        <v>#N/A</v>
      </c>
      <c r="T11" s="769" t="s">
        <v>17</v>
      </c>
      <c r="U11" s="770" t="e">
        <f t="shared" si="1"/>
        <v>#N/A</v>
      </c>
      <c r="V11" s="769" t="s">
        <v>17</v>
      </c>
      <c r="W11" s="770" t="e">
        <f t="shared" si="2"/>
        <v>#N/A</v>
      </c>
      <c r="X11" s="771"/>
      <c r="Y11" s="3090"/>
      <c r="Z11" s="55" t="str">
        <f t="shared" si="7"/>
        <v>容积率</v>
      </c>
      <c r="AA11" s="772" t="e">
        <f t="shared" si="3"/>
        <v>#N/A</v>
      </c>
      <c r="AB11" s="772"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31"/>
      <c r="Q12" s="1793">
        <f t="shared" si="6"/>
        <v>111</v>
      </c>
      <c r="R12" s="769" t="s">
        <v>17</v>
      </c>
      <c r="S12" s="770">
        <f t="shared" si="0"/>
        <v>100</v>
      </c>
      <c r="T12" s="769" t="s">
        <v>17</v>
      </c>
      <c r="U12" s="770">
        <f t="shared" si="1"/>
        <v>100</v>
      </c>
      <c r="V12" s="769" t="s">
        <v>17</v>
      </c>
      <c r="W12" s="770">
        <f t="shared" si="2"/>
        <v>100</v>
      </c>
      <c r="X12" s="771"/>
      <c r="Y12" s="3090"/>
      <c r="Z12" s="55">
        <f t="shared" si="7"/>
        <v>111</v>
      </c>
      <c r="AA12" s="772">
        <f>D12/F12</f>
        <v>1</v>
      </c>
      <c r="AB12" s="772">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31"/>
      <c r="Q13" s="1793">
        <f t="shared" si="6"/>
        <v>111</v>
      </c>
      <c r="R13" s="769" t="s">
        <v>17</v>
      </c>
      <c r="S13" s="770">
        <f t="shared" si="0"/>
        <v>100</v>
      </c>
      <c r="T13" s="769" t="s">
        <v>17</v>
      </c>
      <c r="U13" s="770">
        <f t="shared" si="1"/>
        <v>100</v>
      </c>
      <c r="V13" s="769" t="s">
        <v>17</v>
      </c>
      <c r="W13" s="770">
        <f t="shared" si="2"/>
        <v>100</v>
      </c>
      <c r="X13" s="771"/>
      <c r="Y13" s="3090"/>
      <c r="Z13" s="55">
        <f t="shared" si="7"/>
        <v>111</v>
      </c>
      <c r="AA13" s="772">
        <f t="shared" si="3"/>
        <v>1</v>
      </c>
      <c r="AB13" s="772">
        <f t="shared" si="4"/>
        <v>1</v>
      </c>
      <c r="AC13" s="2667">
        <f t="shared" si="5"/>
        <v>1</v>
      </c>
    </row>
    <row r="14" spans="1:29" ht="15.75" thickBot="1">
      <c r="A14" s="436"/>
      <c r="B14" s="2598">
        <v>111</v>
      </c>
      <c r="C14" s="437"/>
      <c r="D14" s="438">
        <v>100</v>
      </c>
      <c r="E14" s="627"/>
      <c r="F14" s="438">
        <f>SUMIF(75:75,E14,76:76)-SUMIF(75:75,C14,76:76)+100</f>
        <v>100</v>
      </c>
      <c r="G14" s="2668"/>
      <c r="H14" s="438">
        <f>SUMIF(75:75,G14,76:76)-SUMIF(75:75,C14,76:76)+100</f>
        <v>100</v>
      </c>
      <c r="I14" s="432"/>
      <c r="J14" s="438">
        <f>SUMIF(75:75,I14,76:76)-SUMIF(75:75,C14,76:76)+100</f>
        <v>100</v>
      </c>
      <c r="K14" s="613"/>
      <c r="L14" s="1140"/>
      <c r="M14" s="1131"/>
      <c r="N14" s="1131"/>
      <c r="O14" s="1131"/>
      <c r="P14" s="3231"/>
      <c r="Q14" s="1793">
        <f t="shared" si="6"/>
        <v>111</v>
      </c>
      <c r="R14" s="769" t="s">
        <v>17</v>
      </c>
      <c r="S14" s="770">
        <f t="shared" si="0"/>
        <v>100</v>
      </c>
      <c r="T14" s="769" t="s">
        <v>17</v>
      </c>
      <c r="U14" s="770">
        <f t="shared" si="1"/>
        <v>100</v>
      </c>
      <c r="V14" s="769" t="s">
        <v>17</v>
      </c>
      <c r="W14" s="770">
        <f t="shared" si="2"/>
        <v>100</v>
      </c>
      <c r="X14" s="771"/>
      <c r="Y14" s="3090"/>
      <c r="Z14" s="55">
        <f t="shared" si="7"/>
        <v>111</v>
      </c>
      <c r="AA14" s="772">
        <f t="shared" si="3"/>
        <v>1</v>
      </c>
      <c r="AB14" s="772">
        <f t="shared" si="4"/>
        <v>1</v>
      </c>
      <c r="AC14" s="2667">
        <f t="shared" si="5"/>
        <v>1</v>
      </c>
    </row>
    <row r="15" spans="1:29" ht="71.25">
      <c r="A15" s="440" t="s">
        <v>2554</v>
      </c>
      <c r="B15" s="628" t="s">
        <v>2682</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5" t="s">
        <v>2555</v>
      </c>
      <c r="Q15" s="1808" t="str">
        <f t="shared" si="6"/>
        <v>办公集聚程度</v>
      </c>
      <c r="R15" s="773" t="s">
        <v>17</v>
      </c>
      <c r="S15" s="774">
        <f t="shared" si="0"/>
        <v>100</v>
      </c>
      <c r="T15" s="773" t="s">
        <v>17</v>
      </c>
      <c r="U15" s="774">
        <f t="shared" si="1"/>
        <v>100</v>
      </c>
      <c r="V15" s="773" t="s">
        <v>17</v>
      </c>
      <c r="W15" s="774">
        <f t="shared" si="2"/>
        <v>100</v>
      </c>
      <c r="X15" s="1811"/>
      <c r="Y15" s="3247" t="s">
        <v>2555</v>
      </c>
      <c r="Z15" s="1812" t="str">
        <f t="shared" si="7"/>
        <v>办公集聚程度</v>
      </c>
      <c r="AA15" s="1809">
        <f t="shared" si="3"/>
        <v>1</v>
      </c>
      <c r="AB15" s="1809">
        <f t="shared" si="4"/>
        <v>1</v>
      </c>
      <c r="AC15" s="2670">
        <f t="shared" si="5"/>
        <v>1</v>
      </c>
    </row>
    <row r="16" spans="1:29" ht="15">
      <c r="A16" s="428"/>
      <c r="B16" s="629"/>
      <c r="C16" s="2607"/>
      <c r="D16" s="448"/>
      <c r="E16" s="447"/>
      <c r="F16" s="448"/>
      <c r="G16" s="2607"/>
      <c r="H16" s="450"/>
      <c r="I16" s="447"/>
      <c r="J16" s="448"/>
      <c r="K16" s="615"/>
      <c r="L16" s="1140"/>
      <c r="M16" s="1131"/>
      <c r="N16" s="1131"/>
      <c r="O16" s="1131"/>
      <c r="P16" s="3246"/>
      <c r="Q16" s="1808"/>
      <c r="R16" s="773"/>
      <c r="S16" s="774"/>
      <c r="T16" s="773"/>
      <c r="U16" s="774"/>
      <c r="V16" s="773"/>
      <c r="W16" s="774"/>
      <c r="X16" s="1811"/>
      <c r="Y16" s="3248"/>
      <c r="Z16" s="1812"/>
      <c r="AA16" s="1809">
        <v>1</v>
      </c>
      <c r="AB16" s="1809">
        <v>1</v>
      </c>
      <c r="AC16" s="2670">
        <v>1</v>
      </c>
    </row>
    <row r="17" spans="1:29" ht="85.5">
      <c r="A17" s="428"/>
      <c r="B17" s="630" t="s">
        <v>2095</v>
      </c>
      <c r="C17" s="2671" t="str">
        <f>估价对象房地状况!C6</f>
        <v>估价对象周边道路状况较好、公共交通通达情况较好、停车便捷程度较好，综合评价交通便捷度较好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6"/>
      <c r="Q17" s="1808" t="str">
        <f>B17</f>
        <v>交通便捷度</v>
      </c>
      <c r="R17" s="773" t="s">
        <v>17</v>
      </c>
      <c r="S17" s="774">
        <f>F17</f>
        <v>100</v>
      </c>
      <c r="T17" s="773" t="s">
        <v>17</v>
      </c>
      <c r="U17" s="774">
        <f>H17</f>
        <v>100</v>
      </c>
      <c r="V17" s="773" t="s">
        <v>17</v>
      </c>
      <c r="W17" s="774">
        <f>J17</f>
        <v>100</v>
      </c>
      <c r="X17" s="1811"/>
      <c r="Y17" s="3248"/>
      <c r="Z17" s="1812" t="str">
        <f>Q17</f>
        <v>交通便捷度</v>
      </c>
      <c r="AA17" s="1809">
        <f t="shared" si="3"/>
        <v>1</v>
      </c>
      <c r="AB17" s="1809">
        <f t="shared" si="4"/>
        <v>1</v>
      </c>
      <c r="AC17" s="2670">
        <f t="shared" si="5"/>
        <v>1</v>
      </c>
    </row>
    <row r="18" spans="1:29" ht="15">
      <c r="A18" s="428"/>
      <c r="B18" s="631"/>
      <c r="C18" s="2672"/>
      <c r="D18" s="450"/>
      <c r="E18" s="2605"/>
      <c r="F18" s="450"/>
      <c r="G18" s="2606"/>
      <c r="H18" s="448"/>
      <c r="I18" s="2606"/>
      <c r="J18" s="448"/>
      <c r="K18" s="615"/>
      <c r="L18" s="1140"/>
      <c r="M18" s="1131"/>
      <c r="N18" s="1131"/>
      <c r="O18" s="1131"/>
      <c r="P18" s="3246"/>
      <c r="Q18" s="1808"/>
      <c r="R18" s="773"/>
      <c r="S18" s="774"/>
      <c r="T18" s="773"/>
      <c r="U18" s="774"/>
      <c r="V18" s="773"/>
      <c r="W18" s="774"/>
      <c r="X18" s="1811"/>
      <c r="Y18" s="3248"/>
      <c r="Z18" s="1812"/>
      <c r="AA18" s="1809">
        <v>1</v>
      </c>
      <c r="AB18" s="1809">
        <v>1</v>
      </c>
      <c r="AC18" s="2670">
        <v>1</v>
      </c>
    </row>
    <row r="19" spans="1:29" ht="42.75">
      <c r="A19" s="428"/>
      <c r="B19" s="630" t="s">
        <v>2683</v>
      </c>
      <c r="C19" s="2671"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6"/>
      <c r="Q19" s="1808" t="str">
        <f>B19</f>
        <v>公共配套设施</v>
      </c>
      <c r="R19" s="773" t="s">
        <v>17</v>
      </c>
      <c r="S19" s="774">
        <f>F19</f>
        <v>100</v>
      </c>
      <c r="T19" s="773" t="s">
        <v>17</v>
      </c>
      <c r="U19" s="774">
        <f>H19</f>
        <v>100</v>
      </c>
      <c r="V19" s="773" t="s">
        <v>17</v>
      </c>
      <c r="W19" s="774">
        <f>J19</f>
        <v>100</v>
      </c>
      <c r="X19" s="1811"/>
      <c r="Y19" s="3248"/>
      <c r="Z19" s="1812" t="str">
        <f>Q19</f>
        <v>公共配套设施</v>
      </c>
      <c r="AA19" s="1809">
        <f t="shared" si="3"/>
        <v>1</v>
      </c>
      <c r="AB19" s="1809">
        <f t="shared" si="4"/>
        <v>1</v>
      </c>
      <c r="AC19" s="2670">
        <f t="shared" si="5"/>
        <v>1</v>
      </c>
    </row>
    <row r="20" spans="1:29" ht="15">
      <c r="A20" s="428"/>
      <c r="B20" s="631"/>
      <c r="C20" s="2607"/>
      <c r="D20" s="448"/>
      <c r="E20" s="2600"/>
      <c r="F20" s="448"/>
      <c r="G20" s="2601"/>
      <c r="H20" s="448"/>
      <c r="I20" s="2601"/>
      <c r="J20" s="448"/>
      <c r="K20" s="615"/>
      <c r="L20" s="1140"/>
      <c r="M20" s="1131"/>
      <c r="N20" s="1131"/>
      <c r="O20" s="1131"/>
      <c r="P20" s="3246"/>
      <c r="Q20" s="1808"/>
      <c r="R20" s="773"/>
      <c r="S20" s="774"/>
      <c r="T20" s="773"/>
      <c r="U20" s="774"/>
      <c r="V20" s="773"/>
      <c r="W20" s="774"/>
      <c r="X20" s="1811"/>
      <c r="Y20" s="3248"/>
      <c r="Z20" s="1812"/>
      <c r="AA20" s="1809">
        <v>1</v>
      </c>
      <c r="AB20" s="1809">
        <v>1</v>
      </c>
      <c r="AC20" s="2670">
        <v>1</v>
      </c>
    </row>
    <row r="21" spans="1:29" ht="42.75">
      <c r="A21" s="428"/>
      <c r="B21" s="632" t="s">
        <v>2684</v>
      </c>
      <c r="C21" s="2671" t="str">
        <f>估价对象房地状况!C8</f>
        <v>估价对象所在区域基础设施水平为六通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6"/>
      <c r="Q21" s="1808" t="str">
        <f>B21</f>
        <v>基础设施水平</v>
      </c>
      <c r="R21" s="773" t="s">
        <v>17</v>
      </c>
      <c r="S21" s="774">
        <f>F21</f>
        <v>100</v>
      </c>
      <c r="T21" s="773" t="s">
        <v>17</v>
      </c>
      <c r="U21" s="774">
        <f>H21</f>
        <v>100</v>
      </c>
      <c r="V21" s="773" t="s">
        <v>17</v>
      </c>
      <c r="W21" s="774">
        <f>J21</f>
        <v>100</v>
      </c>
      <c r="X21" s="1811"/>
      <c r="Y21" s="3248"/>
      <c r="Z21" s="1812" t="str">
        <f>Q21</f>
        <v>基础设施水平</v>
      </c>
      <c r="AA21" s="1809">
        <f t="shared" ref="AA21" si="8">D21/F21</f>
        <v>1</v>
      </c>
      <c r="AB21" s="1809">
        <f t="shared" ref="AB21" si="9">D21/H21</f>
        <v>1</v>
      </c>
      <c r="AC21" s="2670">
        <f t="shared" ref="AC21" si="10">D21/J21</f>
        <v>1</v>
      </c>
    </row>
    <row r="22" spans="1:29" ht="15">
      <c r="A22" s="428"/>
      <c r="B22" s="632"/>
      <c r="C22" s="2672"/>
      <c r="D22" s="448"/>
      <c r="E22" s="447"/>
      <c r="F22" s="448"/>
      <c r="G22" s="2607"/>
      <c r="H22" s="448"/>
      <c r="I22" s="2607"/>
      <c r="J22" s="448"/>
      <c r="K22" s="1383"/>
      <c r="L22" s="1140"/>
      <c r="M22" s="1131"/>
      <c r="N22" s="1131"/>
      <c r="O22" s="1131"/>
      <c r="P22" s="3246"/>
      <c r="Q22" s="1808"/>
      <c r="R22" s="773"/>
      <c r="S22" s="774"/>
      <c r="T22" s="773"/>
      <c r="U22" s="774"/>
      <c r="V22" s="773"/>
      <c r="W22" s="774"/>
      <c r="X22" s="1811"/>
      <c r="Y22" s="3248"/>
      <c r="Z22" s="1812"/>
      <c r="AA22" s="1809">
        <v>1</v>
      </c>
      <c r="AB22" s="1809">
        <v>1</v>
      </c>
      <c r="AC22" s="2670">
        <v>1</v>
      </c>
    </row>
    <row r="23" spans="1:29" ht="71.25">
      <c r="A23" s="428"/>
      <c r="B23" s="630" t="s">
        <v>2685</v>
      </c>
      <c r="C23" s="2671" t="str">
        <f>估价对象房地状况!C9</f>
        <v>区域：江东公园，自然环境一般：；人文环境一般；综合评价环境状况一般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6"/>
      <c r="Q23" s="1808" t="str">
        <f>B23</f>
        <v>环境质量</v>
      </c>
      <c r="R23" s="773" t="s">
        <v>17</v>
      </c>
      <c r="S23" s="774">
        <f>F23</f>
        <v>100</v>
      </c>
      <c r="T23" s="773" t="s">
        <v>17</v>
      </c>
      <c r="U23" s="774">
        <f>H23</f>
        <v>100</v>
      </c>
      <c r="V23" s="773" t="s">
        <v>17</v>
      </c>
      <c r="W23" s="774">
        <f>J23</f>
        <v>100</v>
      </c>
      <c r="X23" s="1811"/>
      <c r="Y23" s="3248"/>
      <c r="Z23" s="1812" t="str">
        <f>Q23</f>
        <v>环境质量</v>
      </c>
      <c r="AA23" s="1809">
        <f t="shared" si="3"/>
        <v>1</v>
      </c>
      <c r="AB23" s="1809">
        <f t="shared" si="4"/>
        <v>1</v>
      </c>
      <c r="AC23" s="2670">
        <f t="shared" si="5"/>
        <v>1</v>
      </c>
    </row>
    <row r="24" spans="1:29" ht="15">
      <c r="A24" s="428"/>
      <c r="B24" s="632"/>
      <c r="C24" s="2607"/>
      <c r="D24" s="448"/>
      <c r="E24" s="2600"/>
      <c r="F24" s="448"/>
      <c r="G24" s="2601"/>
      <c r="H24" s="448"/>
      <c r="I24" s="2601"/>
      <c r="J24" s="448"/>
      <c r="K24" s="615"/>
      <c r="L24" s="1140"/>
      <c r="M24" s="1131"/>
      <c r="N24" s="1131"/>
      <c r="O24" s="1131"/>
      <c r="P24" s="3246"/>
      <c r="Q24" s="1808"/>
      <c r="R24" s="773"/>
      <c r="S24" s="774"/>
      <c r="T24" s="773"/>
      <c r="U24" s="774"/>
      <c r="V24" s="773"/>
      <c r="W24" s="774"/>
      <c r="X24" s="1811"/>
      <c r="Y24" s="3248"/>
      <c r="Z24" s="1812"/>
      <c r="AA24" s="1809">
        <v>1</v>
      </c>
      <c r="AB24" s="1809">
        <v>1</v>
      </c>
      <c r="AC24" s="2670">
        <v>1</v>
      </c>
    </row>
    <row r="25" spans="1:29" ht="27">
      <c r="A25" s="404"/>
      <c r="B25" s="630" t="s">
        <v>2686</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46"/>
      <c r="Q25" s="1808" t="str">
        <f>B25</f>
        <v>毗邻道路的类型与等级</v>
      </c>
      <c r="R25" s="773" t="s">
        <v>17</v>
      </c>
      <c r="S25" s="774">
        <f>F25</f>
        <v>100</v>
      </c>
      <c r="T25" s="773" t="s">
        <v>17</v>
      </c>
      <c r="U25" s="774">
        <f>H25</f>
        <v>100</v>
      </c>
      <c r="V25" s="773" t="s">
        <v>17</v>
      </c>
      <c r="W25" s="774">
        <f>J25</f>
        <v>100</v>
      </c>
      <c r="X25" s="1811"/>
      <c r="Y25" s="3248"/>
      <c r="Z25" s="1812" t="str">
        <f>Q25</f>
        <v>毗邻道路的类型与等级</v>
      </c>
      <c r="AA25" s="1809">
        <f t="shared" si="3"/>
        <v>1</v>
      </c>
      <c r="AB25" s="1809">
        <f t="shared" si="4"/>
        <v>1</v>
      </c>
      <c r="AC25" s="2670">
        <f t="shared" si="5"/>
        <v>1</v>
      </c>
    </row>
    <row r="26" spans="1:29" ht="15">
      <c r="A26" s="404"/>
      <c r="B26" s="631"/>
      <c r="C26" s="633"/>
      <c r="D26" s="435"/>
      <c r="E26" s="616"/>
      <c r="F26" s="435"/>
      <c r="G26" s="633"/>
      <c r="H26" s="435"/>
      <c r="I26" s="616"/>
      <c r="J26" s="435"/>
      <c r="K26" s="615"/>
      <c r="L26" s="1140"/>
      <c r="M26" s="1131"/>
      <c r="N26" s="1131"/>
      <c r="O26" s="1131"/>
      <c r="P26" s="3246"/>
      <c r="Q26" s="1808"/>
      <c r="R26" s="773"/>
      <c r="S26" s="774"/>
      <c r="T26" s="773"/>
      <c r="U26" s="774"/>
      <c r="V26" s="773"/>
      <c r="W26" s="774"/>
      <c r="X26" s="1811"/>
      <c r="Y26" s="3248"/>
      <c r="Z26" s="1812"/>
      <c r="AA26" s="1809">
        <v>1</v>
      </c>
      <c r="AB26" s="1809">
        <v>1</v>
      </c>
      <c r="AC26" s="2670">
        <v>1</v>
      </c>
    </row>
    <row r="27" spans="1:29" ht="15">
      <c r="A27" s="428"/>
      <c r="B27" s="631" t="s">
        <v>2654</v>
      </c>
      <c r="C27" s="633"/>
      <c r="D27" s="435">
        <v>100</v>
      </c>
      <c r="E27" s="616"/>
      <c r="F27" s="435">
        <f>SUMIF(89:89,E27,90:90)-SUMIF(89:89,C27,90:90)+100</f>
        <v>100</v>
      </c>
      <c r="G27" s="633"/>
      <c r="H27" s="435">
        <f>SUMIF(89:89,G27,90:90)-SUMIF(89:89,C27,90:90)+100</f>
        <v>100</v>
      </c>
      <c r="I27" s="616"/>
      <c r="J27" s="435">
        <f>SUMIF(89:89,I27,90:90)-SUMIF(89:89,C27,90:90)+100</f>
        <v>100</v>
      </c>
      <c r="K27" s="612"/>
      <c r="L27" s="1140"/>
      <c r="M27" s="1131"/>
      <c r="N27" s="1131"/>
      <c r="O27" s="1131"/>
      <c r="P27" s="3246"/>
      <c r="Q27" s="1808" t="str">
        <f t="shared" ref="Q27:Q47" si="11">B27</f>
        <v>楼层</v>
      </c>
      <c r="R27" s="773" t="s">
        <v>17</v>
      </c>
      <c r="S27" s="774">
        <f>F27</f>
        <v>100</v>
      </c>
      <c r="T27" s="773" t="s">
        <v>17</v>
      </c>
      <c r="U27" s="774">
        <f>H27</f>
        <v>100</v>
      </c>
      <c r="V27" s="773" t="s">
        <v>17</v>
      </c>
      <c r="W27" s="774">
        <f>J27</f>
        <v>100</v>
      </c>
      <c r="X27" s="1811"/>
      <c r="Y27" s="3248"/>
      <c r="Z27" s="1812" t="str">
        <f>Q27</f>
        <v>楼层</v>
      </c>
      <c r="AA27" s="1809">
        <f t="shared" si="3"/>
        <v>1</v>
      </c>
      <c r="AB27" s="1809">
        <f t="shared" si="4"/>
        <v>1</v>
      </c>
      <c r="AC27" s="2670">
        <f t="shared" si="5"/>
        <v>1</v>
      </c>
    </row>
    <row r="28" spans="1:29" s="117" customFormat="1" ht="15">
      <c r="A28" s="431"/>
      <c r="B28" s="630" t="s">
        <v>2687</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246"/>
      <c r="Q28" s="1793" t="str">
        <f t="shared" si="11"/>
        <v>朝向</v>
      </c>
      <c r="R28" s="769" t="s">
        <v>17</v>
      </c>
      <c r="S28" s="770">
        <f>F28</f>
        <v>100</v>
      </c>
      <c r="T28" s="769" t="s">
        <v>17</v>
      </c>
      <c r="U28" s="770">
        <f>H28</f>
        <v>100</v>
      </c>
      <c r="V28" s="769" t="s">
        <v>17</v>
      </c>
      <c r="W28" s="770">
        <f>J28</f>
        <v>100</v>
      </c>
      <c r="X28" s="771"/>
      <c r="Y28" s="3248"/>
      <c r="Z28" s="55" t="str">
        <f>Q28</f>
        <v>朝向</v>
      </c>
      <c r="AA28" s="1809">
        <f>D28/F28</f>
        <v>1</v>
      </c>
      <c r="AB28" s="1809">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46"/>
      <c r="Q29" s="1808">
        <f t="shared" si="11"/>
        <v>111</v>
      </c>
      <c r="R29" s="773" t="s">
        <v>17</v>
      </c>
      <c r="S29" s="774">
        <f t="shared" ref="S29:S47" si="12">F29</f>
        <v>100</v>
      </c>
      <c r="T29" s="773" t="s">
        <v>17</v>
      </c>
      <c r="U29" s="774">
        <f t="shared" ref="U29:U47" si="13">H29</f>
        <v>100</v>
      </c>
      <c r="V29" s="773" t="s">
        <v>17</v>
      </c>
      <c r="W29" s="774">
        <f t="shared" ref="W29:W47" si="14">J29</f>
        <v>100</v>
      </c>
      <c r="X29" s="1811"/>
      <c r="Y29" s="3248"/>
      <c r="Z29" s="1812">
        <f t="shared" ref="Z29:Z47" si="15">Q29</f>
        <v>111</v>
      </c>
      <c r="AA29" s="1809">
        <f t="shared" si="3"/>
        <v>1</v>
      </c>
      <c r="AB29" s="1809">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46"/>
      <c r="Q30" s="1808">
        <f t="shared" si="11"/>
        <v>111</v>
      </c>
      <c r="R30" s="773" t="s">
        <v>17</v>
      </c>
      <c r="S30" s="774">
        <f t="shared" si="12"/>
        <v>100</v>
      </c>
      <c r="T30" s="773" t="s">
        <v>17</v>
      </c>
      <c r="U30" s="774">
        <f t="shared" si="13"/>
        <v>100</v>
      </c>
      <c r="V30" s="773" t="s">
        <v>17</v>
      </c>
      <c r="W30" s="774">
        <f t="shared" si="14"/>
        <v>100</v>
      </c>
      <c r="X30" s="1811"/>
      <c r="Y30" s="3248"/>
      <c r="Z30" s="1812">
        <f t="shared" si="15"/>
        <v>111</v>
      </c>
      <c r="AA30" s="1809">
        <f t="shared" si="3"/>
        <v>1</v>
      </c>
      <c r="AB30" s="1809">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46"/>
      <c r="Q31" s="1808">
        <f t="shared" si="11"/>
        <v>111</v>
      </c>
      <c r="R31" s="773" t="s">
        <v>17</v>
      </c>
      <c r="S31" s="774">
        <f t="shared" si="12"/>
        <v>100</v>
      </c>
      <c r="T31" s="773" t="s">
        <v>17</v>
      </c>
      <c r="U31" s="774">
        <f t="shared" si="13"/>
        <v>100</v>
      </c>
      <c r="V31" s="773" t="s">
        <v>17</v>
      </c>
      <c r="W31" s="774">
        <f t="shared" si="14"/>
        <v>100</v>
      </c>
      <c r="X31" s="1811"/>
      <c r="Y31" s="3248"/>
      <c r="Z31" s="1812">
        <f t="shared" si="15"/>
        <v>111</v>
      </c>
      <c r="AA31" s="1809">
        <f t="shared" si="3"/>
        <v>1</v>
      </c>
      <c r="AB31" s="1809">
        <f t="shared" si="4"/>
        <v>1</v>
      </c>
      <c r="AC31" s="2670">
        <f t="shared" si="5"/>
        <v>1</v>
      </c>
    </row>
    <row r="32" spans="1:29" ht="15.75" thickBot="1">
      <c r="A32" s="436"/>
      <c r="B32" s="634">
        <v>111</v>
      </c>
      <c r="C32" s="2612"/>
      <c r="D32" s="438">
        <v>100</v>
      </c>
      <c r="E32" s="627"/>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46"/>
      <c r="Q32" s="1808">
        <f t="shared" si="11"/>
        <v>111</v>
      </c>
      <c r="R32" s="773" t="s">
        <v>17</v>
      </c>
      <c r="S32" s="774">
        <f t="shared" si="12"/>
        <v>100</v>
      </c>
      <c r="T32" s="773" t="s">
        <v>17</v>
      </c>
      <c r="U32" s="774">
        <f t="shared" si="13"/>
        <v>100</v>
      </c>
      <c r="V32" s="773" t="s">
        <v>17</v>
      </c>
      <c r="W32" s="774">
        <f t="shared" si="14"/>
        <v>100</v>
      </c>
      <c r="X32" s="1811"/>
      <c r="Y32" s="3248"/>
      <c r="Z32" s="1812">
        <f t="shared" si="15"/>
        <v>111</v>
      </c>
      <c r="AA32" s="1809">
        <f t="shared" si="3"/>
        <v>1</v>
      </c>
      <c r="AB32" s="1809">
        <f t="shared" si="4"/>
        <v>1</v>
      </c>
      <c r="AC32" s="2670">
        <f t="shared" si="5"/>
        <v>1</v>
      </c>
    </row>
    <row r="33" spans="1:29" ht="15">
      <c r="A33" s="440" t="s">
        <v>2558</v>
      </c>
      <c r="B33" s="71" t="s">
        <v>2688</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249" t="s">
        <v>2560</v>
      </c>
      <c r="Q33" s="1808" t="str">
        <f t="shared" si="11"/>
        <v>建筑类型</v>
      </c>
      <c r="R33" s="773" t="s">
        <v>17</v>
      </c>
      <c r="S33" s="774">
        <f t="shared" si="12"/>
        <v>100</v>
      </c>
      <c r="T33" s="773" t="s">
        <v>17</v>
      </c>
      <c r="U33" s="774">
        <f t="shared" si="13"/>
        <v>100</v>
      </c>
      <c r="V33" s="773" t="s">
        <v>17</v>
      </c>
      <c r="W33" s="774">
        <f t="shared" si="14"/>
        <v>100</v>
      </c>
      <c r="X33" s="1811"/>
      <c r="Y33" s="3252" t="s">
        <v>2560</v>
      </c>
      <c r="Z33" s="1812" t="str">
        <f t="shared" si="15"/>
        <v>建筑类型</v>
      </c>
      <c r="AA33" s="1809">
        <f t="shared" si="3"/>
        <v>1</v>
      </c>
      <c r="AB33" s="1809">
        <f t="shared" si="4"/>
        <v>1</v>
      </c>
      <c r="AC33" s="2670">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0"/>
      <c r="Q34" s="775" t="str">
        <f t="shared" si="11"/>
        <v>项目建筑规模</v>
      </c>
      <c r="R34" s="776" t="s">
        <v>17</v>
      </c>
      <c r="S34" s="777" t="e">
        <f t="shared" si="12"/>
        <v>#N/A</v>
      </c>
      <c r="T34" s="776" t="s">
        <v>17</v>
      </c>
      <c r="U34" s="777" t="e">
        <f t="shared" si="13"/>
        <v>#N/A</v>
      </c>
      <c r="V34" s="776" t="s">
        <v>17</v>
      </c>
      <c r="W34" s="777" t="e">
        <f t="shared" si="14"/>
        <v>#N/A</v>
      </c>
      <c r="X34" s="778"/>
      <c r="Y34" s="3252"/>
      <c r="Z34" s="779" t="str">
        <f t="shared" si="15"/>
        <v>项目建筑规模</v>
      </c>
      <c r="AA34" s="1809" t="e">
        <f t="shared" si="3"/>
        <v>#N/A</v>
      </c>
      <c r="AB34" s="1809" t="e">
        <f t="shared" si="4"/>
        <v>#N/A</v>
      </c>
      <c r="AC34" s="2670"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0"/>
      <c r="Q35" s="1808" t="str">
        <f t="shared" si="11"/>
        <v>建筑结构</v>
      </c>
      <c r="R35" s="773" t="s">
        <v>17</v>
      </c>
      <c r="S35" s="774">
        <f t="shared" si="12"/>
        <v>100</v>
      </c>
      <c r="T35" s="773" t="s">
        <v>17</v>
      </c>
      <c r="U35" s="774">
        <f t="shared" si="13"/>
        <v>100</v>
      </c>
      <c r="V35" s="773" t="s">
        <v>17</v>
      </c>
      <c r="W35" s="774">
        <f t="shared" si="14"/>
        <v>100</v>
      </c>
      <c r="X35" s="1811"/>
      <c r="Y35" s="3252"/>
      <c r="Z35" s="1812" t="str">
        <f t="shared" si="15"/>
        <v>建筑结构</v>
      </c>
      <c r="AA35" s="1809">
        <f t="shared" si="3"/>
        <v>1</v>
      </c>
      <c r="AB35" s="1809">
        <f t="shared" si="4"/>
        <v>1</v>
      </c>
      <c r="AC35" s="2670">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0"/>
      <c r="Q36" s="1808" t="str">
        <f t="shared" si="11"/>
        <v>公共部分装修</v>
      </c>
      <c r="R36" s="773" t="s">
        <v>17</v>
      </c>
      <c r="S36" s="774">
        <f t="shared" si="12"/>
        <v>100</v>
      </c>
      <c r="T36" s="773" t="s">
        <v>17</v>
      </c>
      <c r="U36" s="774">
        <f t="shared" si="13"/>
        <v>100</v>
      </c>
      <c r="V36" s="773" t="s">
        <v>17</v>
      </c>
      <c r="W36" s="774">
        <f t="shared" si="14"/>
        <v>100</v>
      </c>
      <c r="X36" s="1811"/>
      <c r="Y36" s="3252"/>
      <c r="Z36" s="1812" t="str">
        <f t="shared" si="15"/>
        <v>公共部分装修</v>
      </c>
      <c r="AA36" s="1809">
        <f t="shared" si="3"/>
        <v>1</v>
      </c>
      <c r="AB36" s="1809">
        <f t="shared" si="4"/>
        <v>1</v>
      </c>
      <c r="AC36" s="2670">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0"/>
      <c r="Q37" s="1808" t="str">
        <f t="shared" si="11"/>
        <v>成新度</v>
      </c>
      <c r="R37" s="773" t="s">
        <v>17</v>
      </c>
      <c r="S37" s="774" t="e">
        <f t="shared" si="12"/>
        <v>#N/A</v>
      </c>
      <c r="T37" s="773" t="s">
        <v>17</v>
      </c>
      <c r="U37" s="774" t="e">
        <f t="shared" si="13"/>
        <v>#N/A</v>
      </c>
      <c r="V37" s="773" t="s">
        <v>17</v>
      </c>
      <c r="W37" s="774" t="e">
        <f t="shared" si="14"/>
        <v>#N/A</v>
      </c>
      <c r="X37" s="1811"/>
      <c r="Y37" s="3252"/>
      <c r="Z37" s="1812" t="str">
        <f t="shared" si="15"/>
        <v>成新度</v>
      </c>
      <c r="AA37" s="1809" t="e">
        <f t="shared" si="3"/>
        <v>#N/A</v>
      </c>
      <c r="AB37" s="1809" t="e">
        <f t="shared" si="4"/>
        <v>#N/A</v>
      </c>
      <c r="AC37" s="2670"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0"/>
      <c r="Q38" s="1793" t="str">
        <f t="shared" si="11"/>
        <v>写字楼等级</v>
      </c>
      <c r="R38" s="769" t="s">
        <v>17</v>
      </c>
      <c r="S38" s="770">
        <f t="shared" si="12"/>
        <v>100</v>
      </c>
      <c r="T38" s="769" t="s">
        <v>17</v>
      </c>
      <c r="U38" s="770">
        <f t="shared" si="13"/>
        <v>100</v>
      </c>
      <c r="V38" s="769" t="s">
        <v>17</v>
      </c>
      <c r="W38" s="770">
        <f t="shared" si="14"/>
        <v>100</v>
      </c>
      <c r="X38" s="771"/>
      <c r="Y38" s="3252"/>
      <c r="Z38" s="55" t="str">
        <f t="shared" si="15"/>
        <v>写字楼等级</v>
      </c>
      <c r="AA38" s="772">
        <f t="shared" si="3"/>
        <v>1</v>
      </c>
      <c r="AB38" s="772">
        <f t="shared" si="4"/>
        <v>1</v>
      </c>
      <c r="AC38" s="2667">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0" t="s">
        <v>2560</v>
      </c>
      <c r="Q39" s="1808" t="str">
        <f t="shared" si="11"/>
        <v>物业管理</v>
      </c>
      <c r="R39" s="773" t="s">
        <v>17</v>
      </c>
      <c r="S39" s="774">
        <f t="shared" si="12"/>
        <v>100</v>
      </c>
      <c r="T39" s="773" t="s">
        <v>17</v>
      </c>
      <c r="U39" s="774">
        <f t="shared" si="13"/>
        <v>100</v>
      </c>
      <c r="V39" s="773" t="s">
        <v>17</v>
      </c>
      <c r="W39" s="774">
        <f t="shared" si="14"/>
        <v>100</v>
      </c>
      <c r="X39" s="1811"/>
      <c r="Y39" s="3252" t="s">
        <v>2560</v>
      </c>
      <c r="Z39" s="1812" t="str">
        <f t="shared" si="15"/>
        <v>物业管理</v>
      </c>
      <c r="AA39" s="1809">
        <f t="shared" si="3"/>
        <v>1</v>
      </c>
      <c r="AB39" s="1809">
        <f t="shared" si="4"/>
        <v>1</v>
      </c>
      <c r="AC39" s="2670">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0"/>
      <c r="Q40" s="1808" t="str">
        <f t="shared" si="11"/>
        <v>市政基础设施</v>
      </c>
      <c r="R40" s="773" t="s">
        <v>17</v>
      </c>
      <c r="S40" s="774">
        <f t="shared" si="12"/>
        <v>100</v>
      </c>
      <c r="T40" s="773" t="s">
        <v>17</v>
      </c>
      <c r="U40" s="774">
        <f t="shared" si="13"/>
        <v>100</v>
      </c>
      <c r="V40" s="773" t="s">
        <v>17</v>
      </c>
      <c r="W40" s="774">
        <f t="shared" si="14"/>
        <v>100</v>
      </c>
      <c r="X40" s="1811"/>
      <c r="Y40" s="3252"/>
      <c r="Z40" s="1812" t="str">
        <f t="shared" si="15"/>
        <v>市政基础设施</v>
      </c>
      <c r="AA40" s="1809">
        <f t="shared" si="3"/>
        <v>1</v>
      </c>
      <c r="AB40" s="1809">
        <f t="shared" si="4"/>
        <v>1</v>
      </c>
      <c r="AC40" s="2670">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0"/>
      <c r="Q41" s="1808" t="str">
        <f t="shared" si="11"/>
        <v>层高</v>
      </c>
      <c r="R41" s="773" t="s">
        <v>17</v>
      </c>
      <c r="S41" s="774">
        <f t="shared" si="12"/>
        <v>100</v>
      </c>
      <c r="T41" s="773" t="s">
        <v>17</v>
      </c>
      <c r="U41" s="774">
        <f t="shared" si="13"/>
        <v>100</v>
      </c>
      <c r="V41" s="773" t="s">
        <v>17</v>
      </c>
      <c r="W41" s="774">
        <f t="shared" si="14"/>
        <v>100</v>
      </c>
      <c r="X41" s="1811"/>
      <c r="Y41" s="3252"/>
      <c r="Z41" s="1812" t="str">
        <f t="shared" si="15"/>
        <v>层高</v>
      </c>
      <c r="AA41" s="1809">
        <f t="shared" si="3"/>
        <v>1</v>
      </c>
      <c r="AB41" s="1809">
        <f t="shared" si="4"/>
        <v>1</v>
      </c>
      <c r="AC41" s="2670">
        <f t="shared" si="5"/>
        <v>1</v>
      </c>
    </row>
    <row r="42" spans="1:29" s="471" customFormat="1" ht="15">
      <c r="A42" s="468"/>
      <c r="B42" s="1810"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0"/>
      <c r="Q42" s="775" t="str">
        <f t="shared" si="11"/>
        <v>单套建筑面积</v>
      </c>
      <c r="R42" s="776" t="s">
        <v>17</v>
      </c>
      <c r="S42" s="777">
        <f t="shared" si="12"/>
        <v>100</v>
      </c>
      <c r="T42" s="776" t="s">
        <v>17</v>
      </c>
      <c r="U42" s="777">
        <f t="shared" si="13"/>
        <v>100</v>
      </c>
      <c r="V42" s="776" t="s">
        <v>17</v>
      </c>
      <c r="W42" s="777">
        <f t="shared" si="14"/>
        <v>100</v>
      </c>
      <c r="X42" s="778"/>
      <c r="Y42" s="3252"/>
      <c r="Z42" s="779" t="str">
        <f t="shared" si="15"/>
        <v>单套建筑面积</v>
      </c>
      <c r="AA42" s="1809">
        <f t="shared" si="3"/>
        <v>1</v>
      </c>
      <c r="AB42" s="1809">
        <f t="shared" si="4"/>
        <v>1</v>
      </c>
      <c r="AC42" s="2670">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0"/>
      <c r="Q43" s="1808" t="str">
        <f t="shared" si="11"/>
        <v>内部装修</v>
      </c>
      <c r="R43" s="773" t="s">
        <v>17</v>
      </c>
      <c r="S43" s="774">
        <f t="shared" si="12"/>
        <v>100</v>
      </c>
      <c r="T43" s="773" t="s">
        <v>17</v>
      </c>
      <c r="U43" s="774">
        <f t="shared" si="13"/>
        <v>100</v>
      </c>
      <c r="V43" s="773" t="s">
        <v>17</v>
      </c>
      <c r="W43" s="774">
        <f t="shared" si="14"/>
        <v>100</v>
      </c>
      <c r="X43" s="1811"/>
      <c r="Y43" s="3252"/>
      <c r="Z43" s="1812" t="str">
        <f t="shared" si="15"/>
        <v>内部装修</v>
      </c>
      <c r="AA43" s="1809">
        <f t="shared" si="3"/>
        <v>1</v>
      </c>
      <c r="AB43" s="1809">
        <f t="shared" si="4"/>
        <v>1</v>
      </c>
      <c r="AC43" s="2670">
        <f t="shared" si="5"/>
        <v>1</v>
      </c>
    </row>
    <row r="44" spans="1:29" ht="15">
      <c r="A44" s="472"/>
      <c r="B44" s="422" t="s">
        <v>2571</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50"/>
      <c r="Q44" s="1808" t="str">
        <f t="shared" si="11"/>
        <v>内部装修维护情况</v>
      </c>
      <c r="R44" s="773" t="s">
        <v>17</v>
      </c>
      <c r="S44" s="774">
        <f t="shared" si="12"/>
        <v>100</v>
      </c>
      <c r="T44" s="773" t="s">
        <v>17</v>
      </c>
      <c r="U44" s="774">
        <f t="shared" si="13"/>
        <v>100</v>
      </c>
      <c r="V44" s="773" t="s">
        <v>17</v>
      </c>
      <c r="W44" s="774">
        <f t="shared" si="14"/>
        <v>100</v>
      </c>
      <c r="X44" s="1811"/>
      <c r="Y44" s="3252"/>
      <c r="Z44" s="1812" t="str">
        <f t="shared" si="15"/>
        <v>内部装修维护情况</v>
      </c>
      <c r="AA44" s="1809">
        <f t="shared" si="3"/>
        <v>1</v>
      </c>
      <c r="AB44" s="1809">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0"/>
      <c r="Q45" s="1793">
        <f t="shared" si="11"/>
        <v>111</v>
      </c>
      <c r="R45" s="769" t="s">
        <v>17</v>
      </c>
      <c r="S45" s="770">
        <f t="shared" si="12"/>
        <v>100</v>
      </c>
      <c r="T45" s="769" t="s">
        <v>17</v>
      </c>
      <c r="U45" s="770">
        <f t="shared" si="13"/>
        <v>100</v>
      </c>
      <c r="V45" s="769" t="s">
        <v>17</v>
      </c>
      <c r="W45" s="770">
        <f t="shared" si="14"/>
        <v>100</v>
      </c>
      <c r="X45" s="771"/>
      <c r="Y45" s="3252"/>
      <c r="Z45" s="55">
        <f t="shared" si="15"/>
        <v>111</v>
      </c>
      <c r="AA45" s="772">
        <f t="shared" si="3"/>
        <v>1</v>
      </c>
      <c r="AB45" s="772">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0"/>
      <c r="Q46" s="1808">
        <f t="shared" si="11"/>
        <v>111</v>
      </c>
      <c r="R46" s="773" t="s">
        <v>17</v>
      </c>
      <c r="S46" s="774">
        <f t="shared" si="12"/>
        <v>100</v>
      </c>
      <c r="T46" s="773" t="s">
        <v>17</v>
      </c>
      <c r="U46" s="774">
        <f t="shared" si="13"/>
        <v>100</v>
      </c>
      <c r="V46" s="773" t="s">
        <v>17</v>
      </c>
      <c r="W46" s="774">
        <f t="shared" si="14"/>
        <v>100</v>
      </c>
      <c r="X46" s="1811"/>
      <c r="Y46" s="3252"/>
      <c r="Z46" s="1812">
        <f t="shared" si="15"/>
        <v>111</v>
      </c>
      <c r="AA46" s="1809">
        <f t="shared" si="3"/>
        <v>1</v>
      </c>
      <c r="AB46" s="1809">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1"/>
      <c r="Q47" s="1808">
        <f t="shared" si="11"/>
        <v>111</v>
      </c>
      <c r="R47" s="773" t="s">
        <v>17</v>
      </c>
      <c r="S47" s="774">
        <f t="shared" si="12"/>
        <v>100</v>
      </c>
      <c r="T47" s="773" t="s">
        <v>17</v>
      </c>
      <c r="U47" s="774">
        <f t="shared" si="13"/>
        <v>100</v>
      </c>
      <c r="V47" s="773" t="s">
        <v>17</v>
      </c>
      <c r="W47" s="774">
        <f t="shared" si="14"/>
        <v>100</v>
      </c>
      <c r="X47" s="1811"/>
      <c r="Y47" s="3253"/>
      <c r="Z47" s="1812">
        <f t="shared" si="15"/>
        <v>111</v>
      </c>
      <c r="AA47" s="1809">
        <f t="shared" si="3"/>
        <v>1</v>
      </c>
      <c r="AB47" s="1809">
        <f t="shared" si="4"/>
        <v>1</v>
      </c>
      <c r="AC47" s="2670">
        <f t="shared" si="5"/>
        <v>1</v>
      </c>
    </row>
    <row r="48" spans="1:29" ht="15">
      <c r="A48" s="479" t="s">
        <v>2572</v>
      </c>
      <c r="B48" s="480"/>
      <c r="C48" s="1407" t="s">
        <v>1</v>
      </c>
      <c r="D48" s="1408"/>
      <c r="E48" s="1409"/>
      <c r="F48" s="1410"/>
      <c r="G48" s="1411"/>
      <c r="H48" s="1412"/>
      <c r="I48" s="1409"/>
      <c r="J48" s="485"/>
      <c r="K48" s="782"/>
      <c r="L48" s="1143"/>
      <c r="M48" s="1131"/>
      <c r="N48" s="1131"/>
      <c r="O48" s="1131"/>
      <c r="P48" s="3231" t="str">
        <f>A48</f>
        <v>成交单价（元/平方米）</v>
      </c>
      <c r="Q48" s="3254"/>
      <c r="R48" s="3255">
        <f>E48</f>
        <v>0</v>
      </c>
      <c r="S48" s="3255"/>
      <c r="T48" s="3255">
        <f>G48</f>
        <v>0</v>
      </c>
      <c r="U48" s="3255"/>
      <c r="V48" s="3255">
        <f>I48</f>
        <v>0</v>
      </c>
      <c r="W48" s="3255"/>
      <c r="X48" s="446"/>
      <c r="Y48" s="780"/>
      <c r="Z48" s="446"/>
      <c r="AA48" s="446"/>
      <c r="AB48" s="446"/>
      <c r="AC48" s="629"/>
    </row>
    <row r="49" spans="1:29" ht="15.75" thickBot="1">
      <c r="A49" s="486" t="s">
        <v>2664</v>
      </c>
      <c r="B49" s="487"/>
      <c r="C49" s="1413" t="e">
        <f>R50</f>
        <v>#DIV/0!</v>
      </c>
      <c r="D49" s="1414"/>
      <c r="E49" s="1415" t="e">
        <f>R49</f>
        <v>#DIV/0!</v>
      </c>
      <c r="F49" s="1415"/>
      <c r="G49" s="1413" t="e">
        <f>T49</f>
        <v>#DIV/0!</v>
      </c>
      <c r="H49" s="1414"/>
      <c r="I49" s="1415" t="e">
        <f>V49</f>
        <v>#DIV/0!</v>
      </c>
      <c r="J49" s="489"/>
      <c r="K49" s="783"/>
      <c r="L49" s="1143"/>
      <c r="M49" s="1131"/>
      <c r="N49" s="1131"/>
      <c r="O49" s="1131"/>
      <c r="P49" s="3231" t="str">
        <f>A49</f>
        <v>比较价值（元/平方米）</v>
      </c>
      <c r="Q49" s="3254"/>
      <c r="R49" s="3255" t="e">
        <f>IF(F1="售价",ROUND(PRODUCT(R48,AA7:AA47),0),ROUND(PRODUCT(R48,AA7:AA47),1))</f>
        <v>#DIV/0!</v>
      </c>
      <c r="S49" s="3255"/>
      <c r="T49" s="3255" t="e">
        <f>IF(F1="售价",ROUND(PRODUCT(T48,AB7:AB47),0),ROUND(PRODUCT(T48,AB7:AB47),1))</f>
        <v>#DIV/0!</v>
      </c>
      <c r="U49" s="3255"/>
      <c r="V49" s="3255" t="e">
        <f>IF(F1="售价",ROUND(PRODUCT(V48,AC7:AC47),0),ROUND(PRODUCT(V48,AC7:AC47),1))</f>
        <v>#DIV/0!</v>
      </c>
      <c r="W49" s="3255"/>
      <c r="X49" s="446"/>
      <c r="Y49" s="446"/>
      <c r="Z49" s="446"/>
      <c r="AA49" s="446"/>
      <c r="AB49" s="446"/>
      <c r="AC49" s="629"/>
    </row>
    <row r="50" spans="1:29" ht="15.75" thickBot="1">
      <c r="A50" s="492" t="s">
        <v>2665</v>
      </c>
      <c r="B50" s="493"/>
      <c r="C50" s="1417" t="e">
        <f>R50</f>
        <v>#DIV/0!</v>
      </c>
      <c r="D50" s="1417"/>
      <c r="E50" s="1417"/>
      <c r="F50" s="1417"/>
      <c r="G50" s="1417"/>
      <c r="H50" s="1417"/>
      <c r="I50" s="1417"/>
      <c r="J50" s="494"/>
      <c r="K50" s="784"/>
      <c r="L50" s="1143"/>
      <c r="M50" s="1131"/>
      <c r="N50" s="1131"/>
      <c r="O50" s="1131"/>
      <c r="P50" s="3302" t="str">
        <f>A50</f>
        <v>估价对象XX用房的比较价值（楼面单价，元/平方米）</v>
      </c>
      <c r="Q50" s="3303"/>
      <c r="R50" s="3304" t="e">
        <f>IF(F1="售价",ROUND(AVERAGE(R49:V49),0),ROUND(AVERAGE(R49:V49),1))</f>
        <v>#DIV/0!</v>
      </c>
      <c r="S50" s="3304"/>
      <c r="T50" s="3304"/>
      <c r="U50" s="3304"/>
      <c r="V50" s="3304"/>
      <c r="W50" s="3304"/>
      <c r="X50" s="2650"/>
      <c r="Y50" s="2650"/>
      <c r="Z50" s="2650"/>
      <c r="AA50" s="2650"/>
      <c r="AB50" s="2650"/>
      <c r="AC50" s="2651"/>
    </row>
    <row r="51" spans="1:29">
      <c r="A51" s="1144"/>
      <c r="B51" s="1144"/>
      <c r="C51" s="1144"/>
      <c r="D51" s="1144"/>
      <c r="E51" s="1144"/>
      <c r="F51" s="1144"/>
      <c r="G51" s="1147"/>
      <c r="H51" s="1144"/>
      <c r="I51" s="1144"/>
      <c r="J51" s="1144"/>
      <c r="K51" s="1107"/>
      <c r="L51" s="1108"/>
      <c r="M51" s="1144"/>
      <c r="N51" s="1144"/>
      <c r="O51" s="1144"/>
    </row>
    <row r="52" spans="1:29">
      <c r="A52" s="1144"/>
      <c r="B52" s="1144"/>
      <c r="C52" s="1144"/>
      <c r="D52" s="1144"/>
      <c r="E52" s="1144"/>
      <c r="F52" s="1144"/>
      <c r="G52" s="1144"/>
      <c r="H52" s="1144"/>
      <c r="I52" s="1144"/>
      <c r="J52" s="1144"/>
      <c r="K52" s="1107"/>
      <c r="L52" s="1108"/>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7"/>
      <c r="L57" s="1108"/>
      <c r="M57" s="1144"/>
      <c r="N57" s="1144"/>
      <c r="O57" s="1144"/>
    </row>
    <row r="58" spans="1:29" ht="21.75" thickBot="1">
      <c r="A58" s="762" t="s">
        <v>2669</v>
      </c>
      <c r="B58" s="758"/>
      <c r="C58" s="763"/>
      <c r="D58" s="763"/>
      <c r="E58" s="763"/>
      <c r="F58" s="764"/>
      <c r="G58" s="764"/>
      <c r="H58" s="763"/>
      <c r="I58" s="763"/>
      <c r="J58" s="763"/>
      <c r="K58" s="765"/>
      <c r="L58" s="1161"/>
      <c r="M58" s="1159"/>
      <c r="N58" s="1159"/>
      <c r="O58" s="1159"/>
      <c r="P58" s="2677"/>
      <c r="Q58" s="504"/>
    </row>
    <row r="59" spans="1:29" s="508" customFormat="1" ht="15">
      <c r="A59" s="505" t="s">
        <v>2543</v>
      </c>
      <c r="B59" s="506"/>
      <c r="C59" s="1574" t="str">
        <f>YEAR(C7)&amp;"-"&amp;MONTH(C7)</f>
        <v>2018-6</v>
      </c>
      <c r="D59" s="1575">
        <f>EDATE(C59,-1)</f>
        <v>43221</v>
      </c>
      <c r="E59" s="1575">
        <f>EDATE(D59,-1)</f>
        <v>43191</v>
      </c>
      <c r="F59" s="1575">
        <f t="shared" ref="F59:O59" si="16">EDATE(E59,-1)</f>
        <v>43160</v>
      </c>
      <c r="G59" s="1575">
        <f t="shared" si="16"/>
        <v>43132</v>
      </c>
      <c r="H59" s="1575">
        <f t="shared" si="16"/>
        <v>43101</v>
      </c>
      <c r="I59" s="1575">
        <f t="shared" si="16"/>
        <v>43070</v>
      </c>
      <c r="J59" s="1575">
        <f t="shared" si="16"/>
        <v>43040</v>
      </c>
      <c r="K59" s="1575">
        <f t="shared" si="16"/>
        <v>43009</v>
      </c>
      <c r="L59" s="1575">
        <f t="shared" si="16"/>
        <v>42979</v>
      </c>
      <c r="M59" s="1575">
        <f t="shared" si="16"/>
        <v>42948</v>
      </c>
      <c r="N59" s="1575">
        <f t="shared" si="16"/>
        <v>42917</v>
      </c>
      <c r="O59" s="1575">
        <f t="shared" si="16"/>
        <v>42887</v>
      </c>
      <c r="P59" s="1571"/>
    </row>
    <row r="60" spans="1:29" s="117" customFormat="1" ht="15">
      <c r="A60" s="509"/>
      <c r="B60" s="510"/>
      <c r="C60" s="1573">
        <v>100</v>
      </c>
      <c r="D60" s="512"/>
      <c r="E60" s="512"/>
      <c r="F60" s="512"/>
      <c r="G60" s="512"/>
      <c r="H60" s="512"/>
      <c r="I60" s="512"/>
      <c r="J60" s="512"/>
      <c r="K60" s="512"/>
      <c r="L60" s="512"/>
      <c r="M60" s="513"/>
      <c r="N60" s="512"/>
      <c r="O60" s="513"/>
      <c r="P60" s="2678"/>
    </row>
    <row r="61" spans="1:29" s="117" customFormat="1" ht="15.75" thickBot="1">
      <c r="A61" s="515" t="s">
        <v>2580</v>
      </c>
      <c r="B61" s="516"/>
      <c r="C61" s="517"/>
      <c r="D61" s="518"/>
      <c r="E61" s="518"/>
      <c r="F61" s="518"/>
      <c r="G61" s="518"/>
      <c r="H61" s="518"/>
      <c r="I61" s="518"/>
      <c r="J61" s="518"/>
      <c r="K61" s="518"/>
      <c r="L61" s="518"/>
      <c r="M61" s="519"/>
      <c r="N61" s="518"/>
      <c r="O61" s="519"/>
      <c r="P61" s="2678"/>
      <c r="Q61" s="504"/>
    </row>
    <row r="62" spans="1:29" s="117" customFormat="1" ht="15">
      <c r="A62" s="521" t="s">
        <v>2545</v>
      </c>
      <c r="B62" s="510"/>
      <c r="C62" s="522" t="s">
        <v>2647</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2583</v>
      </c>
      <c r="B64" s="528" t="s">
        <v>2549</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2684</v>
      </c>
      <c r="C83" s="659" t="s">
        <v>2670</v>
      </c>
      <c r="D83" s="659" t="s">
        <v>2671</v>
      </c>
      <c r="E83" s="659" t="s">
        <v>2672</v>
      </c>
      <c r="F83" s="659" t="s">
        <v>2673</v>
      </c>
      <c r="G83" s="659" t="s">
        <v>2674</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3"/>
      <c r="O84" s="1153"/>
      <c r="P84" s="2680"/>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2694</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2558</v>
      </c>
      <c r="B101" s="528" t="s">
        <v>2607</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0"/>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2609</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0"/>
      <c r="Q107" s="504"/>
    </row>
    <row r="108" spans="1:17" ht="15" thickTop="1">
      <c r="A108" s="599"/>
      <c r="B108" s="538" t="s">
        <v>2611</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0"/>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2"/>
      <c r="J111" s="622"/>
      <c r="K111" s="623"/>
      <c r="L111" s="624"/>
      <c r="M111" s="625"/>
      <c r="N111" s="1152"/>
      <c r="O111" s="1152"/>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0"/>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1"/>
      <c r="Q114" s="559"/>
    </row>
    <row r="115" spans="1:17" ht="15" thickTop="1">
      <c r="A115" s="599"/>
      <c r="B115" s="538" t="s">
        <v>2612</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0"/>
      <c r="Q116" s="504"/>
    </row>
    <row r="117" spans="1:17" ht="15" thickTop="1">
      <c r="A117" s="599"/>
      <c r="B117" s="538" t="s">
        <v>2613</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5" t="s">
        <v>2696</v>
      </c>
      <c r="C119" s="583"/>
      <c r="D119" s="583"/>
      <c r="E119" s="583"/>
      <c r="F119" s="583"/>
      <c r="G119" s="583"/>
      <c r="H119" s="583"/>
      <c r="I119" s="583"/>
      <c r="J119" s="583"/>
      <c r="K119" s="583"/>
      <c r="L119" s="2685"/>
      <c r="M119" s="2686"/>
      <c r="N119" s="1153"/>
      <c r="O119" s="1153"/>
      <c r="P119" s="2687"/>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0"/>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2615</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0"/>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宁波银亿新城置业有限公司：</v>
      </c>
    </row>
    <row r="4" spans="1:1" ht="36">
      <c r="A4" s="1946" t="str">
        <f>"受贵公司委托，我公司对"&amp;项目基本情况!S1&amp;"进行了预评估。"</f>
        <v>受贵公司委托，我公司对浙江省宁波市宁穿路960号1-2号等249套房地产抵押价值进行了预评估。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宁波市宁穿路960号1-2号等249套房地产，为宁波银亿新城置业有限公司所有。根据《国有土地使用证》[]，估价对象（分摊）出让国有建设用地使用权面积为3270.08平方米，建筑面积为18418.46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宁波市宁穿路960号1-2号等249套房地产,属宁波银亿新城置业有限公司开发建设的商业项目，该项目尚在开发建设中。根据《国有土地使用证》[]，估价对象（分摊）出让国有建设用地使用权面积为3270.08平方米，规划建筑面积为18418.46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2018年6月28日（评估专业人员实地查勘之日）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28日，估价对象规划用途为商业，土地取得方式为出让，出让国有建设用地使用权剩余土地使用年限为商业35.18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五通”（即通路、通电、通讯、通上水、通下水）、红线内场地平整条件下，剩余土地使用年限为商业35.18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1609</v>
      </c>
    </row>
    <row r="24" spans="1:1" ht="18">
      <c r="A24" s="1953" t="str">
        <f>"本次评估采用的主估价方法为"&amp;结果表!K4&amp;"和"&amp;结果表!L4&amp;"。"</f>
        <v>本次评估采用的主估价方法为比较法和收益法。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5" t="s">
        <v>2697</v>
      </c>
      <c r="C1" s="1620" t="s">
        <v>2525</v>
      </c>
      <c r="D1" s="1621"/>
      <c r="E1" s="1630"/>
      <c r="F1" s="2580"/>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82"/>
      <c r="D2" s="1124" t="e">
        <f ca="1">SUMIF(INDIRECT("'"&amp;F2&amp;"'"&amp;"!A:A"),"承租人权益价值",INDIRECT("'"&amp;F2&amp;"'"&amp;"!c:c"))</f>
        <v>#REF!</v>
      </c>
      <c r="E2" s="2583" t="s">
        <v>2323</v>
      </c>
      <c r="F2" s="2584"/>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8" customFormat="1" ht="28.5" customHeight="1" thickBot="1">
      <c r="A3" s="247" t="s">
        <v>2324</v>
      </c>
      <c r="B3" s="609" t="e">
        <f ca="1">IF(C2="——",C43,ROUND(B2*10000/D3,0))</f>
        <v>#DIV/0!</v>
      </c>
      <c r="C3" s="400" t="s">
        <v>2639</v>
      </c>
      <c r="D3" s="399">
        <f>IF(D1="",'数据-汇总表'!E3,SUMIF('数据-汇总表'!$C19:$C33,D1,'数据-汇总表'!$E19:$E33))</f>
        <v>18418.460000000006</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2640</v>
      </c>
      <c r="B4" s="402"/>
      <c r="C4" s="3232" t="s">
        <v>2641</v>
      </c>
      <c r="D4" s="3233"/>
      <c r="E4" s="3234" t="s">
        <v>2642</v>
      </c>
      <c r="F4" s="3235"/>
      <c r="G4" s="3232" t="s">
        <v>2643</v>
      </c>
      <c r="H4" s="3233"/>
      <c r="I4" s="3232" t="s">
        <v>2644</v>
      </c>
      <c r="J4" s="3233"/>
      <c r="K4" s="610" t="s">
        <v>2645</v>
      </c>
      <c r="L4" s="1130"/>
      <c r="M4" s="1131"/>
      <c r="N4" s="1131"/>
      <c r="O4" s="1131"/>
      <c r="P4" s="3236" t="s">
        <v>2646</v>
      </c>
      <c r="Q4" s="3237"/>
      <c r="R4" s="3219" t="s">
        <v>2642</v>
      </c>
      <c r="S4" s="3220"/>
      <c r="T4" s="3219" t="s">
        <v>2643</v>
      </c>
      <c r="U4" s="3220"/>
      <c r="V4" s="3216" t="s">
        <v>2644</v>
      </c>
      <c r="W4" s="3216"/>
      <c r="X4" s="1811"/>
      <c r="Y4" s="3219" t="s">
        <v>2646</v>
      </c>
      <c r="Z4" s="3220"/>
      <c r="AA4" s="3213" t="s">
        <v>2642</v>
      </c>
      <c r="AB4" s="3214" t="s">
        <v>2643</v>
      </c>
      <c r="AC4" s="3213" t="s">
        <v>2644</v>
      </c>
    </row>
    <row r="5" spans="1:29" ht="15">
      <c r="A5" s="404"/>
      <c r="B5" s="405"/>
      <c r="C5" s="3287" t="s">
        <v>2537</v>
      </c>
      <c r="D5" s="3226"/>
      <c r="E5" s="3286" t="s">
        <v>2538</v>
      </c>
      <c r="F5" s="3224"/>
      <c r="G5" s="3287" t="s">
        <v>2539</v>
      </c>
      <c r="H5" s="3226"/>
      <c r="I5" s="3287" t="s">
        <v>2540</v>
      </c>
      <c r="J5" s="3226"/>
      <c r="K5" s="610"/>
      <c r="L5" s="1130"/>
      <c r="M5" s="1131"/>
      <c r="N5" s="1131"/>
      <c r="O5" s="1131"/>
      <c r="P5" s="3238"/>
      <c r="Q5" s="3239"/>
      <c r="R5" s="3221"/>
      <c r="S5" s="3222"/>
      <c r="T5" s="3221"/>
      <c r="U5" s="3222"/>
      <c r="V5" s="3216"/>
      <c r="W5" s="3216"/>
      <c r="X5" s="1811"/>
      <c r="Y5" s="3221"/>
      <c r="Z5" s="3222"/>
      <c r="AA5" s="3214"/>
      <c r="AB5" s="3214"/>
      <c r="AC5" s="3214"/>
    </row>
    <row r="6" spans="1:29" ht="15.75" thickBot="1">
      <c r="A6" s="406"/>
      <c r="B6" s="407"/>
      <c r="C6" s="3288" t="s">
        <v>2541</v>
      </c>
      <c r="D6" s="3228"/>
      <c r="E6" s="3289" t="s">
        <v>2541</v>
      </c>
      <c r="F6" s="3230"/>
      <c r="G6" s="3288" t="s">
        <v>2541</v>
      </c>
      <c r="H6" s="3228"/>
      <c r="I6" s="3288" t="s">
        <v>2541</v>
      </c>
      <c r="J6" s="3228"/>
      <c r="K6" s="610" t="s">
        <v>2542</v>
      </c>
      <c r="L6" s="1130"/>
      <c r="M6" s="1131"/>
      <c r="N6" s="1131"/>
      <c r="O6" s="1131"/>
      <c r="P6" s="3240"/>
      <c r="Q6" s="3241"/>
      <c r="R6" s="3221"/>
      <c r="S6" s="3222"/>
      <c r="T6" s="3242"/>
      <c r="U6" s="3243"/>
      <c r="V6" s="3216"/>
      <c r="W6" s="3216"/>
      <c r="X6" s="1811"/>
      <c r="Y6" s="3242"/>
      <c r="Z6" s="3243"/>
      <c r="AA6" s="3215"/>
      <c r="AB6" s="3215"/>
      <c r="AC6" s="3215"/>
    </row>
    <row r="7" spans="1:29" s="117" customFormat="1" ht="15.75" thickBot="1">
      <c r="A7" s="408" t="s">
        <v>2543</v>
      </c>
      <c r="B7" s="409"/>
      <c r="C7" s="410">
        <f>'数据-取费表'!B2</f>
        <v>43279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7" t="s">
        <v>2544</v>
      </c>
      <c r="Q7" s="3244"/>
      <c r="R7" s="769" t="s">
        <v>17</v>
      </c>
      <c r="S7" s="770">
        <f t="shared" ref="S7:S15" si="0">F7</f>
        <v>0</v>
      </c>
      <c r="T7" s="769" t="s">
        <v>17</v>
      </c>
      <c r="U7" s="770">
        <f t="shared" ref="U7:U15" si="1">H7</f>
        <v>0</v>
      </c>
      <c r="V7" s="769" t="s">
        <v>17</v>
      </c>
      <c r="W7" s="770">
        <f t="shared" ref="W7:W15" si="2">J7</f>
        <v>0</v>
      </c>
      <c r="X7" s="771"/>
      <c r="Y7" s="3217" t="s">
        <v>2544</v>
      </c>
      <c r="Z7" s="3218"/>
      <c r="AA7" s="772" t="e">
        <f>D7/F7</f>
        <v>#DIV/0!</v>
      </c>
      <c r="AB7" s="772" t="e">
        <f>D7/H7</f>
        <v>#DIV/0!</v>
      </c>
      <c r="AC7" s="772"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7" t="s">
        <v>2547</v>
      </c>
      <c r="Q8" s="3218"/>
      <c r="R8" s="769" t="s">
        <v>17</v>
      </c>
      <c r="S8" s="770">
        <f t="shared" si="0"/>
        <v>0</v>
      </c>
      <c r="T8" s="769" t="s">
        <v>17</v>
      </c>
      <c r="U8" s="770">
        <f t="shared" si="1"/>
        <v>0</v>
      </c>
      <c r="V8" s="769" t="s">
        <v>17</v>
      </c>
      <c r="W8" s="770">
        <f t="shared" si="2"/>
        <v>0</v>
      </c>
      <c r="X8" s="771"/>
      <c r="Y8" s="3217" t="s">
        <v>2547</v>
      </c>
      <c r="Z8" s="3218"/>
      <c r="AA8" s="772" t="e">
        <f t="shared" ref="AA8:AA40" si="3">D8/F8</f>
        <v>#DIV/0!</v>
      </c>
      <c r="AB8" s="772" t="e">
        <f t="shared" ref="AB8:AB40" si="4">D8/H8</f>
        <v>#DIV/0!</v>
      </c>
      <c r="AC8" s="772"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4" t="s">
        <v>2550</v>
      </c>
      <c r="Q9" s="1793" t="str">
        <f t="shared" ref="Q9:Q15" si="6">B9</f>
        <v>用途</v>
      </c>
      <c r="R9" s="769" t="s">
        <v>17</v>
      </c>
      <c r="S9" s="770">
        <f t="shared" si="0"/>
        <v>100</v>
      </c>
      <c r="T9" s="769" t="s">
        <v>17</v>
      </c>
      <c r="U9" s="770">
        <f t="shared" si="1"/>
        <v>100</v>
      </c>
      <c r="V9" s="769" t="s">
        <v>17</v>
      </c>
      <c r="W9" s="770">
        <f t="shared" si="2"/>
        <v>100</v>
      </c>
      <c r="X9" s="771"/>
      <c r="Y9" s="3090" t="s">
        <v>2551</v>
      </c>
      <c r="Z9" s="55" t="str">
        <f t="shared" ref="Z9:Z15" si="7">Q9</f>
        <v>用途</v>
      </c>
      <c r="AA9" s="772">
        <f t="shared" si="3"/>
        <v>1</v>
      </c>
      <c r="AB9" s="772">
        <f t="shared" si="4"/>
        <v>1</v>
      </c>
      <c r="AC9" s="772">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4"/>
      <c r="Q10" s="1793" t="str">
        <f t="shared" si="6"/>
        <v>土地使用年限（年）</v>
      </c>
      <c r="R10" s="769" t="s">
        <v>17</v>
      </c>
      <c r="S10" s="770">
        <f t="shared" si="0"/>
        <v>100</v>
      </c>
      <c r="T10" s="769" t="s">
        <v>17</v>
      </c>
      <c r="U10" s="770">
        <f t="shared" si="1"/>
        <v>100</v>
      </c>
      <c r="V10" s="769" t="s">
        <v>17</v>
      </c>
      <c r="W10" s="770">
        <f t="shared" si="2"/>
        <v>100</v>
      </c>
      <c r="X10" s="771"/>
      <c r="Y10" s="3090"/>
      <c r="Z10" s="55" t="str">
        <f t="shared" si="7"/>
        <v>土地使用年限（年）</v>
      </c>
      <c r="AA10" s="772">
        <f t="shared" si="3"/>
        <v>1</v>
      </c>
      <c r="AB10" s="772">
        <f t="shared" si="4"/>
        <v>1</v>
      </c>
      <c r="AC10" s="772">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4"/>
      <c r="Q11" s="1793" t="str">
        <f t="shared" si="6"/>
        <v>容积率</v>
      </c>
      <c r="R11" s="769" t="s">
        <v>17</v>
      </c>
      <c r="S11" s="770" t="e">
        <f t="shared" si="0"/>
        <v>#N/A</v>
      </c>
      <c r="T11" s="769" t="s">
        <v>17</v>
      </c>
      <c r="U11" s="770" t="e">
        <f t="shared" si="1"/>
        <v>#N/A</v>
      </c>
      <c r="V11" s="769" t="s">
        <v>17</v>
      </c>
      <c r="W11" s="770" t="e">
        <f t="shared" si="2"/>
        <v>#N/A</v>
      </c>
      <c r="X11" s="771"/>
      <c r="Y11" s="3090"/>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254"/>
      <c r="Q12" s="1793">
        <f t="shared" si="6"/>
        <v>111</v>
      </c>
      <c r="R12" s="769" t="s">
        <v>17</v>
      </c>
      <c r="S12" s="770">
        <f t="shared" si="0"/>
        <v>100</v>
      </c>
      <c r="T12" s="769" t="s">
        <v>17</v>
      </c>
      <c r="U12" s="770">
        <f t="shared" si="1"/>
        <v>100</v>
      </c>
      <c r="V12" s="769" t="s">
        <v>17</v>
      </c>
      <c r="W12" s="770">
        <f t="shared" si="2"/>
        <v>100</v>
      </c>
      <c r="X12" s="771"/>
      <c r="Y12" s="3090"/>
      <c r="Z12" s="55">
        <f t="shared" si="7"/>
        <v>111</v>
      </c>
      <c r="AA12" s="772">
        <f>D12/F12</f>
        <v>1</v>
      </c>
      <c r="AB12" s="772">
        <f>D12/H12</f>
        <v>1</v>
      </c>
      <c r="AC12" s="772">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254"/>
      <c r="Q13" s="1793">
        <f t="shared" si="6"/>
        <v>111</v>
      </c>
      <c r="R13" s="769" t="s">
        <v>17</v>
      </c>
      <c r="S13" s="770">
        <f t="shared" si="0"/>
        <v>100</v>
      </c>
      <c r="T13" s="769" t="s">
        <v>17</v>
      </c>
      <c r="U13" s="770">
        <f t="shared" si="1"/>
        <v>100</v>
      </c>
      <c r="V13" s="769" t="s">
        <v>17</v>
      </c>
      <c r="W13" s="770">
        <f t="shared" si="2"/>
        <v>100</v>
      </c>
      <c r="X13" s="771"/>
      <c r="Y13" s="3090"/>
      <c r="Z13" s="55">
        <f t="shared" si="7"/>
        <v>111</v>
      </c>
      <c r="AA13" s="772">
        <f t="shared" si="3"/>
        <v>1</v>
      </c>
      <c r="AB13" s="772">
        <f t="shared" si="4"/>
        <v>1</v>
      </c>
      <c r="AC13" s="772">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254"/>
      <c r="Q14" s="1793">
        <f t="shared" si="6"/>
        <v>111</v>
      </c>
      <c r="R14" s="769" t="s">
        <v>17</v>
      </c>
      <c r="S14" s="770">
        <f t="shared" si="0"/>
        <v>100</v>
      </c>
      <c r="T14" s="769" t="s">
        <v>17</v>
      </c>
      <c r="U14" s="770">
        <f t="shared" si="1"/>
        <v>100</v>
      </c>
      <c r="V14" s="769" t="s">
        <v>17</v>
      </c>
      <c r="W14" s="770">
        <f t="shared" si="2"/>
        <v>100</v>
      </c>
      <c r="X14" s="771"/>
      <c r="Y14" s="3090"/>
      <c r="Z14" s="55">
        <f t="shared" si="7"/>
        <v>111</v>
      </c>
      <c r="AA14" s="772">
        <f t="shared" si="3"/>
        <v>1</v>
      </c>
      <c r="AB14" s="772">
        <f t="shared" si="4"/>
        <v>1</v>
      </c>
      <c r="AC14" s="772">
        <f t="shared" si="5"/>
        <v>1</v>
      </c>
    </row>
    <row r="15" spans="1:29" ht="57">
      <c r="A15" s="440" t="s">
        <v>2554</v>
      </c>
      <c r="B15" s="69" t="s">
        <v>2698</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7" t="s">
        <v>2555</v>
      </c>
      <c r="Q15" s="1808" t="str">
        <f t="shared" si="6"/>
        <v>产业集聚程度</v>
      </c>
      <c r="R15" s="773" t="s">
        <v>17</v>
      </c>
      <c r="S15" s="774">
        <f t="shared" si="0"/>
        <v>100</v>
      </c>
      <c r="T15" s="773" t="s">
        <v>17</v>
      </c>
      <c r="U15" s="774">
        <f t="shared" si="1"/>
        <v>100</v>
      </c>
      <c r="V15" s="773" t="s">
        <v>17</v>
      </c>
      <c r="W15" s="774">
        <f t="shared" si="2"/>
        <v>100</v>
      </c>
      <c r="X15" s="1811"/>
      <c r="Y15" s="3247" t="s">
        <v>2555</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9"/>
      <c r="P16" s="3248"/>
      <c r="Q16" s="1808"/>
      <c r="R16" s="773"/>
      <c r="S16" s="774"/>
      <c r="T16" s="773"/>
      <c r="U16" s="774"/>
      <c r="V16" s="773"/>
      <c r="W16" s="774"/>
      <c r="X16" s="1811"/>
      <c r="Y16" s="3248"/>
      <c r="Z16" s="1812"/>
      <c r="AA16" s="1809">
        <v>1</v>
      </c>
      <c r="AB16" s="1809">
        <v>1</v>
      </c>
      <c r="AC16" s="1809">
        <v>1</v>
      </c>
    </row>
    <row r="17" spans="1:29" ht="85.5">
      <c r="A17" s="428"/>
      <c r="B17" s="451" t="s">
        <v>2095</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8"/>
      <c r="Q17" s="1808" t="str">
        <f>B17</f>
        <v>交通便捷度</v>
      </c>
      <c r="R17" s="773" t="s">
        <v>17</v>
      </c>
      <c r="S17" s="774">
        <f>F17</f>
        <v>100</v>
      </c>
      <c r="T17" s="773" t="s">
        <v>17</v>
      </c>
      <c r="U17" s="774">
        <f>H17</f>
        <v>100</v>
      </c>
      <c r="V17" s="773" t="s">
        <v>17</v>
      </c>
      <c r="W17" s="774">
        <f>J17</f>
        <v>100</v>
      </c>
      <c r="X17" s="1811"/>
      <c r="Y17" s="3248"/>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40"/>
      <c r="M18" s="1131"/>
      <c r="N18" s="1131"/>
      <c r="O18" s="1139"/>
      <c r="P18" s="3248"/>
      <c r="Q18" s="1808"/>
      <c r="R18" s="773"/>
      <c r="S18" s="774"/>
      <c r="T18" s="773"/>
      <c r="U18" s="774"/>
      <c r="V18" s="773"/>
      <c r="W18" s="774"/>
      <c r="X18" s="1811"/>
      <c r="Y18" s="3248"/>
      <c r="Z18" s="1812"/>
      <c r="AA18" s="1809">
        <v>1</v>
      </c>
      <c r="AB18" s="1809">
        <v>1</v>
      </c>
      <c r="AC18" s="1809">
        <v>1</v>
      </c>
    </row>
    <row r="19" spans="1:29" ht="42.75">
      <c r="A19" s="428"/>
      <c r="B19" s="451" t="s">
        <v>2683</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8"/>
      <c r="Q19" s="1808" t="str">
        <f>B19</f>
        <v>公共配套设施</v>
      </c>
      <c r="R19" s="773" t="s">
        <v>17</v>
      </c>
      <c r="S19" s="774">
        <f>F19</f>
        <v>100</v>
      </c>
      <c r="T19" s="773" t="s">
        <v>17</v>
      </c>
      <c r="U19" s="774">
        <f>H19</f>
        <v>100</v>
      </c>
      <c r="V19" s="773" t="s">
        <v>17</v>
      </c>
      <c r="W19" s="774">
        <f>J19</f>
        <v>100</v>
      </c>
      <c r="X19" s="1811"/>
      <c r="Y19" s="3248"/>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40"/>
      <c r="M20" s="1131"/>
      <c r="N20" s="1131"/>
      <c r="O20" s="1139"/>
      <c r="P20" s="3248"/>
      <c r="Q20" s="1808"/>
      <c r="R20" s="773"/>
      <c r="S20" s="774"/>
      <c r="T20" s="773"/>
      <c r="U20" s="774"/>
      <c r="V20" s="773"/>
      <c r="W20" s="774"/>
      <c r="X20" s="1811"/>
      <c r="Y20" s="3248"/>
      <c r="Z20" s="1812"/>
      <c r="AA20" s="1809">
        <v>1</v>
      </c>
      <c r="AB20" s="1809">
        <v>1</v>
      </c>
      <c r="AC20" s="1809">
        <v>1</v>
      </c>
    </row>
    <row r="21" spans="1:29" ht="28.5">
      <c r="A21" s="428"/>
      <c r="B21" s="1384" t="s">
        <v>2684</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8"/>
      <c r="Q21" s="1808" t="str">
        <f>B21</f>
        <v>基础设施水平</v>
      </c>
      <c r="R21" s="773" t="s">
        <v>17</v>
      </c>
      <c r="S21" s="774">
        <f>F21</f>
        <v>100</v>
      </c>
      <c r="T21" s="773" t="s">
        <v>17</v>
      </c>
      <c r="U21" s="774">
        <f>H21</f>
        <v>100</v>
      </c>
      <c r="V21" s="773" t="s">
        <v>17</v>
      </c>
      <c r="W21" s="774">
        <f>J21</f>
        <v>100</v>
      </c>
      <c r="X21" s="1811"/>
      <c r="Y21" s="3248"/>
      <c r="Z21" s="1812" t="str">
        <f>Q21</f>
        <v>基础设施水平</v>
      </c>
      <c r="AA21" s="1809">
        <f t="shared" ref="AA21" si="8">D21/F21</f>
        <v>1</v>
      </c>
      <c r="AB21" s="1809">
        <f t="shared" ref="AB21" si="9">D21/H21</f>
        <v>1</v>
      </c>
      <c r="AC21" s="1809">
        <f t="shared" ref="AC21" si="10">D21/J21</f>
        <v>1</v>
      </c>
    </row>
    <row r="22" spans="1:29" ht="15">
      <c r="A22" s="428"/>
      <c r="B22" s="1384"/>
      <c r="C22" s="2604"/>
      <c r="D22" s="448"/>
      <c r="E22" s="447"/>
      <c r="F22" s="449"/>
      <c r="G22" s="447"/>
      <c r="H22" s="448"/>
      <c r="I22" s="447"/>
      <c r="J22" s="448"/>
      <c r="K22" s="1383"/>
      <c r="L22" s="1140"/>
      <c r="M22" s="1131"/>
      <c r="N22" s="1131"/>
      <c r="O22" s="1139"/>
      <c r="P22" s="3248"/>
      <c r="Q22" s="1808"/>
      <c r="R22" s="773"/>
      <c r="S22" s="774"/>
      <c r="T22" s="773"/>
      <c r="U22" s="774"/>
      <c r="V22" s="773"/>
      <c r="W22" s="774"/>
      <c r="X22" s="1811"/>
      <c r="Y22" s="3248"/>
      <c r="Z22" s="1812"/>
      <c r="AA22" s="1809">
        <v>1</v>
      </c>
      <c r="AB22" s="1809">
        <v>1</v>
      </c>
      <c r="AC22" s="1809">
        <v>1</v>
      </c>
    </row>
    <row r="23" spans="1:29" ht="71.25">
      <c r="A23" s="428"/>
      <c r="B23" s="451" t="s">
        <v>2685</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8"/>
      <c r="Q23" s="1808" t="str">
        <f>B23</f>
        <v>环境质量</v>
      </c>
      <c r="R23" s="773" t="s">
        <v>17</v>
      </c>
      <c r="S23" s="774">
        <f>F23</f>
        <v>100</v>
      </c>
      <c r="T23" s="773" t="s">
        <v>17</v>
      </c>
      <c r="U23" s="774">
        <f>H23</f>
        <v>100</v>
      </c>
      <c r="V23" s="773" t="s">
        <v>17</v>
      </c>
      <c r="W23" s="774">
        <f>J23</f>
        <v>100</v>
      </c>
      <c r="X23" s="1811"/>
      <c r="Y23" s="3248"/>
      <c r="Z23" s="1812" t="str">
        <f>Q23</f>
        <v>环境质量</v>
      </c>
      <c r="AA23" s="1809">
        <f t="shared" si="3"/>
        <v>1</v>
      </c>
      <c r="AB23" s="1809">
        <f t="shared" si="4"/>
        <v>1</v>
      </c>
      <c r="AC23" s="1809">
        <f t="shared" si="5"/>
        <v>1</v>
      </c>
    </row>
    <row r="24" spans="1:29" ht="15">
      <c r="A24" s="428"/>
      <c r="B24" s="1384"/>
      <c r="C24" s="447"/>
      <c r="D24" s="448"/>
      <c r="E24" s="2601"/>
      <c r="F24" s="449"/>
      <c r="G24" s="2600"/>
      <c r="H24" s="448"/>
      <c r="I24" s="2601"/>
      <c r="J24" s="448"/>
      <c r="K24" s="615"/>
      <c r="L24" s="1140"/>
      <c r="M24" s="1131"/>
      <c r="N24" s="1131"/>
      <c r="O24" s="1139"/>
      <c r="P24" s="3248"/>
      <c r="Q24" s="1808"/>
      <c r="R24" s="773"/>
      <c r="S24" s="774"/>
      <c r="T24" s="773"/>
      <c r="U24" s="774"/>
      <c r="V24" s="773"/>
      <c r="W24" s="774"/>
      <c r="X24" s="1811"/>
      <c r="Y24" s="3248"/>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8"/>
      <c r="Q25" s="1808">
        <f>B25</f>
        <v>111</v>
      </c>
      <c r="R25" s="773" t="s">
        <v>17</v>
      </c>
      <c r="S25" s="774">
        <f>F25</f>
        <v>100</v>
      </c>
      <c r="T25" s="773" t="s">
        <v>17</v>
      </c>
      <c r="U25" s="774">
        <f>H25</f>
        <v>100</v>
      </c>
      <c r="V25" s="773" t="s">
        <v>17</v>
      </c>
      <c r="W25" s="774">
        <f>J25</f>
        <v>100</v>
      </c>
      <c r="X25" s="1811"/>
      <c r="Y25" s="3248"/>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8"/>
      <c r="Q26" s="1808">
        <f t="shared" ref="Q26:Q40" si="11">B26</f>
        <v>111</v>
      </c>
      <c r="R26" s="773" t="s">
        <v>17</v>
      </c>
      <c r="S26" s="774">
        <f>F26</f>
        <v>100</v>
      </c>
      <c r="T26" s="773" t="s">
        <v>17</v>
      </c>
      <c r="U26" s="774">
        <f>H26</f>
        <v>100</v>
      </c>
      <c r="V26" s="773" t="s">
        <v>17</v>
      </c>
      <c r="W26" s="774">
        <f>J26</f>
        <v>100</v>
      </c>
      <c r="X26" s="1811"/>
      <c r="Y26" s="3248"/>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8"/>
      <c r="Q27" s="1793">
        <f t="shared" si="11"/>
        <v>111</v>
      </c>
      <c r="R27" s="769" t="s">
        <v>17</v>
      </c>
      <c r="S27" s="770">
        <f>F27</f>
        <v>100</v>
      </c>
      <c r="T27" s="769" t="s">
        <v>17</v>
      </c>
      <c r="U27" s="770">
        <f>H27</f>
        <v>100</v>
      </c>
      <c r="V27" s="769" t="s">
        <v>17</v>
      </c>
      <c r="W27" s="770">
        <f>J27</f>
        <v>100</v>
      </c>
      <c r="X27" s="771"/>
      <c r="Y27" s="3248"/>
      <c r="Z27" s="55">
        <f>Q27</f>
        <v>111</v>
      </c>
      <c r="AA27" s="1809">
        <f>D27/F27</f>
        <v>1</v>
      </c>
      <c r="AB27" s="1809">
        <f>D27/H27</f>
        <v>1</v>
      </c>
      <c r="AC27" s="1809">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8"/>
      <c r="Q28" s="1808">
        <f t="shared" si="11"/>
        <v>111</v>
      </c>
      <c r="R28" s="773" t="s">
        <v>17</v>
      </c>
      <c r="S28" s="774">
        <f t="shared" ref="S28:S40" si="12">F28</f>
        <v>100</v>
      </c>
      <c r="T28" s="773" t="s">
        <v>17</v>
      </c>
      <c r="U28" s="774">
        <f t="shared" ref="U28:U40" si="13">H28</f>
        <v>100</v>
      </c>
      <c r="V28" s="773" t="s">
        <v>17</v>
      </c>
      <c r="W28" s="774">
        <f t="shared" ref="W28:W40" si="14">J28</f>
        <v>100</v>
      </c>
      <c r="X28" s="1811"/>
      <c r="Y28" s="3248"/>
      <c r="Z28" s="1812">
        <f t="shared" ref="Z28:Z40" si="15">Q28</f>
        <v>111</v>
      </c>
      <c r="AA28" s="1809">
        <f t="shared" si="3"/>
        <v>1</v>
      </c>
      <c r="AB28" s="1809">
        <f t="shared" si="4"/>
        <v>1</v>
      </c>
      <c r="AC28" s="1809">
        <f t="shared" si="5"/>
        <v>1</v>
      </c>
    </row>
    <row r="29" spans="1:29" ht="15">
      <c r="A29" s="466" t="s">
        <v>2558</v>
      </c>
      <c r="B29" s="71" t="s">
        <v>2688</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305" t="s">
        <v>2560</v>
      </c>
      <c r="Q29" s="1808" t="str">
        <f t="shared" si="11"/>
        <v>建筑类型</v>
      </c>
      <c r="R29" s="773" t="s">
        <v>17</v>
      </c>
      <c r="S29" s="774">
        <f t="shared" si="12"/>
        <v>100</v>
      </c>
      <c r="T29" s="773" t="s">
        <v>17</v>
      </c>
      <c r="U29" s="774">
        <f t="shared" si="13"/>
        <v>100</v>
      </c>
      <c r="V29" s="773" t="s">
        <v>17</v>
      </c>
      <c r="W29" s="774">
        <f t="shared" si="14"/>
        <v>100</v>
      </c>
      <c r="X29" s="1811"/>
      <c r="Y29" s="3252" t="s">
        <v>2560</v>
      </c>
      <c r="Z29" s="1812" t="str">
        <f t="shared" si="15"/>
        <v>建筑类型</v>
      </c>
      <c r="AA29" s="1809">
        <f t="shared" si="3"/>
        <v>1</v>
      </c>
      <c r="AB29" s="1809">
        <f t="shared" si="4"/>
        <v>1</v>
      </c>
      <c r="AC29" s="1809">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2"/>
      <c r="Q30" s="775" t="str">
        <f t="shared" si="11"/>
        <v>项目建筑规模</v>
      </c>
      <c r="R30" s="776" t="s">
        <v>17</v>
      </c>
      <c r="S30" s="777" t="e">
        <f t="shared" si="12"/>
        <v>#N/A</v>
      </c>
      <c r="T30" s="776" t="s">
        <v>17</v>
      </c>
      <c r="U30" s="777" t="e">
        <f t="shared" si="13"/>
        <v>#N/A</v>
      </c>
      <c r="V30" s="776" t="s">
        <v>17</v>
      </c>
      <c r="W30" s="777" t="e">
        <f t="shared" si="14"/>
        <v>#N/A</v>
      </c>
      <c r="X30" s="778"/>
      <c r="Y30" s="3252"/>
      <c r="Z30" s="779" t="str">
        <f t="shared" si="15"/>
        <v>项目建筑规模</v>
      </c>
      <c r="AA30" s="1809" t="e">
        <f t="shared" si="3"/>
        <v>#N/A</v>
      </c>
      <c r="AB30" s="1809" t="e">
        <f t="shared" si="4"/>
        <v>#N/A</v>
      </c>
      <c r="AC30" s="1809"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2"/>
      <c r="Q31" s="1808" t="str">
        <f t="shared" si="11"/>
        <v>建筑结构</v>
      </c>
      <c r="R31" s="773" t="s">
        <v>17</v>
      </c>
      <c r="S31" s="774">
        <f t="shared" si="12"/>
        <v>100</v>
      </c>
      <c r="T31" s="773" t="s">
        <v>17</v>
      </c>
      <c r="U31" s="774">
        <f t="shared" si="13"/>
        <v>100</v>
      </c>
      <c r="V31" s="773" t="s">
        <v>17</v>
      </c>
      <c r="W31" s="774">
        <f t="shared" si="14"/>
        <v>100</v>
      </c>
      <c r="X31" s="1811"/>
      <c r="Y31" s="3252"/>
      <c r="Z31" s="1812" t="str">
        <f t="shared" si="15"/>
        <v>建筑结构</v>
      </c>
      <c r="AA31" s="1809">
        <f t="shared" si="3"/>
        <v>1</v>
      </c>
      <c r="AB31" s="1809">
        <f t="shared" si="4"/>
        <v>1</v>
      </c>
      <c r="AC31" s="1809">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2"/>
      <c r="Q32" s="1808" t="str">
        <f t="shared" si="11"/>
        <v>公共部分装修</v>
      </c>
      <c r="R32" s="773" t="s">
        <v>17</v>
      </c>
      <c r="S32" s="774">
        <f t="shared" si="12"/>
        <v>100</v>
      </c>
      <c r="T32" s="773" t="s">
        <v>17</v>
      </c>
      <c r="U32" s="774">
        <f t="shared" si="13"/>
        <v>100</v>
      </c>
      <c r="V32" s="773" t="s">
        <v>17</v>
      </c>
      <c r="W32" s="774">
        <f t="shared" si="14"/>
        <v>100</v>
      </c>
      <c r="X32" s="1811"/>
      <c r="Y32" s="3252"/>
      <c r="Z32" s="1812" t="str">
        <f t="shared" si="15"/>
        <v>公共部分装修</v>
      </c>
      <c r="AA32" s="1809">
        <f t="shared" si="3"/>
        <v>1</v>
      </c>
      <c r="AB32" s="1809">
        <f t="shared" si="4"/>
        <v>1</v>
      </c>
      <c r="AC32" s="1809">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2"/>
      <c r="Q33" s="1808" t="str">
        <f t="shared" si="11"/>
        <v>成新度</v>
      </c>
      <c r="R33" s="773" t="s">
        <v>17</v>
      </c>
      <c r="S33" s="774" t="e">
        <f t="shared" si="12"/>
        <v>#N/A</v>
      </c>
      <c r="T33" s="773" t="s">
        <v>17</v>
      </c>
      <c r="U33" s="774" t="e">
        <f t="shared" si="13"/>
        <v>#N/A</v>
      </c>
      <c r="V33" s="773" t="s">
        <v>17</v>
      </c>
      <c r="W33" s="774" t="e">
        <f t="shared" si="14"/>
        <v>#N/A</v>
      </c>
      <c r="X33" s="1811"/>
      <c r="Y33" s="3252"/>
      <c r="Z33" s="1812" t="str">
        <f t="shared" si="15"/>
        <v>成新度</v>
      </c>
      <c r="AA33" s="1809" t="e">
        <f t="shared" si="3"/>
        <v>#N/A</v>
      </c>
      <c r="AB33" s="1809" t="e">
        <f t="shared" si="4"/>
        <v>#N/A</v>
      </c>
      <c r="AC33" s="1809"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2"/>
      <c r="Q34" s="1793" t="str">
        <f t="shared" si="11"/>
        <v>物业管理</v>
      </c>
      <c r="R34" s="769" t="s">
        <v>17</v>
      </c>
      <c r="S34" s="770">
        <f t="shared" si="12"/>
        <v>100</v>
      </c>
      <c r="T34" s="769" t="s">
        <v>17</v>
      </c>
      <c r="U34" s="770">
        <f t="shared" si="13"/>
        <v>100</v>
      </c>
      <c r="V34" s="769" t="s">
        <v>17</v>
      </c>
      <c r="W34" s="770">
        <f t="shared" si="14"/>
        <v>100</v>
      </c>
      <c r="X34" s="771"/>
      <c r="Y34" s="3252"/>
      <c r="Z34" s="55" t="str">
        <f t="shared" si="15"/>
        <v>物业管理</v>
      </c>
      <c r="AA34" s="772">
        <f t="shared" si="3"/>
        <v>1</v>
      </c>
      <c r="AB34" s="772">
        <f t="shared" si="4"/>
        <v>1</v>
      </c>
      <c r="AC34" s="772">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2" t="s">
        <v>2560</v>
      </c>
      <c r="Q35" s="1808" t="str">
        <f t="shared" si="11"/>
        <v>市政基础设施</v>
      </c>
      <c r="R35" s="773" t="s">
        <v>17</v>
      </c>
      <c r="S35" s="774">
        <f t="shared" si="12"/>
        <v>100</v>
      </c>
      <c r="T35" s="773" t="s">
        <v>17</v>
      </c>
      <c r="U35" s="774">
        <f t="shared" si="13"/>
        <v>100</v>
      </c>
      <c r="V35" s="773" t="s">
        <v>17</v>
      </c>
      <c r="W35" s="774">
        <f t="shared" si="14"/>
        <v>100</v>
      </c>
      <c r="X35" s="1811"/>
      <c r="Y35" s="3252" t="s">
        <v>2560</v>
      </c>
      <c r="Z35" s="1812" t="str">
        <f t="shared" si="15"/>
        <v>市政基础设施</v>
      </c>
      <c r="AA35" s="1809">
        <f t="shared" si="3"/>
        <v>1</v>
      </c>
      <c r="AB35" s="1809">
        <f t="shared" si="4"/>
        <v>1</v>
      </c>
      <c r="AC35" s="1809">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2"/>
      <c r="Q36" s="1808" t="str">
        <f t="shared" si="11"/>
        <v>内部装修</v>
      </c>
      <c r="R36" s="773" t="s">
        <v>17</v>
      </c>
      <c r="S36" s="774">
        <f t="shared" si="12"/>
        <v>100</v>
      </c>
      <c r="T36" s="773" t="s">
        <v>17</v>
      </c>
      <c r="U36" s="774">
        <f t="shared" si="13"/>
        <v>100</v>
      </c>
      <c r="V36" s="773" t="s">
        <v>17</v>
      </c>
      <c r="W36" s="774">
        <f t="shared" si="14"/>
        <v>100</v>
      </c>
      <c r="X36" s="1811"/>
      <c r="Y36" s="3252"/>
      <c r="Z36" s="1812" t="str">
        <f t="shared" si="15"/>
        <v>内部装修</v>
      </c>
      <c r="AA36" s="1809">
        <f t="shared" si="3"/>
        <v>1</v>
      </c>
      <c r="AB36" s="1809">
        <f t="shared" si="4"/>
        <v>1</v>
      </c>
      <c r="AC36" s="1809">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2"/>
      <c r="Q37" s="1808" t="str">
        <f t="shared" si="11"/>
        <v>内部装修状况</v>
      </c>
      <c r="R37" s="773" t="s">
        <v>17</v>
      </c>
      <c r="S37" s="774">
        <f t="shared" si="12"/>
        <v>100</v>
      </c>
      <c r="T37" s="773" t="s">
        <v>17</v>
      </c>
      <c r="U37" s="774">
        <f t="shared" si="13"/>
        <v>100</v>
      </c>
      <c r="V37" s="773" t="s">
        <v>17</v>
      </c>
      <c r="W37" s="774">
        <f t="shared" si="14"/>
        <v>100</v>
      </c>
      <c r="X37" s="1811"/>
      <c r="Y37" s="3252"/>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2"/>
      <c r="Q38" s="775">
        <f t="shared" si="11"/>
        <v>111</v>
      </c>
      <c r="R38" s="776" t="s">
        <v>17</v>
      </c>
      <c r="S38" s="777">
        <f t="shared" si="12"/>
        <v>100</v>
      </c>
      <c r="T38" s="776" t="s">
        <v>17</v>
      </c>
      <c r="U38" s="777">
        <f t="shared" si="13"/>
        <v>100</v>
      </c>
      <c r="V38" s="776" t="s">
        <v>17</v>
      </c>
      <c r="W38" s="777">
        <f t="shared" si="14"/>
        <v>100</v>
      </c>
      <c r="X38" s="778"/>
      <c r="Y38" s="3252"/>
      <c r="Z38" s="779">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2"/>
      <c r="Q39" s="1808">
        <f t="shared" si="11"/>
        <v>111</v>
      </c>
      <c r="R39" s="773" t="s">
        <v>17</v>
      </c>
      <c r="S39" s="774">
        <f t="shared" si="12"/>
        <v>100</v>
      </c>
      <c r="T39" s="773" t="s">
        <v>17</v>
      </c>
      <c r="U39" s="774">
        <f t="shared" si="13"/>
        <v>100</v>
      </c>
      <c r="V39" s="773" t="s">
        <v>17</v>
      </c>
      <c r="W39" s="774">
        <f t="shared" si="14"/>
        <v>100</v>
      </c>
      <c r="X39" s="1811"/>
      <c r="Y39" s="3252"/>
      <c r="Z39" s="1812">
        <f t="shared" si="15"/>
        <v>111</v>
      </c>
      <c r="AA39" s="1809">
        <f t="shared" si="3"/>
        <v>1</v>
      </c>
      <c r="AB39" s="1809">
        <f t="shared" si="4"/>
        <v>1</v>
      </c>
      <c r="AC39" s="1809">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3"/>
      <c r="Q40" s="1808">
        <f t="shared" si="11"/>
        <v>111</v>
      </c>
      <c r="R40" s="773" t="s">
        <v>17</v>
      </c>
      <c r="S40" s="774">
        <f t="shared" si="12"/>
        <v>100</v>
      </c>
      <c r="T40" s="773" t="s">
        <v>17</v>
      </c>
      <c r="U40" s="774">
        <f t="shared" si="13"/>
        <v>100</v>
      </c>
      <c r="V40" s="773" t="s">
        <v>17</v>
      </c>
      <c r="W40" s="774">
        <f t="shared" si="14"/>
        <v>100</v>
      </c>
      <c r="X40" s="1811"/>
      <c r="Y40" s="3253"/>
      <c r="Z40" s="1812">
        <f t="shared" si="15"/>
        <v>111</v>
      </c>
      <c r="AA40" s="1809">
        <f t="shared" si="3"/>
        <v>1</v>
      </c>
      <c r="AB40" s="1809">
        <f t="shared" si="4"/>
        <v>1</v>
      </c>
      <c r="AC40" s="1809">
        <f t="shared" si="5"/>
        <v>1</v>
      </c>
    </row>
    <row r="41" spans="1:29" ht="15">
      <c r="A41" s="479" t="s">
        <v>2572</v>
      </c>
      <c r="B41" s="480"/>
      <c r="C41" s="1407" t="s">
        <v>1</v>
      </c>
      <c r="D41" s="1408"/>
      <c r="E41" s="1409"/>
      <c r="F41" s="1410"/>
      <c r="G41" s="1411"/>
      <c r="H41" s="1412"/>
      <c r="I41" s="1409"/>
      <c r="J41" s="1412"/>
      <c r="K41" s="782"/>
      <c r="L41" s="1143"/>
      <c r="M41" s="1144"/>
      <c r="N41" s="1131"/>
      <c r="O41" s="1144"/>
      <c r="P41" s="3254" t="str">
        <f>A41</f>
        <v>成交单价（元/平方米）</v>
      </c>
      <c r="Q41" s="3254"/>
      <c r="R41" s="3255">
        <f>E41</f>
        <v>0</v>
      </c>
      <c r="S41" s="3255"/>
      <c r="T41" s="3255">
        <f>G41</f>
        <v>0</v>
      </c>
      <c r="U41" s="3255"/>
      <c r="V41" s="3255">
        <f>I41</f>
        <v>0</v>
      </c>
      <c r="W41" s="3255"/>
      <c r="X41" s="758"/>
      <c r="Y41" s="780"/>
      <c r="Z41" s="758"/>
      <c r="AA41" s="758"/>
      <c r="AB41" s="758"/>
      <c r="AC41" s="758"/>
    </row>
    <row r="42" spans="1:29" ht="15.75" thickBot="1">
      <c r="A42" s="486" t="s">
        <v>2664</v>
      </c>
      <c r="B42" s="487"/>
      <c r="C42" s="1413" t="e">
        <f>R43</f>
        <v>#DIV/0!</v>
      </c>
      <c r="D42" s="1414"/>
      <c r="E42" s="1415" t="e">
        <f>R42</f>
        <v>#DIV/0!</v>
      </c>
      <c r="F42" s="1415"/>
      <c r="G42" s="1413" t="e">
        <f>T42</f>
        <v>#DIV/0!</v>
      </c>
      <c r="H42" s="1414"/>
      <c r="I42" s="1415" t="e">
        <f>V42</f>
        <v>#DIV/0!</v>
      </c>
      <c r="J42" s="1414"/>
      <c r="K42" s="783"/>
      <c r="L42" s="1143"/>
      <c r="M42" s="1144"/>
      <c r="N42" s="1131"/>
      <c r="O42" s="1144"/>
      <c r="P42" s="3254" t="str">
        <f>A42</f>
        <v>比较价值（元/平方米）</v>
      </c>
      <c r="Q42" s="3254"/>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8"/>
      <c r="Y42" s="758"/>
      <c r="Z42" s="758"/>
      <c r="AA42" s="758"/>
      <c r="AB42" s="758"/>
      <c r="AC42" s="758"/>
    </row>
    <row r="43" spans="1:29" ht="15.75" thickBot="1">
      <c r="A43" s="492" t="s">
        <v>2665</v>
      </c>
      <c r="B43" s="493"/>
      <c r="C43" s="1417" t="e">
        <f>R43</f>
        <v>#DIV/0!</v>
      </c>
      <c r="D43" s="1417"/>
      <c r="E43" s="1417"/>
      <c r="F43" s="1417"/>
      <c r="G43" s="1417"/>
      <c r="H43" s="1417"/>
      <c r="I43" s="1417"/>
      <c r="J43" s="1417"/>
      <c r="K43" s="784"/>
      <c r="L43" s="1143"/>
      <c r="M43" s="1144"/>
      <c r="N43" s="1144"/>
      <c r="O43" s="1144"/>
      <c r="P43" s="3256" t="str">
        <f>A43</f>
        <v>估价对象XX用房的比较价值（楼面单价，元/平方米）</v>
      </c>
      <c r="Q43" s="3257"/>
      <c r="R43" s="3258" t="e">
        <f>IF(F1="售价",ROUND(AVERAGE(R42:V42),0),ROUND(AVERAGE(R42:V42),1))</f>
        <v>#DIV/0!</v>
      </c>
      <c r="S43" s="3258"/>
      <c r="T43" s="3258"/>
      <c r="U43" s="3258"/>
      <c r="V43" s="3258"/>
      <c r="W43" s="3258"/>
      <c r="X43" s="758"/>
      <c r="Y43" s="758"/>
      <c r="Z43" s="758"/>
      <c r="AA43" s="758"/>
      <c r="AB43" s="758"/>
      <c r="AC43" s="758"/>
    </row>
    <row r="44" spans="1:29">
      <c r="A44" s="1144"/>
      <c r="B44" s="1144"/>
      <c r="C44" s="1144"/>
      <c r="D44" s="1144"/>
      <c r="E44" s="1144"/>
      <c r="F44" s="1144"/>
      <c r="G44" s="1147"/>
      <c r="H44" s="1144"/>
      <c r="I44" s="1144"/>
      <c r="J44" s="1144"/>
      <c r="K44" s="1107"/>
      <c r="L44" s="1108"/>
      <c r="M44" s="1144"/>
      <c r="N44" s="1144"/>
      <c r="O44" s="1144"/>
    </row>
    <row r="45" spans="1:29">
      <c r="A45" s="1144"/>
      <c r="B45" s="1144"/>
      <c r="C45" s="1144"/>
      <c r="D45" s="1144"/>
      <c r="E45" s="1144"/>
      <c r="F45" s="1144"/>
      <c r="G45" s="1144"/>
      <c r="H45" s="1144"/>
      <c r="I45" s="1144"/>
      <c r="J45" s="1144"/>
      <c r="K45" s="1107"/>
      <c r="L45" s="1108"/>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7"/>
      <c r="L50" s="1108"/>
      <c r="M50" s="1144"/>
      <c r="N50" s="1144"/>
      <c r="O50" s="1144"/>
    </row>
    <row r="51" spans="1:17" ht="21.75" thickBot="1">
      <c r="A51" s="762" t="s">
        <v>2669</v>
      </c>
      <c r="B51" s="758"/>
      <c r="C51" s="763"/>
      <c r="D51" s="763"/>
      <c r="E51" s="763"/>
      <c r="F51" s="764"/>
      <c r="G51" s="764"/>
      <c r="H51" s="763"/>
      <c r="I51" s="763"/>
      <c r="J51" s="763"/>
      <c r="K51" s="1160"/>
      <c r="L51" s="1161"/>
      <c r="M51" s="1159"/>
      <c r="N51" s="1159"/>
      <c r="O51" s="1159"/>
      <c r="P51" s="503"/>
      <c r="Q51" s="504"/>
    </row>
    <row r="52" spans="1:17" s="508" customFormat="1" ht="15">
      <c r="A52" s="505" t="s">
        <v>2543</v>
      </c>
      <c r="B52" s="506"/>
      <c r="C52" s="1574" t="str">
        <f>YEAR(C7)&amp;"-"&amp;MONTH(C7)</f>
        <v>2018-6</v>
      </c>
      <c r="D52" s="1575">
        <f>EDATE(C52,-1)</f>
        <v>43221</v>
      </c>
      <c r="E52" s="1575">
        <f t="shared" ref="E52:O52" si="16">EDATE(D52,-1)</f>
        <v>43191</v>
      </c>
      <c r="F52" s="1575">
        <f t="shared" si="16"/>
        <v>43160</v>
      </c>
      <c r="G52" s="1575">
        <f t="shared" si="16"/>
        <v>43132</v>
      </c>
      <c r="H52" s="1575">
        <f t="shared" si="16"/>
        <v>43101</v>
      </c>
      <c r="I52" s="1575">
        <f t="shared" si="16"/>
        <v>43070</v>
      </c>
      <c r="J52" s="1575">
        <f t="shared" si="16"/>
        <v>43040</v>
      </c>
      <c r="K52" s="1575">
        <f t="shared" si="16"/>
        <v>43009</v>
      </c>
      <c r="L52" s="1575">
        <f t="shared" si="16"/>
        <v>42979</v>
      </c>
      <c r="M52" s="1575">
        <f t="shared" si="16"/>
        <v>42948</v>
      </c>
      <c r="N52" s="1575">
        <f t="shared" si="16"/>
        <v>42917</v>
      </c>
      <c r="O52" s="1575">
        <f t="shared" si="16"/>
        <v>42887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8">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59" t="s">
        <v>2670</v>
      </c>
      <c r="D76" s="659" t="s">
        <v>2671</v>
      </c>
      <c r="E76" s="659" t="s">
        <v>2672</v>
      </c>
      <c r="F76" s="659" t="s">
        <v>2673</v>
      </c>
      <c r="G76" s="659"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2"/>
      <c r="J98" s="622"/>
      <c r="K98" s="623"/>
      <c r="L98" s="624"/>
      <c r="M98" s="625"/>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5" t="s">
        <v>2701</v>
      </c>
      <c r="C106" s="578" t="s">
        <v>2592</v>
      </c>
      <c r="D106" s="578" t="s">
        <v>2593</v>
      </c>
      <c r="E106" s="578" t="s">
        <v>2594</v>
      </c>
      <c r="F106" s="578" t="s">
        <v>2595</v>
      </c>
      <c r="G106" s="578" t="s">
        <v>2596</v>
      </c>
      <c r="H106" s="539"/>
      <c r="I106" s="539"/>
      <c r="J106" s="539"/>
      <c r="K106" s="540"/>
      <c r="L106" s="541"/>
      <c r="M106" s="542"/>
      <c r="N106" s="1153"/>
      <c r="O106" s="1153"/>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80"/>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82"/>
      <c r="D2" s="1124" t="e">
        <f ca="1">SUMIF(INDIRECT("'"&amp;F2&amp;"'"&amp;"!A:A"),"承租人权益价值",INDIRECT("'"&amp;F2&amp;"'"&amp;"!c:c"))</f>
        <v>#REF!</v>
      </c>
      <c r="E2" s="2583" t="s">
        <v>2323</v>
      </c>
      <c r="F2" s="2584"/>
      <c r="G2" s="1125"/>
      <c r="H2" s="1125"/>
      <c r="I2" s="1125"/>
      <c r="J2" s="1125"/>
      <c r="K2" s="1127"/>
      <c r="L2" s="1128"/>
      <c r="M2" s="1129"/>
      <c r="N2" s="1129"/>
      <c r="O2" s="1129"/>
      <c r="P2" s="1419"/>
      <c r="Q2" s="767"/>
      <c r="R2" s="767"/>
      <c r="S2" s="767"/>
      <c r="T2" s="767"/>
      <c r="U2" s="767"/>
      <c r="V2" s="767"/>
      <c r="W2" s="767"/>
      <c r="X2" s="767"/>
      <c r="Y2" s="767"/>
      <c r="Z2" s="767"/>
      <c r="AA2" s="767"/>
      <c r="AB2" s="767"/>
      <c r="AC2" s="768"/>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7"/>
      <c r="R3" s="767"/>
      <c r="S3" s="767"/>
      <c r="T3" s="767"/>
      <c r="U3" s="767"/>
      <c r="V3" s="767"/>
      <c r="W3" s="767"/>
      <c r="X3" s="767"/>
      <c r="Y3" s="767"/>
      <c r="Z3" s="767"/>
      <c r="AA3" s="767"/>
      <c r="AB3" s="785"/>
      <c r="AC3" s="781"/>
    </row>
    <row r="4" spans="1:29" ht="15">
      <c r="A4" s="401" t="s">
        <v>2640</v>
      </c>
      <c r="B4" s="402"/>
      <c r="C4" s="3232" t="s">
        <v>2641</v>
      </c>
      <c r="D4" s="3233"/>
      <c r="E4" s="3234" t="s">
        <v>2642</v>
      </c>
      <c r="F4" s="3235"/>
      <c r="G4" s="3232" t="s">
        <v>2643</v>
      </c>
      <c r="H4" s="3233"/>
      <c r="I4" s="3232" t="s">
        <v>2644</v>
      </c>
      <c r="J4" s="3233"/>
      <c r="K4" s="610" t="s">
        <v>2645</v>
      </c>
      <c r="L4" s="1130"/>
      <c r="M4" s="1131"/>
      <c r="N4" s="1131"/>
      <c r="O4" s="1131"/>
      <c r="P4" s="3236" t="s">
        <v>2646</v>
      </c>
      <c r="Q4" s="3237"/>
      <c r="R4" s="3219" t="s">
        <v>2642</v>
      </c>
      <c r="S4" s="3220"/>
      <c r="T4" s="3219" t="s">
        <v>2643</v>
      </c>
      <c r="U4" s="3220"/>
      <c r="V4" s="3216" t="s">
        <v>2644</v>
      </c>
      <c r="W4" s="3216"/>
      <c r="X4" s="1811"/>
      <c r="Y4" s="3219" t="s">
        <v>2646</v>
      </c>
      <c r="Z4" s="3220"/>
      <c r="AA4" s="3213" t="s">
        <v>2642</v>
      </c>
      <c r="AB4" s="3214" t="s">
        <v>2643</v>
      </c>
      <c r="AC4" s="3213" t="s">
        <v>2644</v>
      </c>
    </row>
    <row r="5" spans="1:29" ht="15">
      <c r="A5" s="404"/>
      <c r="B5" s="405"/>
      <c r="C5" s="3287" t="s">
        <v>2537</v>
      </c>
      <c r="D5" s="3226"/>
      <c r="E5" s="3286" t="s">
        <v>2538</v>
      </c>
      <c r="F5" s="3224"/>
      <c r="G5" s="3287" t="s">
        <v>2539</v>
      </c>
      <c r="H5" s="3226"/>
      <c r="I5" s="3287" t="s">
        <v>2540</v>
      </c>
      <c r="J5" s="3226"/>
      <c r="K5" s="610"/>
      <c r="L5" s="1130"/>
      <c r="M5" s="1131"/>
      <c r="N5" s="1131"/>
      <c r="O5" s="1131"/>
      <c r="P5" s="3238"/>
      <c r="Q5" s="3239"/>
      <c r="R5" s="3221"/>
      <c r="S5" s="3222"/>
      <c r="T5" s="3221"/>
      <c r="U5" s="3222"/>
      <c r="V5" s="3216"/>
      <c r="W5" s="3216"/>
      <c r="X5" s="1811"/>
      <c r="Y5" s="3221"/>
      <c r="Z5" s="3222"/>
      <c r="AA5" s="3214"/>
      <c r="AB5" s="3214"/>
      <c r="AC5" s="3214"/>
    </row>
    <row r="6" spans="1:29" ht="15.75" thickBot="1">
      <c r="A6" s="406"/>
      <c r="B6" s="407"/>
      <c r="C6" s="3288" t="s">
        <v>2541</v>
      </c>
      <c r="D6" s="3228"/>
      <c r="E6" s="3289" t="s">
        <v>2541</v>
      </c>
      <c r="F6" s="3230"/>
      <c r="G6" s="3288" t="s">
        <v>2541</v>
      </c>
      <c r="H6" s="3228"/>
      <c r="I6" s="3288" t="s">
        <v>2541</v>
      </c>
      <c r="J6" s="3228"/>
      <c r="K6" s="610" t="s">
        <v>2542</v>
      </c>
      <c r="L6" s="1130"/>
      <c r="M6" s="1131"/>
      <c r="N6" s="1131"/>
      <c r="O6" s="1131"/>
      <c r="P6" s="3240"/>
      <c r="Q6" s="3241"/>
      <c r="R6" s="3221"/>
      <c r="S6" s="3222"/>
      <c r="T6" s="3242"/>
      <c r="U6" s="3243"/>
      <c r="V6" s="3216"/>
      <c r="W6" s="3216"/>
      <c r="X6" s="1811"/>
      <c r="Y6" s="3242"/>
      <c r="Z6" s="3243"/>
      <c r="AA6" s="3215"/>
      <c r="AB6" s="3215"/>
      <c r="AC6" s="3215"/>
    </row>
    <row r="7" spans="1:29" s="117" customFormat="1" ht="15.75" thickBot="1">
      <c r="A7" s="408" t="s">
        <v>2543</v>
      </c>
      <c r="B7" s="409"/>
      <c r="C7" s="410">
        <f>'数据-取费表'!B2</f>
        <v>43279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7" t="s">
        <v>2544</v>
      </c>
      <c r="Q7" s="3244"/>
      <c r="R7" s="769" t="s">
        <v>17</v>
      </c>
      <c r="S7" s="770">
        <f t="shared" ref="S7:S14" si="0">F7</f>
        <v>0</v>
      </c>
      <c r="T7" s="769" t="s">
        <v>17</v>
      </c>
      <c r="U7" s="770">
        <f t="shared" ref="U7:U14" si="1">H7</f>
        <v>0</v>
      </c>
      <c r="V7" s="769" t="s">
        <v>17</v>
      </c>
      <c r="W7" s="770">
        <f t="shared" ref="W7:W14" si="2">J7</f>
        <v>0</v>
      </c>
      <c r="X7" s="771"/>
      <c r="Y7" s="3217" t="s">
        <v>2544</v>
      </c>
      <c r="Z7" s="3218"/>
      <c r="AA7" s="772" t="e">
        <f>D7/F7</f>
        <v>#DIV/0!</v>
      </c>
      <c r="AB7" s="772" t="e">
        <f>D7/H7</f>
        <v>#DIV/0!</v>
      </c>
      <c r="AC7" s="772"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7" t="s">
        <v>2547</v>
      </c>
      <c r="Q8" s="3218"/>
      <c r="R8" s="769" t="s">
        <v>17</v>
      </c>
      <c r="S8" s="770">
        <f t="shared" si="0"/>
        <v>0</v>
      </c>
      <c r="T8" s="769" t="s">
        <v>17</v>
      </c>
      <c r="U8" s="770">
        <f t="shared" si="1"/>
        <v>0</v>
      </c>
      <c r="V8" s="769" t="s">
        <v>17</v>
      </c>
      <c r="W8" s="770">
        <f t="shared" si="2"/>
        <v>0</v>
      </c>
      <c r="X8" s="771"/>
      <c r="Y8" s="3217" t="s">
        <v>2547</v>
      </c>
      <c r="Z8" s="3218"/>
      <c r="AA8" s="772" t="e">
        <f t="shared" ref="AA8:AA36" si="3">D8/F8</f>
        <v>#DIV/0!</v>
      </c>
      <c r="AB8" s="772" t="e">
        <f t="shared" ref="AB8:AB36" si="4">D8/H8</f>
        <v>#DIV/0!</v>
      </c>
      <c r="AC8" s="772" t="e">
        <f t="shared" ref="AC8:AC36" si="5">D8/J8</f>
        <v>#DIV/0!</v>
      </c>
    </row>
    <row r="9" spans="1:29" s="117" customFormat="1">
      <c r="A9" s="68" t="s">
        <v>2548</v>
      </c>
      <c r="B9" s="639"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54" t="s">
        <v>2550</v>
      </c>
      <c r="Q9" s="1793" t="str">
        <f t="shared" ref="Q9:Q14" si="6">B9</f>
        <v>用途</v>
      </c>
      <c r="R9" s="769" t="s">
        <v>17</v>
      </c>
      <c r="S9" s="770">
        <f t="shared" si="0"/>
        <v>100</v>
      </c>
      <c r="T9" s="769" t="s">
        <v>17</v>
      </c>
      <c r="U9" s="770">
        <f t="shared" si="1"/>
        <v>100</v>
      </c>
      <c r="V9" s="769" t="s">
        <v>17</v>
      </c>
      <c r="W9" s="770">
        <f t="shared" si="2"/>
        <v>100</v>
      </c>
      <c r="X9" s="771"/>
      <c r="Y9" s="3090" t="s">
        <v>2551</v>
      </c>
      <c r="Z9" s="55" t="str">
        <f t="shared" ref="Z9:Z14" si="7">Q9</f>
        <v>用途</v>
      </c>
      <c r="AA9" s="772">
        <f t="shared" si="3"/>
        <v>1</v>
      </c>
      <c r="AB9" s="772">
        <f t="shared" si="4"/>
        <v>1</v>
      </c>
      <c r="AC9" s="772">
        <f t="shared" si="5"/>
        <v>1</v>
      </c>
    </row>
    <row r="10" spans="1:29" s="427" customFormat="1" ht="27">
      <c r="A10" s="640"/>
      <c r="B10" s="641"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54"/>
      <c r="Q10" s="1793" t="str">
        <f t="shared" si="6"/>
        <v>土地使用年限（年）</v>
      </c>
      <c r="R10" s="769" t="s">
        <v>17</v>
      </c>
      <c r="S10" s="770">
        <f t="shared" si="0"/>
        <v>100</v>
      </c>
      <c r="T10" s="769" t="s">
        <v>17</v>
      </c>
      <c r="U10" s="770">
        <f t="shared" si="1"/>
        <v>100</v>
      </c>
      <c r="V10" s="769" t="s">
        <v>17</v>
      </c>
      <c r="W10" s="770">
        <f t="shared" si="2"/>
        <v>100</v>
      </c>
      <c r="X10" s="771"/>
      <c r="Y10" s="3090"/>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4"/>
      <c r="Q11" s="1793">
        <f t="shared" si="6"/>
        <v>111</v>
      </c>
      <c r="R11" s="769" t="s">
        <v>17</v>
      </c>
      <c r="S11" s="770">
        <f t="shared" si="0"/>
        <v>100</v>
      </c>
      <c r="T11" s="769" t="s">
        <v>17</v>
      </c>
      <c r="U11" s="770">
        <f t="shared" si="1"/>
        <v>100</v>
      </c>
      <c r="V11" s="769" t="s">
        <v>17</v>
      </c>
      <c r="W11" s="770">
        <f t="shared" si="2"/>
        <v>100</v>
      </c>
      <c r="X11" s="771"/>
      <c r="Y11" s="3090"/>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4"/>
      <c r="Q12" s="1793">
        <f t="shared" si="6"/>
        <v>111</v>
      </c>
      <c r="R12" s="769" t="s">
        <v>17</v>
      </c>
      <c r="S12" s="770">
        <f t="shared" si="0"/>
        <v>100</v>
      </c>
      <c r="T12" s="769" t="s">
        <v>17</v>
      </c>
      <c r="U12" s="770">
        <f t="shared" si="1"/>
        <v>100</v>
      </c>
      <c r="V12" s="769" t="s">
        <v>17</v>
      </c>
      <c r="W12" s="770">
        <f t="shared" si="2"/>
        <v>100</v>
      </c>
      <c r="X12" s="771"/>
      <c r="Y12" s="3090"/>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4"/>
      <c r="Q13" s="1793">
        <f t="shared" si="6"/>
        <v>111</v>
      </c>
      <c r="R13" s="769" t="s">
        <v>17</v>
      </c>
      <c r="S13" s="770">
        <f t="shared" si="0"/>
        <v>100</v>
      </c>
      <c r="T13" s="769" t="s">
        <v>17</v>
      </c>
      <c r="U13" s="770">
        <f t="shared" si="1"/>
        <v>100</v>
      </c>
      <c r="V13" s="769" t="s">
        <v>17</v>
      </c>
      <c r="W13" s="770">
        <f t="shared" si="2"/>
        <v>100</v>
      </c>
      <c r="X13" s="771"/>
      <c r="Y13" s="3090"/>
      <c r="Z13" s="55">
        <f t="shared" si="7"/>
        <v>111</v>
      </c>
      <c r="AA13" s="772">
        <f t="shared" si="3"/>
        <v>1</v>
      </c>
      <c r="AB13" s="772">
        <f t="shared" si="4"/>
        <v>1</v>
      </c>
      <c r="AC13" s="772">
        <f t="shared" si="5"/>
        <v>1</v>
      </c>
    </row>
    <row r="14" spans="1:29" ht="99.75">
      <c r="A14" s="401" t="s">
        <v>2554</v>
      </c>
      <c r="B14" s="628" t="s">
        <v>2704</v>
      </c>
      <c r="C14" s="2689"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7" t="s">
        <v>2555</v>
      </c>
      <c r="Q14" s="1808" t="str">
        <f t="shared" si="6"/>
        <v>交通便捷度</v>
      </c>
      <c r="R14" s="773" t="s">
        <v>17</v>
      </c>
      <c r="S14" s="774">
        <f t="shared" si="0"/>
        <v>100</v>
      </c>
      <c r="T14" s="773" t="s">
        <v>17</v>
      </c>
      <c r="U14" s="774">
        <f t="shared" si="1"/>
        <v>100</v>
      </c>
      <c r="V14" s="773" t="s">
        <v>17</v>
      </c>
      <c r="W14" s="774">
        <f t="shared" si="2"/>
        <v>100</v>
      </c>
      <c r="X14" s="1811"/>
      <c r="Y14" s="3247" t="s">
        <v>2555</v>
      </c>
      <c r="Z14" s="1812" t="str">
        <f t="shared" si="7"/>
        <v>交通便捷度</v>
      </c>
      <c r="AA14" s="1809">
        <f t="shared" si="3"/>
        <v>1</v>
      </c>
      <c r="AB14" s="1809">
        <f t="shared" si="4"/>
        <v>1</v>
      </c>
      <c r="AC14" s="1809">
        <f t="shared" si="5"/>
        <v>1</v>
      </c>
    </row>
    <row r="15" spans="1:29" ht="15">
      <c r="A15" s="404"/>
      <c r="B15" s="646"/>
      <c r="C15" s="447"/>
      <c r="D15" s="448"/>
      <c r="E15" s="447"/>
      <c r="F15" s="449"/>
      <c r="G15" s="447"/>
      <c r="H15" s="450"/>
      <c r="I15" s="447"/>
      <c r="J15" s="448"/>
      <c r="K15" s="615"/>
      <c r="L15" s="1140"/>
      <c r="M15" s="1131"/>
      <c r="N15" s="1131"/>
      <c r="O15" s="1131"/>
      <c r="P15" s="3248"/>
      <c r="Q15" s="1808"/>
      <c r="R15" s="773"/>
      <c r="S15" s="774"/>
      <c r="T15" s="773"/>
      <c r="U15" s="774"/>
      <c r="V15" s="773"/>
      <c r="W15" s="774"/>
      <c r="X15" s="1811"/>
      <c r="Y15" s="3248"/>
      <c r="Z15" s="1812"/>
      <c r="AA15" s="1809">
        <v>1</v>
      </c>
      <c r="AB15" s="1809">
        <v>1</v>
      </c>
      <c r="AC15" s="1809">
        <v>1</v>
      </c>
    </row>
    <row r="16" spans="1:29" ht="42.75">
      <c r="A16" s="404"/>
      <c r="B16" s="630" t="s">
        <v>2683</v>
      </c>
      <c r="C16" s="2603"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8"/>
      <c r="Q16" s="1808" t="str">
        <f>B16</f>
        <v>公共配套设施</v>
      </c>
      <c r="R16" s="773" t="s">
        <v>17</v>
      </c>
      <c r="S16" s="774">
        <f>F16</f>
        <v>100</v>
      </c>
      <c r="T16" s="773" t="s">
        <v>17</v>
      </c>
      <c r="U16" s="774">
        <f>H16</f>
        <v>100</v>
      </c>
      <c r="V16" s="773" t="s">
        <v>17</v>
      </c>
      <c r="W16" s="774">
        <f>J16</f>
        <v>100</v>
      </c>
      <c r="X16" s="1811"/>
      <c r="Y16" s="3248"/>
      <c r="Z16" s="1812" t="str">
        <f>Q16</f>
        <v>公共配套设施</v>
      </c>
      <c r="AA16" s="1809">
        <f t="shared" si="3"/>
        <v>1</v>
      </c>
      <c r="AB16" s="1809">
        <f t="shared" si="4"/>
        <v>1</v>
      </c>
      <c r="AC16" s="1809">
        <f t="shared" si="5"/>
        <v>1</v>
      </c>
    </row>
    <row r="17" spans="1:29" ht="15">
      <c r="A17" s="404"/>
      <c r="B17" s="631"/>
      <c r="C17" s="2604"/>
      <c r="D17" s="448"/>
      <c r="E17" s="447"/>
      <c r="F17" s="449"/>
      <c r="G17" s="447"/>
      <c r="H17" s="448"/>
      <c r="I17" s="447"/>
      <c r="J17" s="448"/>
      <c r="K17" s="615"/>
      <c r="L17" s="1140"/>
      <c r="M17" s="1131"/>
      <c r="N17" s="1131"/>
      <c r="O17" s="1131"/>
      <c r="P17" s="3248"/>
      <c r="Q17" s="1808"/>
      <c r="R17" s="773"/>
      <c r="S17" s="774"/>
      <c r="T17" s="773"/>
      <c r="U17" s="774"/>
      <c r="V17" s="773"/>
      <c r="W17" s="774"/>
      <c r="X17" s="1811"/>
      <c r="Y17" s="3248"/>
      <c r="Z17" s="1812"/>
      <c r="AA17" s="1809">
        <v>1</v>
      </c>
      <c r="AB17" s="1809">
        <v>1</v>
      </c>
      <c r="AC17" s="1809">
        <v>1</v>
      </c>
    </row>
    <row r="18" spans="1:29" ht="42.75">
      <c r="A18" s="404"/>
      <c r="B18" s="632" t="s">
        <v>2684</v>
      </c>
      <c r="C18" s="2603" t="str">
        <f>IF(B1="工业",估价对象房地状况!G6,估价对象房地状况!C8)</f>
        <v>估价对象所在区域基础设施水平为六通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8"/>
      <c r="Q18" s="1808" t="str">
        <f>B18</f>
        <v>基础设施水平</v>
      </c>
      <c r="R18" s="773" t="s">
        <v>17</v>
      </c>
      <c r="S18" s="774">
        <f>F18</f>
        <v>100</v>
      </c>
      <c r="T18" s="773" t="s">
        <v>17</v>
      </c>
      <c r="U18" s="774">
        <f>H18</f>
        <v>100</v>
      </c>
      <c r="V18" s="773" t="s">
        <v>17</v>
      </c>
      <c r="W18" s="774">
        <f>J18</f>
        <v>100</v>
      </c>
      <c r="X18" s="1811"/>
      <c r="Y18" s="3248"/>
      <c r="Z18" s="1812" t="str">
        <f>Q18</f>
        <v>基础设施水平</v>
      </c>
      <c r="AA18" s="1809">
        <f t="shared" ref="AA18" si="8">D18/F18</f>
        <v>1</v>
      </c>
      <c r="AB18" s="1809">
        <f t="shared" ref="AB18" si="9">D18/H18</f>
        <v>1</v>
      </c>
      <c r="AC18" s="1809">
        <f t="shared" ref="AC18" si="10">D18/J18</f>
        <v>1</v>
      </c>
    </row>
    <row r="19" spans="1:29" ht="15">
      <c r="A19" s="404"/>
      <c r="B19" s="632"/>
      <c r="C19" s="2604"/>
      <c r="D19" s="450"/>
      <c r="E19" s="2604"/>
      <c r="F19" s="453"/>
      <c r="G19" s="2604"/>
      <c r="H19" s="448"/>
      <c r="I19" s="447"/>
      <c r="J19" s="448"/>
      <c r="K19" s="1383"/>
      <c r="L19" s="1140"/>
      <c r="M19" s="1131"/>
      <c r="N19" s="1131"/>
      <c r="O19" s="1131"/>
      <c r="P19" s="3248"/>
      <c r="Q19" s="1808"/>
      <c r="R19" s="773"/>
      <c r="S19" s="774"/>
      <c r="T19" s="773"/>
      <c r="U19" s="774"/>
      <c r="V19" s="773"/>
      <c r="W19" s="774"/>
      <c r="X19" s="1811"/>
      <c r="Y19" s="3248"/>
      <c r="Z19" s="1812"/>
      <c r="AA19" s="1809">
        <v>1</v>
      </c>
      <c r="AB19" s="1809">
        <v>1</v>
      </c>
      <c r="AC19" s="1809">
        <v>1</v>
      </c>
    </row>
    <row r="20" spans="1:29" ht="71.25">
      <c r="A20" s="404"/>
      <c r="B20" s="630" t="s">
        <v>2705</v>
      </c>
      <c r="C20" s="2603" t="str">
        <f>IF(B1="工业",估价对象房地状况!G7,估价对象房地状况!C9)</f>
        <v>区域：江东公园，自然环境一般：；人文环境一般；综合评价环境状况一般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8"/>
      <c r="Q20" s="1808" t="str">
        <f>B20</f>
        <v>自然及人文环境</v>
      </c>
      <c r="R20" s="773" t="s">
        <v>17</v>
      </c>
      <c r="S20" s="774">
        <f>F20</f>
        <v>100</v>
      </c>
      <c r="T20" s="773" t="s">
        <v>17</v>
      </c>
      <c r="U20" s="774">
        <f>H20</f>
        <v>100</v>
      </c>
      <c r="V20" s="773" t="s">
        <v>17</v>
      </c>
      <c r="W20" s="774">
        <f>J20</f>
        <v>100</v>
      </c>
      <c r="X20" s="1811"/>
      <c r="Y20" s="3248"/>
      <c r="Z20" s="1812" t="str">
        <f>Q20</f>
        <v>自然及人文环境</v>
      </c>
      <c r="AA20" s="1809">
        <f t="shared" si="3"/>
        <v>1</v>
      </c>
      <c r="AB20" s="1809">
        <f t="shared" si="4"/>
        <v>1</v>
      </c>
      <c r="AC20" s="1809">
        <f t="shared" si="5"/>
        <v>1</v>
      </c>
    </row>
    <row r="21" spans="1:29" ht="15">
      <c r="A21" s="404"/>
      <c r="B21" s="631"/>
      <c r="C21" s="447"/>
      <c r="D21" s="448"/>
      <c r="E21" s="447"/>
      <c r="F21" s="449"/>
      <c r="G21" s="447"/>
      <c r="H21" s="448"/>
      <c r="I21" s="447"/>
      <c r="J21" s="448"/>
      <c r="K21" s="615"/>
      <c r="L21" s="1140"/>
      <c r="M21" s="1131"/>
      <c r="N21" s="1131"/>
      <c r="O21" s="1131"/>
      <c r="P21" s="3248"/>
      <c r="Q21" s="1808"/>
      <c r="R21" s="773"/>
      <c r="S21" s="774"/>
      <c r="T21" s="773"/>
      <c r="U21" s="774"/>
      <c r="V21" s="773"/>
      <c r="W21" s="774"/>
      <c r="X21" s="1811"/>
      <c r="Y21" s="3248"/>
      <c r="Z21" s="1812"/>
      <c r="AA21" s="1809">
        <v>1</v>
      </c>
      <c r="AB21" s="1809">
        <v>1</v>
      </c>
      <c r="AC21" s="1809">
        <v>1</v>
      </c>
    </row>
    <row r="22" spans="1:29" ht="15">
      <c r="A22" s="404"/>
      <c r="B22" s="630"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8"/>
      <c r="Q22" s="1808" t="str">
        <f>B22</f>
        <v>楼层</v>
      </c>
      <c r="R22" s="773" t="s">
        <v>17</v>
      </c>
      <c r="S22" s="774">
        <f>F22</f>
        <v>100</v>
      </c>
      <c r="T22" s="773" t="s">
        <v>17</v>
      </c>
      <c r="U22" s="774">
        <f>H22</f>
        <v>100</v>
      </c>
      <c r="V22" s="773" t="s">
        <v>17</v>
      </c>
      <c r="W22" s="774">
        <f>J22</f>
        <v>100</v>
      </c>
      <c r="X22" s="1811"/>
      <c r="Y22" s="3248"/>
      <c r="Z22" s="1812" t="str">
        <f>Q22</f>
        <v>楼层</v>
      </c>
      <c r="AA22" s="1809">
        <f t="shared" si="3"/>
        <v>1</v>
      </c>
      <c r="AB22" s="1809">
        <f t="shared" si="4"/>
        <v>1</v>
      </c>
      <c r="AC22" s="1809">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8"/>
      <c r="Q23" s="1808">
        <f>B23</f>
        <v>111</v>
      </c>
      <c r="R23" s="773" t="s">
        <v>17</v>
      </c>
      <c r="S23" s="774">
        <f>F23</f>
        <v>100</v>
      </c>
      <c r="T23" s="773" t="s">
        <v>17</v>
      </c>
      <c r="U23" s="774">
        <f>H23</f>
        <v>100</v>
      </c>
      <c r="V23" s="773" t="s">
        <v>17</v>
      </c>
      <c r="W23" s="774">
        <f>J23</f>
        <v>100</v>
      </c>
      <c r="X23" s="1811"/>
      <c r="Y23" s="3248"/>
      <c r="Z23" s="1812">
        <f>Q23</f>
        <v>111</v>
      </c>
      <c r="AA23" s="1809">
        <f t="shared" si="3"/>
        <v>1</v>
      </c>
      <c r="AB23" s="1809">
        <f t="shared" si="4"/>
        <v>1</v>
      </c>
      <c r="AC23" s="1809">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8"/>
      <c r="Q24" s="1808">
        <f t="shared" ref="Q24:Q36" si="11">B24</f>
        <v>111</v>
      </c>
      <c r="R24" s="773" t="s">
        <v>17</v>
      </c>
      <c r="S24" s="774">
        <f>F24</f>
        <v>100</v>
      </c>
      <c r="T24" s="773" t="s">
        <v>17</v>
      </c>
      <c r="U24" s="774">
        <f>H24</f>
        <v>100</v>
      </c>
      <c r="V24" s="773" t="s">
        <v>17</v>
      </c>
      <c r="W24" s="774">
        <f>J24</f>
        <v>100</v>
      </c>
      <c r="X24" s="1811"/>
      <c r="Y24" s="3248"/>
      <c r="Z24" s="1812">
        <f>Q24</f>
        <v>111</v>
      </c>
      <c r="AA24" s="1809">
        <f t="shared" si="3"/>
        <v>1</v>
      </c>
      <c r="AB24" s="1809">
        <f t="shared" si="4"/>
        <v>1</v>
      </c>
      <c r="AC24" s="1809">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2"/>
      <c r="M25" s="1133"/>
      <c r="N25" s="1133"/>
      <c r="O25" s="1133"/>
      <c r="P25" s="3248"/>
      <c r="Q25" s="1793">
        <f t="shared" si="11"/>
        <v>111</v>
      </c>
      <c r="R25" s="769" t="s">
        <v>17</v>
      </c>
      <c r="S25" s="770">
        <f>F25</f>
        <v>100</v>
      </c>
      <c r="T25" s="769" t="s">
        <v>17</v>
      </c>
      <c r="U25" s="770">
        <f>H25</f>
        <v>100</v>
      </c>
      <c r="V25" s="769" t="s">
        <v>17</v>
      </c>
      <c r="W25" s="770">
        <f>J25</f>
        <v>100</v>
      </c>
      <c r="X25" s="771"/>
      <c r="Y25" s="3248"/>
      <c r="Z25" s="55">
        <f>Q25</f>
        <v>111</v>
      </c>
      <c r="AA25" s="1809">
        <f>D25/F25</f>
        <v>1</v>
      </c>
      <c r="AB25" s="1809">
        <f>D25/H25</f>
        <v>1</v>
      </c>
      <c r="AC25" s="1809">
        <f>D25/J25</f>
        <v>1</v>
      </c>
    </row>
    <row r="26" spans="1:29" ht="15">
      <c r="A26" s="651" t="s">
        <v>2558</v>
      </c>
      <c r="B26" s="70" t="s">
        <v>2707</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05" t="s">
        <v>2560</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52" t="s">
        <v>2560</v>
      </c>
      <c r="Z26" s="1812" t="str">
        <f t="shared" ref="Z26:Z36" si="15">Q26</f>
        <v>配套类型</v>
      </c>
      <c r="AA26" s="1809">
        <f t="shared" si="3"/>
        <v>1</v>
      </c>
      <c r="AB26" s="1809">
        <f t="shared" si="4"/>
        <v>1</v>
      </c>
      <c r="AC26" s="1809">
        <f t="shared" si="5"/>
        <v>1</v>
      </c>
    </row>
    <row r="27" spans="1:29" s="471" customFormat="1" ht="15">
      <c r="A27" s="652"/>
      <c r="B27" s="653" t="s">
        <v>2708</v>
      </c>
      <c r="C27" s="654"/>
      <c r="D27" s="136">
        <v>100</v>
      </c>
      <c r="E27" s="654"/>
      <c r="F27" s="461">
        <f>SUMIF(81:81,E27,82:82)-SUMIF(81:81,C27,82:82)+100</f>
        <v>100</v>
      </c>
      <c r="G27" s="654"/>
      <c r="H27" s="435">
        <f>SUMIF(81:81,G27,82:82)-SUMIF(81:81,C27,82:82)+100</f>
        <v>100</v>
      </c>
      <c r="I27" s="654"/>
      <c r="J27" s="435">
        <f>SUMIF(81:81,I27,82:82)-SUMIF(81:81,C27,82:82)+100</f>
        <v>100</v>
      </c>
      <c r="K27" s="613"/>
      <c r="L27" s="1138"/>
      <c r="M27" s="1141"/>
      <c r="N27" s="1141"/>
      <c r="O27" s="1141"/>
      <c r="P27" s="3252"/>
      <c r="Q27" s="775" t="str">
        <f t="shared" si="11"/>
        <v>项目停车位配比</v>
      </c>
      <c r="R27" s="776" t="s">
        <v>17</v>
      </c>
      <c r="S27" s="777">
        <f t="shared" si="12"/>
        <v>100</v>
      </c>
      <c r="T27" s="776" t="s">
        <v>17</v>
      </c>
      <c r="U27" s="777">
        <f t="shared" si="13"/>
        <v>100</v>
      </c>
      <c r="V27" s="776" t="s">
        <v>17</v>
      </c>
      <c r="W27" s="777">
        <f t="shared" si="14"/>
        <v>100</v>
      </c>
      <c r="X27" s="778"/>
      <c r="Y27" s="3252"/>
      <c r="Z27" s="779" t="str">
        <f t="shared" si="15"/>
        <v>项目停车位配比</v>
      </c>
      <c r="AA27" s="1809">
        <f t="shared" si="3"/>
        <v>1</v>
      </c>
      <c r="AB27" s="1809">
        <f t="shared" si="4"/>
        <v>1</v>
      </c>
      <c r="AC27" s="1809">
        <f t="shared" si="5"/>
        <v>1</v>
      </c>
    </row>
    <row r="28" spans="1:29" ht="15">
      <c r="A28" s="655"/>
      <c r="B28" s="653"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2"/>
      <c r="Q28" s="1808" t="str">
        <f t="shared" si="11"/>
        <v>公共部分装修</v>
      </c>
      <c r="R28" s="773" t="s">
        <v>17</v>
      </c>
      <c r="S28" s="774">
        <f t="shared" si="12"/>
        <v>100</v>
      </c>
      <c r="T28" s="773" t="s">
        <v>17</v>
      </c>
      <c r="U28" s="774">
        <f t="shared" si="13"/>
        <v>100</v>
      </c>
      <c r="V28" s="773" t="s">
        <v>17</v>
      </c>
      <c r="W28" s="774">
        <f t="shared" si="14"/>
        <v>100</v>
      </c>
      <c r="X28" s="1811"/>
      <c r="Y28" s="3252"/>
      <c r="Z28" s="1812" t="str">
        <f t="shared" si="15"/>
        <v>公共部分装修</v>
      </c>
      <c r="AA28" s="1809">
        <f t="shared" si="3"/>
        <v>1</v>
      </c>
      <c r="AB28" s="1809">
        <f t="shared" si="4"/>
        <v>1</v>
      </c>
      <c r="AC28" s="1809">
        <f t="shared" si="5"/>
        <v>1</v>
      </c>
    </row>
    <row r="29" spans="1:29" ht="15">
      <c r="A29" s="655"/>
      <c r="B29" s="653"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2"/>
      <c r="Q29" s="1808" t="str">
        <f t="shared" si="11"/>
        <v>成新率</v>
      </c>
      <c r="R29" s="773" t="s">
        <v>17</v>
      </c>
      <c r="S29" s="774" t="e">
        <f t="shared" si="12"/>
        <v>#N/A</v>
      </c>
      <c r="T29" s="773" t="s">
        <v>17</v>
      </c>
      <c r="U29" s="774" t="e">
        <f t="shared" si="13"/>
        <v>#N/A</v>
      </c>
      <c r="V29" s="773" t="s">
        <v>17</v>
      </c>
      <c r="W29" s="774" t="e">
        <f t="shared" si="14"/>
        <v>#N/A</v>
      </c>
      <c r="X29" s="1811"/>
      <c r="Y29" s="3252"/>
      <c r="Z29" s="1812" t="str">
        <f t="shared" si="15"/>
        <v>成新率</v>
      </c>
      <c r="AA29" s="1809" t="e">
        <f t="shared" si="3"/>
        <v>#N/A</v>
      </c>
      <c r="AB29" s="1809" t="e">
        <f t="shared" si="4"/>
        <v>#N/A</v>
      </c>
      <c r="AC29" s="1809" t="e">
        <f t="shared" si="5"/>
        <v>#N/A</v>
      </c>
    </row>
    <row r="30" spans="1:29" ht="15">
      <c r="A30" s="655"/>
      <c r="B30" s="653" t="s">
        <v>2711</v>
      </c>
      <c r="C30" s="656"/>
      <c r="D30" s="435">
        <v>100</v>
      </c>
      <c r="E30" s="656"/>
      <c r="F30" s="461">
        <f>SUMIF(88:88,E30,89:89)-SUMIF(88:88,C30,89:89)+100</f>
        <v>100</v>
      </c>
      <c r="G30" s="656"/>
      <c r="H30" s="435">
        <f>SUMIF(88:88,E30,89:89)-SUMIF(88:88,C30,89:89)+100</f>
        <v>100</v>
      </c>
      <c r="I30" s="656"/>
      <c r="J30" s="435">
        <f>SUMIF(88:88,E30,89:89)-SUMIF(88:88,C30,89:89)+100</f>
        <v>100</v>
      </c>
      <c r="K30" s="612"/>
      <c r="L30" s="1140"/>
      <c r="M30" s="1131"/>
      <c r="N30" s="1131"/>
      <c r="O30" s="1131"/>
      <c r="P30" s="3252"/>
      <c r="Q30" s="1808" t="str">
        <f t="shared" si="11"/>
        <v>物业等级</v>
      </c>
      <c r="R30" s="773" t="s">
        <v>17</v>
      </c>
      <c r="S30" s="774">
        <f t="shared" si="12"/>
        <v>100</v>
      </c>
      <c r="T30" s="773" t="s">
        <v>17</v>
      </c>
      <c r="U30" s="774">
        <f t="shared" si="13"/>
        <v>100</v>
      </c>
      <c r="V30" s="773" t="s">
        <v>17</v>
      </c>
      <c r="W30" s="774">
        <f t="shared" si="14"/>
        <v>100</v>
      </c>
      <c r="X30" s="1811"/>
      <c r="Y30" s="3252"/>
      <c r="Z30" s="1812" t="str">
        <f t="shared" si="15"/>
        <v>物业等级</v>
      </c>
      <c r="AA30" s="1809">
        <f t="shared" si="3"/>
        <v>1</v>
      </c>
      <c r="AB30" s="1809">
        <f t="shared" si="4"/>
        <v>1</v>
      </c>
      <c r="AC30" s="1809">
        <f t="shared" si="5"/>
        <v>1</v>
      </c>
    </row>
    <row r="31" spans="1:29" s="117" customFormat="1" ht="15">
      <c r="A31" s="657"/>
      <c r="B31" s="653"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2"/>
      <c r="Q31" s="1793" t="str">
        <f t="shared" si="11"/>
        <v>停车位面积</v>
      </c>
      <c r="R31" s="769" t="s">
        <v>17</v>
      </c>
      <c r="S31" s="770" t="e">
        <f t="shared" si="12"/>
        <v>#N/A</v>
      </c>
      <c r="T31" s="769" t="s">
        <v>17</v>
      </c>
      <c r="U31" s="770" t="e">
        <f t="shared" si="13"/>
        <v>#N/A</v>
      </c>
      <c r="V31" s="769" t="s">
        <v>17</v>
      </c>
      <c r="W31" s="770" t="e">
        <f t="shared" si="14"/>
        <v>#N/A</v>
      </c>
      <c r="X31" s="771"/>
      <c r="Y31" s="3252"/>
      <c r="Z31" s="55" t="str">
        <f t="shared" si="15"/>
        <v>停车位面积</v>
      </c>
      <c r="AA31" s="772" t="e">
        <f t="shared" si="3"/>
        <v>#N/A</v>
      </c>
      <c r="AB31" s="772" t="e">
        <f t="shared" si="4"/>
        <v>#N/A</v>
      </c>
      <c r="AC31" s="772" t="e">
        <f t="shared" si="5"/>
        <v>#N/A</v>
      </c>
    </row>
    <row r="32" spans="1:29" ht="15">
      <c r="A32" s="655"/>
      <c r="B32" s="653"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2" t="s">
        <v>2560</v>
      </c>
      <c r="Q32" s="1808" t="str">
        <f t="shared" si="11"/>
        <v>车位类型</v>
      </c>
      <c r="R32" s="773" t="s">
        <v>17</v>
      </c>
      <c r="S32" s="774">
        <f t="shared" si="12"/>
        <v>100</v>
      </c>
      <c r="T32" s="773" t="s">
        <v>17</v>
      </c>
      <c r="U32" s="774">
        <f t="shared" si="13"/>
        <v>100</v>
      </c>
      <c r="V32" s="773" t="s">
        <v>17</v>
      </c>
      <c r="W32" s="774">
        <f t="shared" si="14"/>
        <v>100</v>
      </c>
      <c r="X32" s="1811"/>
      <c r="Y32" s="3252" t="s">
        <v>2560</v>
      </c>
      <c r="Z32" s="1812" t="str">
        <f t="shared" si="15"/>
        <v>车位类型</v>
      </c>
      <c r="AA32" s="1809">
        <f t="shared" si="3"/>
        <v>1</v>
      </c>
      <c r="AB32" s="1809">
        <f t="shared" si="4"/>
        <v>1</v>
      </c>
      <c r="AC32" s="1809">
        <f t="shared" si="5"/>
        <v>1</v>
      </c>
    </row>
    <row r="33" spans="1:29" ht="15">
      <c r="A33" s="655"/>
      <c r="B33" s="653"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2"/>
      <c r="Q33" s="1808" t="str">
        <f t="shared" si="11"/>
        <v>是否直接入户</v>
      </c>
      <c r="R33" s="773" t="s">
        <v>17</v>
      </c>
      <c r="S33" s="774">
        <f t="shared" si="12"/>
        <v>100</v>
      </c>
      <c r="T33" s="773" t="s">
        <v>17</v>
      </c>
      <c r="U33" s="774">
        <f t="shared" si="13"/>
        <v>100</v>
      </c>
      <c r="V33" s="773" t="s">
        <v>17</v>
      </c>
      <c r="W33" s="774">
        <f t="shared" si="14"/>
        <v>100</v>
      </c>
      <c r="X33" s="1811"/>
      <c r="Y33" s="3252"/>
      <c r="Z33" s="1812" t="str">
        <f t="shared" si="15"/>
        <v>是否直接入户</v>
      </c>
      <c r="AA33" s="1809">
        <f t="shared" si="3"/>
        <v>1</v>
      </c>
      <c r="AB33" s="1809">
        <f t="shared" si="4"/>
        <v>1</v>
      </c>
      <c r="AC33" s="1809">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2"/>
      <c r="Q34" s="1808">
        <f t="shared" si="11"/>
        <v>111</v>
      </c>
      <c r="R34" s="773" t="s">
        <v>17</v>
      </c>
      <c r="S34" s="774">
        <f t="shared" si="12"/>
        <v>100</v>
      </c>
      <c r="T34" s="773" t="s">
        <v>17</v>
      </c>
      <c r="U34" s="774">
        <f t="shared" si="13"/>
        <v>100</v>
      </c>
      <c r="V34" s="773" t="s">
        <v>17</v>
      </c>
      <c r="W34" s="774">
        <f t="shared" si="14"/>
        <v>100</v>
      </c>
      <c r="X34" s="1811"/>
      <c r="Y34" s="3252"/>
      <c r="Z34" s="1812">
        <f t="shared" si="15"/>
        <v>111</v>
      </c>
      <c r="AA34" s="1809">
        <f t="shared" si="3"/>
        <v>1</v>
      </c>
      <c r="AB34" s="1809">
        <f t="shared" si="4"/>
        <v>1</v>
      </c>
      <c r="AC34" s="1809">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2"/>
      <c r="Q35" s="775">
        <f t="shared" si="11"/>
        <v>111</v>
      </c>
      <c r="R35" s="776" t="s">
        <v>17</v>
      </c>
      <c r="S35" s="777">
        <f t="shared" si="12"/>
        <v>100</v>
      </c>
      <c r="T35" s="776" t="s">
        <v>17</v>
      </c>
      <c r="U35" s="777">
        <f t="shared" si="13"/>
        <v>100</v>
      </c>
      <c r="V35" s="776" t="s">
        <v>17</v>
      </c>
      <c r="W35" s="777">
        <f t="shared" si="14"/>
        <v>100</v>
      </c>
      <c r="X35" s="778"/>
      <c r="Y35" s="3252"/>
      <c r="Z35" s="779">
        <f t="shared" si="15"/>
        <v>111</v>
      </c>
      <c r="AA35" s="1809">
        <f t="shared" si="3"/>
        <v>1</v>
      </c>
      <c r="AB35" s="1809">
        <f t="shared" si="4"/>
        <v>1</v>
      </c>
      <c r="AC35" s="1809">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2"/>
      <c r="Q36" s="1808">
        <f t="shared" si="11"/>
        <v>111</v>
      </c>
      <c r="R36" s="773" t="s">
        <v>17</v>
      </c>
      <c r="S36" s="774">
        <f t="shared" si="12"/>
        <v>100</v>
      </c>
      <c r="T36" s="773" t="s">
        <v>17</v>
      </c>
      <c r="U36" s="774">
        <f t="shared" si="13"/>
        <v>100</v>
      </c>
      <c r="V36" s="773" t="s">
        <v>17</v>
      </c>
      <c r="W36" s="774">
        <f t="shared" si="14"/>
        <v>100</v>
      </c>
      <c r="X36" s="1811"/>
      <c r="Y36" s="3252"/>
      <c r="Z36" s="1812">
        <f t="shared" si="15"/>
        <v>111</v>
      </c>
      <c r="AA36" s="1809">
        <f t="shared" si="3"/>
        <v>1</v>
      </c>
      <c r="AB36" s="1809">
        <f t="shared" si="4"/>
        <v>1</v>
      </c>
      <c r="AC36" s="1809">
        <f t="shared" si="5"/>
        <v>1</v>
      </c>
    </row>
    <row r="37" spans="1:29" ht="15">
      <c r="A37" s="479" t="s">
        <v>2715</v>
      </c>
      <c r="B37" s="2691" t="s">
        <v>2716</v>
      </c>
      <c r="C37" s="1407" t="s">
        <v>1</v>
      </c>
      <c r="D37" s="1408"/>
      <c r="E37" s="1409"/>
      <c r="F37" s="1410"/>
      <c r="G37" s="1411"/>
      <c r="H37" s="1412"/>
      <c r="I37" s="1409"/>
      <c r="J37" s="1412"/>
      <c r="K37" s="618"/>
      <c r="L37" s="1143"/>
      <c r="M37" s="1144"/>
      <c r="N37" s="1131"/>
      <c r="O37" s="1144"/>
      <c r="P37" s="3254" t="str">
        <f>A37</f>
        <v>成交单价</v>
      </c>
      <c r="Q37" s="3254"/>
      <c r="R37" s="3255">
        <f>E37</f>
        <v>0</v>
      </c>
      <c r="S37" s="3255"/>
      <c r="T37" s="3255">
        <f>G37</f>
        <v>0</v>
      </c>
      <c r="U37" s="3255"/>
      <c r="V37" s="3255">
        <f>I37</f>
        <v>0</v>
      </c>
      <c r="W37" s="3255"/>
      <c r="X37" s="758"/>
      <c r="Y37" s="780"/>
      <c r="Z37" s="758"/>
      <c r="AA37" s="758"/>
      <c r="AB37" s="758"/>
      <c r="AC37" s="758"/>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19"/>
      <c r="L38" s="1143"/>
      <c r="M38" s="1144"/>
      <c r="N38" s="1144"/>
      <c r="O38" s="1144"/>
      <c r="P38" s="3254" t="str">
        <f>A38</f>
        <v>比较价值（元/平方米）</v>
      </c>
      <c r="Q38" s="3254"/>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8"/>
      <c r="Y38" s="758"/>
      <c r="Z38" s="758"/>
      <c r="AA38" s="758"/>
      <c r="AB38" s="758"/>
      <c r="AC38" s="758"/>
    </row>
    <row r="39" spans="1:29" ht="15.75" thickBot="1">
      <c r="A39" s="492" t="s">
        <v>2718</v>
      </c>
      <c r="B39" s="493"/>
      <c r="C39" s="1417" t="e">
        <f>R39</f>
        <v>#DIV/0!</v>
      </c>
      <c r="D39" s="1417"/>
      <c r="E39" s="1417"/>
      <c r="F39" s="1417"/>
      <c r="G39" s="1417"/>
      <c r="H39" s="1417"/>
      <c r="I39" s="1417"/>
      <c r="J39" s="1417"/>
      <c r="K39" s="620"/>
      <c r="L39" s="1143"/>
      <c r="M39" s="1144"/>
      <c r="N39" s="1144"/>
      <c r="O39" s="1144"/>
      <c r="P39" s="3256" t="str">
        <f>A39</f>
        <v>估价对象XX用房的比较价值（楼面单价，元/平方米）</v>
      </c>
      <c r="Q39" s="3257"/>
      <c r="R39" s="3258" t="e">
        <f>IF(F1="售价",ROUND(AVERAGE(R38:V38),0),ROUND(AVERAGE(R38:V38),1))</f>
        <v>#DIV/0!</v>
      </c>
      <c r="S39" s="3258"/>
      <c r="T39" s="3258"/>
      <c r="U39" s="3258"/>
      <c r="V39" s="3258"/>
      <c r="W39" s="3258"/>
      <c r="X39" s="758"/>
      <c r="Y39" s="758"/>
      <c r="Z39" s="758"/>
      <c r="AA39" s="758"/>
      <c r="AB39" s="758"/>
      <c r="AC39" s="758"/>
    </row>
    <row r="40" spans="1:29">
      <c r="A40" s="1144"/>
      <c r="B40" s="1144"/>
      <c r="C40" s="1144"/>
      <c r="D40" s="1144"/>
      <c r="E40" s="1144"/>
      <c r="F40" s="1144"/>
      <c r="G40" s="1147"/>
      <c r="H40" s="1144"/>
      <c r="I40" s="1144"/>
      <c r="J40" s="1144"/>
      <c r="K40" s="1107"/>
      <c r="L40" s="1108"/>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7"/>
      <c r="L41" s="1108"/>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7"/>
      <c r="L46" s="1108"/>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2018-6</v>
      </c>
      <c r="D48" s="1575">
        <f>EDATE(C48,-1)</f>
        <v>43221</v>
      </c>
      <c r="E48" s="1575">
        <f t="shared" ref="E48:O48" si="16">EDATE(D48,-1)</f>
        <v>43191</v>
      </c>
      <c r="F48" s="1575">
        <f t="shared" si="16"/>
        <v>43160</v>
      </c>
      <c r="G48" s="1575">
        <f t="shared" si="16"/>
        <v>43132</v>
      </c>
      <c r="H48" s="1575">
        <f t="shared" si="16"/>
        <v>43101</v>
      </c>
      <c r="I48" s="1575">
        <f t="shared" si="16"/>
        <v>43070</v>
      </c>
      <c r="J48" s="1575">
        <f t="shared" si="16"/>
        <v>43040</v>
      </c>
      <c r="K48" s="1575">
        <f t="shared" si="16"/>
        <v>43009</v>
      </c>
      <c r="L48" s="1575">
        <f t="shared" si="16"/>
        <v>42979</v>
      </c>
      <c r="M48" s="1575">
        <f t="shared" si="16"/>
        <v>42948</v>
      </c>
      <c r="N48" s="1575">
        <f t="shared" si="16"/>
        <v>42917</v>
      </c>
      <c r="O48" s="1575">
        <f t="shared" si="16"/>
        <v>42887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8">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9">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59" t="s">
        <v>2670</v>
      </c>
      <c r="D67" s="659" t="s">
        <v>2671</v>
      </c>
      <c r="E67" s="659" t="s">
        <v>2672</v>
      </c>
      <c r="F67" s="659" t="s">
        <v>2673</v>
      </c>
      <c r="G67" s="659"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5">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80"/>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82"/>
      <c r="D2" s="1124" t="e">
        <f ca="1">SUMIF(INDIRECT("'"&amp;F2&amp;"'"&amp;"!A:A"),"承租人权益价值",INDIRECT("'"&amp;F2&amp;"'"&amp;"!c:c"))</f>
        <v>#REF!</v>
      </c>
      <c r="E2" s="2583" t="s">
        <v>2323</v>
      </c>
      <c r="F2" s="2584"/>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2640</v>
      </c>
      <c r="B4" s="402"/>
      <c r="C4" s="3232" t="s">
        <v>2641</v>
      </c>
      <c r="D4" s="3233"/>
      <c r="E4" s="3234" t="s">
        <v>2642</v>
      </c>
      <c r="F4" s="3235"/>
      <c r="G4" s="3232" t="s">
        <v>2643</v>
      </c>
      <c r="H4" s="3233"/>
      <c r="I4" s="3232" t="s">
        <v>2644</v>
      </c>
      <c r="J4" s="3233"/>
      <c r="K4" s="610" t="s">
        <v>2645</v>
      </c>
      <c r="L4" s="1130"/>
      <c r="M4" s="1131"/>
      <c r="N4" s="1131"/>
      <c r="O4" s="1131"/>
      <c r="P4" s="3236" t="s">
        <v>2646</v>
      </c>
      <c r="Q4" s="3237"/>
      <c r="R4" s="3219" t="s">
        <v>2642</v>
      </c>
      <c r="S4" s="3220"/>
      <c r="T4" s="3219" t="s">
        <v>2643</v>
      </c>
      <c r="U4" s="3220"/>
      <c r="V4" s="3216" t="s">
        <v>2644</v>
      </c>
      <c r="W4" s="3216"/>
      <c r="X4" s="1811"/>
      <c r="Y4" s="3219" t="s">
        <v>2646</v>
      </c>
      <c r="Z4" s="3220"/>
      <c r="AA4" s="3213" t="s">
        <v>2642</v>
      </c>
      <c r="AB4" s="3214" t="s">
        <v>2643</v>
      </c>
      <c r="AC4" s="3213" t="s">
        <v>2644</v>
      </c>
    </row>
    <row r="5" spans="1:29" ht="15">
      <c r="A5" s="404"/>
      <c r="B5" s="405"/>
      <c r="C5" s="3287" t="s">
        <v>2537</v>
      </c>
      <c r="D5" s="3226"/>
      <c r="E5" s="3286" t="s">
        <v>2538</v>
      </c>
      <c r="F5" s="3224"/>
      <c r="G5" s="3287" t="s">
        <v>2539</v>
      </c>
      <c r="H5" s="3226"/>
      <c r="I5" s="3287" t="s">
        <v>2540</v>
      </c>
      <c r="J5" s="3226"/>
      <c r="K5" s="610"/>
      <c r="L5" s="1130"/>
      <c r="M5" s="1131"/>
      <c r="N5" s="1131"/>
      <c r="O5" s="1131"/>
      <c r="P5" s="3238"/>
      <c r="Q5" s="3239"/>
      <c r="R5" s="3221"/>
      <c r="S5" s="3222"/>
      <c r="T5" s="3221"/>
      <c r="U5" s="3222"/>
      <c r="V5" s="3216"/>
      <c r="W5" s="3216"/>
      <c r="X5" s="1811"/>
      <c r="Y5" s="3221"/>
      <c r="Z5" s="3222"/>
      <c r="AA5" s="3214"/>
      <c r="AB5" s="3214"/>
      <c r="AC5" s="3214"/>
    </row>
    <row r="6" spans="1:29" ht="15.75" thickBot="1">
      <c r="A6" s="406"/>
      <c r="B6" s="407"/>
      <c r="C6" s="3288" t="s">
        <v>2541</v>
      </c>
      <c r="D6" s="3228"/>
      <c r="E6" s="3289" t="s">
        <v>2541</v>
      </c>
      <c r="F6" s="3230"/>
      <c r="G6" s="3288" t="s">
        <v>2541</v>
      </c>
      <c r="H6" s="3228"/>
      <c r="I6" s="3288" t="s">
        <v>2541</v>
      </c>
      <c r="J6" s="3228"/>
      <c r="K6" s="610" t="s">
        <v>2542</v>
      </c>
      <c r="L6" s="1130"/>
      <c r="M6" s="1131"/>
      <c r="N6" s="1131"/>
      <c r="O6" s="1131"/>
      <c r="P6" s="3240"/>
      <c r="Q6" s="3241"/>
      <c r="R6" s="3221"/>
      <c r="S6" s="3222"/>
      <c r="T6" s="3242"/>
      <c r="U6" s="3243"/>
      <c r="V6" s="3216"/>
      <c r="W6" s="3216"/>
      <c r="X6" s="1811"/>
      <c r="Y6" s="3242"/>
      <c r="Z6" s="3243"/>
      <c r="AA6" s="3215"/>
      <c r="AB6" s="3215"/>
      <c r="AC6" s="3215"/>
    </row>
    <row r="7" spans="1:29" s="117" customFormat="1" ht="15.75" thickBot="1">
      <c r="A7" s="408" t="s">
        <v>2543</v>
      </c>
      <c r="B7" s="409"/>
      <c r="C7" s="410">
        <f>'数据-取费表'!B2</f>
        <v>43279</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17" t="s">
        <v>2544</v>
      </c>
      <c r="Q7" s="3244"/>
      <c r="R7" s="769" t="s">
        <v>17</v>
      </c>
      <c r="S7" s="770">
        <f t="shared" ref="S7:S14" si="0">F7</f>
        <v>0</v>
      </c>
      <c r="T7" s="769" t="s">
        <v>17</v>
      </c>
      <c r="U7" s="770">
        <f t="shared" ref="U7:U14" si="1">H7</f>
        <v>0</v>
      </c>
      <c r="V7" s="769" t="s">
        <v>17</v>
      </c>
      <c r="W7" s="770">
        <f t="shared" ref="W7:W14" si="2">J7</f>
        <v>0</v>
      </c>
      <c r="X7" s="771"/>
      <c r="Y7" s="3217" t="s">
        <v>2544</v>
      </c>
      <c r="Z7" s="3218"/>
      <c r="AA7" s="772" t="e">
        <f>D7/F7</f>
        <v>#DIV/0!</v>
      </c>
      <c r="AB7" s="772" t="e">
        <f>D7/H7</f>
        <v>#DIV/0!</v>
      </c>
      <c r="AC7" s="772"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7" t="s">
        <v>2547</v>
      </c>
      <c r="Q8" s="3218"/>
      <c r="R8" s="769" t="s">
        <v>17</v>
      </c>
      <c r="S8" s="770">
        <f t="shared" si="0"/>
        <v>0</v>
      </c>
      <c r="T8" s="769" t="s">
        <v>17</v>
      </c>
      <c r="U8" s="770">
        <f t="shared" si="1"/>
        <v>0</v>
      </c>
      <c r="V8" s="769" t="s">
        <v>17</v>
      </c>
      <c r="W8" s="770">
        <f t="shared" si="2"/>
        <v>0</v>
      </c>
      <c r="X8" s="771"/>
      <c r="Y8" s="3217" t="s">
        <v>2547</v>
      </c>
      <c r="Z8" s="3218"/>
      <c r="AA8" s="772" t="e">
        <f t="shared" ref="AA8:AA34" si="3">D8/F8</f>
        <v>#DIV/0!</v>
      </c>
      <c r="AB8" s="772" t="e">
        <f t="shared" ref="AB8:AB34" si="4">D8/H8</f>
        <v>#DIV/0!</v>
      </c>
      <c r="AC8" s="772"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4" t="s">
        <v>2550</v>
      </c>
      <c r="Q9" s="1793" t="str">
        <f t="shared" ref="Q9:Q14" si="6">B9</f>
        <v>用途</v>
      </c>
      <c r="R9" s="769" t="s">
        <v>17</v>
      </c>
      <c r="S9" s="770">
        <f t="shared" si="0"/>
        <v>100</v>
      </c>
      <c r="T9" s="769" t="s">
        <v>17</v>
      </c>
      <c r="U9" s="770">
        <f t="shared" si="1"/>
        <v>100</v>
      </c>
      <c r="V9" s="769" t="s">
        <v>17</v>
      </c>
      <c r="W9" s="770">
        <f t="shared" si="2"/>
        <v>100</v>
      </c>
      <c r="X9" s="771"/>
      <c r="Y9" s="3090" t="s">
        <v>2551</v>
      </c>
      <c r="Z9" s="55" t="str">
        <f t="shared" ref="Z9:Z14" si="7">Q9</f>
        <v>用途</v>
      </c>
      <c r="AA9" s="772">
        <f t="shared" si="3"/>
        <v>1</v>
      </c>
      <c r="AB9" s="772">
        <f t="shared" si="4"/>
        <v>1</v>
      </c>
      <c r="AC9" s="772">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4"/>
      <c r="Q10" s="1793" t="str">
        <f t="shared" si="6"/>
        <v>土地使用年限（年）</v>
      </c>
      <c r="R10" s="769" t="s">
        <v>17</v>
      </c>
      <c r="S10" s="770">
        <f t="shared" si="0"/>
        <v>100</v>
      </c>
      <c r="T10" s="769" t="s">
        <v>17</v>
      </c>
      <c r="U10" s="770">
        <f t="shared" si="1"/>
        <v>100</v>
      </c>
      <c r="V10" s="769" t="s">
        <v>17</v>
      </c>
      <c r="W10" s="770">
        <f t="shared" si="2"/>
        <v>100</v>
      </c>
      <c r="X10" s="771"/>
      <c r="Y10" s="3090"/>
      <c r="Z10" s="55" t="str">
        <f t="shared" si="7"/>
        <v>土地使用年限（年）</v>
      </c>
      <c r="AA10" s="772">
        <f t="shared" si="3"/>
        <v>1</v>
      </c>
      <c r="AB10" s="772">
        <f t="shared" si="4"/>
        <v>1</v>
      </c>
      <c r="AC10" s="772">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4"/>
      <c r="Q11" s="1793">
        <f t="shared" si="6"/>
        <v>111</v>
      </c>
      <c r="R11" s="769" t="s">
        <v>17</v>
      </c>
      <c r="S11" s="770">
        <f t="shared" si="0"/>
        <v>100</v>
      </c>
      <c r="T11" s="769" t="s">
        <v>17</v>
      </c>
      <c r="U11" s="770">
        <f t="shared" si="1"/>
        <v>100</v>
      </c>
      <c r="V11" s="769" t="s">
        <v>17</v>
      </c>
      <c r="W11" s="770">
        <f t="shared" si="2"/>
        <v>100</v>
      </c>
      <c r="X11" s="771"/>
      <c r="Y11" s="3090"/>
      <c r="Z11" s="55">
        <f t="shared" si="7"/>
        <v>111</v>
      </c>
      <c r="AA11" s="772">
        <f t="shared" si="3"/>
        <v>1</v>
      </c>
      <c r="AB11" s="772">
        <f t="shared" si="4"/>
        <v>1</v>
      </c>
      <c r="AC11" s="772">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4"/>
      <c r="Q12" s="1793">
        <f t="shared" si="6"/>
        <v>111</v>
      </c>
      <c r="R12" s="769" t="s">
        <v>17</v>
      </c>
      <c r="S12" s="770">
        <f t="shared" si="0"/>
        <v>100</v>
      </c>
      <c r="T12" s="769" t="s">
        <v>17</v>
      </c>
      <c r="U12" s="770">
        <f t="shared" si="1"/>
        <v>100</v>
      </c>
      <c r="V12" s="769" t="s">
        <v>17</v>
      </c>
      <c r="W12" s="770">
        <f t="shared" si="2"/>
        <v>100</v>
      </c>
      <c r="X12" s="771"/>
      <c r="Y12" s="3090"/>
      <c r="Z12" s="55">
        <f t="shared" si="7"/>
        <v>111</v>
      </c>
      <c r="AA12" s="772">
        <f>D12/F12</f>
        <v>1</v>
      </c>
      <c r="AB12" s="772">
        <f>D12/H12</f>
        <v>1</v>
      </c>
      <c r="AC12" s="772">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254"/>
      <c r="Q13" s="1793">
        <f t="shared" si="6"/>
        <v>111</v>
      </c>
      <c r="R13" s="769" t="s">
        <v>17</v>
      </c>
      <c r="S13" s="770">
        <f t="shared" si="0"/>
        <v>100</v>
      </c>
      <c r="T13" s="769" t="s">
        <v>17</v>
      </c>
      <c r="U13" s="770">
        <f t="shared" si="1"/>
        <v>100</v>
      </c>
      <c r="V13" s="769" t="s">
        <v>17</v>
      </c>
      <c r="W13" s="770">
        <f t="shared" si="2"/>
        <v>100</v>
      </c>
      <c r="X13" s="771"/>
      <c r="Y13" s="3090"/>
      <c r="Z13" s="55">
        <f t="shared" si="7"/>
        <v>111</v>
      </c>
      <c r="AA13" s="772">
        <f t="shared" si="3"/>
        <v>1</v>
      </c>
      <c r="AB13" s="772">
        <f t="shared" si="4"/>
        <v>1</v>
      </c>
      <c r="AC13" s="772">
        <f t="shared" si="5"/>
        <v>1</v>
      </c>
    </row>
    <row r="14" spans="1:29" ht="99.75">
      <c r="A14" s="440" t="s">
        <v>2554</v>
      </c>
      <c r="B14" s="69" t="s">
        <v>2704</v>
      </c>
      <c r="C14" s="2689"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7" t="s">
        <v>2555</v>
      </c>
      <c r="Q14" s="1808" t="str">
        <f t="shared" si="6"/>
        <v>交通便捷度</v>
      </c>
      <c r="R14" s="773" t="s">
        <v>17</v>
      </c>
      <c r="S14" s="774">
        <f t="shared" si="0"/>
        <v>100</v>
      </c>
      <c r="T14" s="773" t="s">
        <v>17</v>
      </c>
      <c r="U14" s="774">
        <f t="shared" si="1"/>
        <v>100</v>
      </c>
      <c r="V14" s="773" t="s">
        <v>17</v>
      </c>
      <c r="W14" s="774">
        <f t="shared" si="2"/>
        <v>100</v>
      </c>
      <c r="X14" s="1811"/>
      <c r="Y14" s="3247" t="s">
        <v>2555</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0"/>
      <c r="M15" s="1131"/>
      <c r="N15" s="1131"/>
      <c r="O15" s="1139"/>
      <c r="P15" s="3248"/>
      <c r="Q15" s="1808"/>
      <c r="R15" s="773"/>
      <c r="S15" s="774"/>
      <c r="T15" s="773"/>
      <c r="U15" s="774"/>
      <c r="V15" s="773"/>
      <c r="W15" s="774"/>
      <c r="X15" s="1811"/>
      <c r="Y15" s="3248"/>
      <c r="Z15" s="1812"/>
      <c r="AA15" s="1809">
        <v>1</v>
      </c>
      <c r="AB15" s="1809">
        <v>1</v>
      </c>
      <c r="AC15" s="1809">
        <v>1</v>
      </c>
    </row>
    <row r="16" spans="1:29" ht="42.75">
      <c r="A16" s="428"/>
      <c r="B16" s="451" t="s">
        <v>2683</v>
      </c>
      <c r="C16" s="2603"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8"/>
      <c r="Q16" s="1808" t="str">
        <f>B16</f>
        <v>公共配套设施</v>
      </c>
      <c r="R16" s="773" t="s">
        <v>17</v>
      </c>
      <c r="S16" s="774">
        <f>F16</f>
        <v>100</v>
      </c>
      <c r="T16" s="773" t="s">
        <v>17</v>
      </c>
      <c r="U16" s="774">
        <f>H16</f>
        <v>100</v>
      </c>
      <c r="V16" s="773" t="s">
        <v>17</v>
      </c>
      <c r="W16" s="774">
        <f>J16</f>
        <v>100</v>
      </c>
      <c r="X16" s="1811"/>
      <c r="Y16" s="3248"/>
      <c r="Z16" s="1812" t="str">
        <f>Q16</f>
        <v>公共配套设施</v>
      </c>
      <c r="AA16" s="1809">
        <f t="shared" si="3"/>
        <v>1</v>
      </c>
      <c r="AB16" s="1809">
        <f t="shared" si="4"/>
        <v>1</v>
      </c>
      <c r="AC16" s="1809">
        <f t="shared" si="5"/>
        <v>1</v>
      </c>
    </row>
    <row r="17" spans="1:29" ht="15">
      <c r="A17" s="428"/>
      <c r="B17" s="456"/>
      <c r="C17" s="2604"/>
      <c r="D17" s="448"/>
      <c r="E17" s="447"/>
      <c r="F17" s="449"/>
      <c r="G17" s="447"/>
      <c r="H17" s="448"/>
      <c r="I17" s="447"/>
      <c r="J17" s="448"/>
      <c r="K17" s="615"/>
      <c r="L17" s="1140"/>
      <c r="M17" s="1131"/>
      <c r="N17" s="1131"/>
      <c r="O17" s="1139"/>
      <c r="P17" s="3248"/>
      <c r="Q17" s="1808"/>
      <c r="R17" s="773"/>
      <c r="S17" s="774"/>
      <c r="T17" s="773"/>
      <c r="U17" s="774"/>
      <c r="V17" s="773"/>
      <c r="W17" s="774"/>
      <c r="X17" s="1811"/>
      <c r="Y17" s="3248"/>
      <c r="Z17" s="1812"/>
      <c r="AA17" s="1809">
        <v>1</v>
      </c>
      <c r="AB17" s="1809">
        <v>1</v>
      </c>
      <c r="AC17" s="1809">
        <v>1</v>
      </c>
    </row>
    <row r="18" spans="1:29" ht="42.75">
      <c r="A18" s="428"/>
      <c r="B18" s="1384" t="s">
        <v>2684</v>
      </c>
      <c r="C18" s="2603" t="str">
        <f>IF(B1="工业",估价对象房地状况!G6,估价对象房地状况!C8)</f>
        <v>估价对象所在区域基础设施水平为六通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8"/>
      <c r="Q18" s="1808" t="str">
        <f>B18</f>
        <v>基础设施水平</v>
      </c>
      <c r="R18" s="773" t="s">
        <v>17</v>
      </c>
      <c r="S18" s="774">
        <f>F18</f>
        <v>100</v>
      </c>
      <c r="T18" s="773" t="s">
        <v>17</v>
      </c>
      <c r="U18" s="774">
        <f>H18</f>
        <v>100</v>
      </c>
      <c r="V18" s="773" t="s">
        <v>17</v>
      </c>
      <c r="W18" s="774">
        <f>J18</f>
        <v>100</v>
      </c>
      <c r="X18" s="1811"/>
      <c r="Y18" s="3248"/>
      <c r="Z18" s="1812" t="str">
        <f>Q18</f>
        <v>基础设施水平</v>
      </c>
      <c r="AA18" s="1809">
        <f t="shared" ref="AA18" si="8">D18/F18</f>
        <v>1</v>
      </c>
      <c r="AB18" s="1809">
        <f t="shared" ref="AB18" si="9">D18/H18</f>
        <v>1</v>
      </c>
      <c r="AC18" s="1809">
        <f t="shared" ref="AC18" si="10">D18/J18</f>
        <v>1</v>
      </c>
    </row>
    <row r="19" spans="1:29" ht="15">
      <c r="A19" s="428"/>
      <c r="B19" s="1384"/>
      <c r="C19" s="2604"/>
      <c r="D19" s="450"/>
      <c r="E19" s="2604"/>
      <c r="F19" s="453"/>
      <c r="G19" s="2604"/>
      <c r="H19" s="448"/>
      <c r="I19" s="447"/>
      <c r="J19" s="448"/>
      <c r="K19" s="1383"/>
      <c r="L19" s="1140"/>
      <c r="M19" s="1131"/>
      <c r="N19" s="1131"/>
      <c r="O19" s="1139"/>
      <c r="P19" s="3248"/>
      <c r="Q19" s="1808"/>
      <c r="R19" s="773"/>
      <c r="S19" s="774"/>
      <c r="T19" s="773"/>
      <c r="U19" s="774"/>
      <c r="V19" s="773"/>
      <c r="W19" s="774"/>
      <c r="X19" s="1811"/>
      <c r="Y19" s="3248"/>
      <c r="Z19" s="1812"/>
      <c r="AA19" s="1809">
        <v>1</v>
      </c>
      <c r="AB19" s="1809">
        <v>1</v>
      </c>
      <c r="AC19" s="1809">
        <v>1</v>
      </c>
    </row>
    <row r="20" spans="1:29" ht="71.25">
      <c r="A20" s="428"/>
      <c r="B20" s="451" t="s">
        <v>2705</v>
      </c>
      <c r="C20" s="2603" t="str">
        <f>IF(B1="工业",估价对象房地状况!G7,估价对象房地状况!C9)</f>
        <v>区域：江东公园，自然环境一般：；人文环境一般；综合评价环境状况一般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8"/>
      <c r="Q20" s="1808" t="str">
        <f>B20</f>
        <v>自然及人文环境</v>
      </c>
      <c r="R20" s="773" t="s">
        <v>17</v>
      </c>
      <c r="S20" s="774">
        <f>F20</f>
        <v>100</v>
      </c>
      <c r="T20" s="773" t="s">
        <v>17</v>
      </c>
      <c r="U20" s="774">
        <f>H20</f>
        <v>100</v>
      </c>
      <c r="V20" s="773" t="s">
        <v>17</v>
      </c>
      <c r="W20" s="774">
        <f>J20</f>
        <v>100</v>
      </c>
      <c r="X20" s="1811"/>
      <c r="Y20" s="3248"/>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0"/>
      <c r="M21" s="1131"/>
      <c r="N21" s="1131"/>
      <c r="O21" s="1139"/>
      <c r="P21" s="3248"/>
      <c r="Q21" s="1808"/>
      <c r="R21" s="773"/>
      <c r="S21" s="774"/>
      <c r="T21" s="773"/>
      <c r="U21" s="774"/>
      <c r="V21" s="773"/>
      <c r="W21" s="774"/>
      <c r="X21" s="1811"/>
      <c r="Y21" s="3248"/>
      <c r="Z21" s="1812"/>
      <c r="AA21" s="1809">
        <v>1</v>
      </c>
      <c r="AB21" s="1809">
        <v>1</v>
      </c>
      <c r="AC21" s="1809">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8"/>
      <c r="Q22" s="1808" t="str">
        <f>B22</f>
        <v>楼层</v>
      </c>
      <c r="R22" s="773" t="s">
        <v>17</v>
      </c>
      <c r="S22" s="774">
        <f>F22</f>
        <v>100</v>
      </c>
      <c r="T22" s="773" t="s">
        <v>17</v>
      </c>
      <c r="U22" s="774">
        <f>H22</f>
        <v>100</v>
      </c>
      <c r="V22" s="773" t="s">
        <v>17</v>
      </c>
      <c r="W22" s="774">
        <f>J22</f>
        <v>100</v>
      </c>
      <c r="X22" s="1811"/>
      <c r="Y22" s="3248"/>
      <c r="Z22" s="1812" t="str">
        <f>Q22</f>
        <v>楼层</v>
      </c>
      <c r="AA22" s="1809">
        <f t="shared" si="3"/>
        <v>1</v>
      </c>
      <c r="AB22" s="1809">
        <f t="shared" si="4"/>
        <v>1</v>
      </c>
      <c r="AC22" s="1809">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8"/>
      <c r="Q23" s="1808">
        <f>B23</f>
        <v>111</v>
      </c>
      <c r="R23" s="773" t="s">
        <v>17</v>
      </c>
      <c r="S23" s="774">
        <f>F23</f>
        <v>100</v>
      </c>
      <c r="T23" s="773" t="s">
        <v>17</v>
      </c>
      <c r="U23" s="774">
        <f>H23</f>
        <v>100</v>
      </c>
      <c r="V23" s="773" t="s">
        <v>17</v>
      </c>
      <c r="W23" s="774">
        <f>J23</f>
        <v>100</v>
      </c>
      <c r="X23" s="1811"/>
      <c r="Y23" s="3248"/>
      <c r="Z23" s="1812">
        <f>Q23</f>
        <v>111</v>
      </c>
      <c r="AA23" s="1809">
        <f t="shared" si="3"/>
        <v>1</v>
      </c>
      <c r="AB23" s="1809">
        <f t="shared" si="4"/>
        <v>1</v>
      </c>
      <c r="AC23" s="1809">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8"/>
      <c r="Q24" s="1808">
        <f t="shared" ref="Q24:Q34" si="11">B24</f>
        <v>111</v>
      </c>
      <c r="R24" s="773" t="s">
        <v>17</v>
      </c>
      <c r="S24" s="774">
        <f>F24</f>
        <v>100</v>
      </c>
      <c r="T24" s="773" t="s">
        <v>17</v>
      </c>
      <c r="U24" s="774">
        <f>H24</f>
        <v>100</v>
      </c>
      <c r="V24" s="773" t="s">
        <v>17</v>
      </c>
      <c r="W24" s="774">
        <f>J24</f>
        <v>100</v>
      </c>
      <c r="X24" s="1811"/>
      <c r="Y24" s="3248"/>
      <c r="Z24" s="1812">
        <f>Q24</f>
        <v>111</v>
      </c>
      <c r="AA24" s="1809">
        <f t="shared" si="3"/>
        <v>1</v>
      </c>
      <c r="AB24" s="1809">
        <f t="shared" si="4"/>
        <v>1</v>
      </c>
      <c r="AC24" s="1809">
        <f t="shared" si="5"/>
        <v>1</v>
      </c>
    </row>
    <row r="25" spans="1:29" s="117" customFormat="1" ht="15.75" thickBot="1">
      <c r="A25" s="431"/>
      <c r="B25" s="2596">
        <v>111</v>
      </c>
      <c r="C25" s="2694"/>
      <c r="D25" s="664">
        <v>100</v>
      </c>
      <c r="E25" s="2694"/>
      <c r="F25" s="665">
        <f>SUMIF(75:75,E25,76:76)-SUMIF(75:75,C25,76:76)+100</f>
        <v>100</v>
      </c>
      <c r="G25" s="2694"/>
      <c r="H25" s="664">
        <f>SUMIF(75:75,G25,76:76)-SUMIF(75:75,C25,76:76)+100</f>
        <v>100</v>
      </c>
      <c r="I25" s="2694"/>
      <c r="J25" s="664">
        <f>SUMIF(75:75,I25,76:76)-SUMIF(75:75,C25,76:76)+100</f>
        <v>100</v>
      </c>
      <c r="K25" s="613"/>
      <c r="L25" s="1132"/>
      <c r="M25" s="1133"/>
      <c r="N25" s="1133"/>
      <c r="O25" s="1134"/>
      <c r="P25" s="3248"/>
      <c r="Q25" s="1793">
        <f t="shared" si="11"/>
        <v>111</v>
      </c>
      <c r="R25" s="769" t="s">
        <v>17</v>
      </c>
      <c r="S25" s="770">
        <f>F25</f>
        <v>100</v>
      </c>
      <c r="T25" s="769" t="s">
        <v>17</v>
      </c>
      <c r="U25" s="770">
        <f>H25</f>
        <v>100</v>
      </c>
      <c r="V25" s="769" t="s">
        <v>17</v>
      </c>
      <c r="W25" s="770">
        <f>J25</f>
        <v>100</v>
      </c>
      <c r="X25" s="771"/>
      <c r="Y25" s="3248"/>
      <c r="Z25" s="55">
        <f>Q25</f>
        <v>111</v>
      </c>
      <c r="AA25" s="1809">
        <f>D25/F25</f>
        <v>1</v>
      </c>
      <c r="AB25" s="1809">
        <f>D25/H25</f>
        <v>1</v>
      </c>
      <c r="AC25" s="1809">
        <f>D25/J25</f>
        <v>1</v>
      </c>
    </row>
    <row r="26" spans="1:29" ht="15">
      <c r="A26" s="466" t="s">
        <v>2558</v>
      </c>
      <c r="B26" s="71" t="s">
        <v>2709</v>
      </c>
      <c r="C26" s="2675"/>
      <c r="D26" s="467">
        <v>100</v>
      </c>
      <c r="E26" s="2675"/>
      <c r="F26" s="666">
        <f>SUMIF(77:77,E26,78:78)-SUMIF(77:77,C26,78:78)+100</f>
        <v>100</v>
      </c>
      <c r="G26" s="2675"/>
      <c r="H26" s="467">
        <f>SUMIF(77:77,G26,78:78)-SUMIF(77:77,C26,78:78)+100</f>
        <v>100</v>
      </c>
      <c r="I26" s="2675"/>
      <c r="J26" s="467">
        <f>SUMIF(77:77,I26,78:78)-SUMIF(77:77,C26,78:78)+100</f>
        <v>100</v>
      </c>
      <c r="K26" s="612"/>
      <c r="L26" s="1140"/>
      <c r="M26" s="1131"/>
      <c r="N26" s="1131"/>
      <c r="O26" s="1139"/>
      <c r="P26" s="3305" t="s">
        <v>2560</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52" t="s">
        <v>2560</v>
      </c>
      <c r="Z26" s="1812" t="str">
        <f t="shared" ref="Z26:Z34" si="15">Q26</f>
        <v>公共部分装修</v>
      </c>
      <c r="AA26" s="1809">
        <f t="shared" si="3"/>
        <v>1</v>
      </c>
      <c r="AB26" s="1809">
        <f t="shared" si="4"/>
        <v>1</v>
      </c>
      <c r="AC26" s="1809">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2"/>
      <c r="Q27" s="775" t="str">
        <f t="shared" si="11"/>
        <v>成新率</v>
      </c>
      <c r="R27" s="776" t="s">
        <v>17</v>
      </c>
      <c r="S27" s="777" t="e">
        <f t="shared" si="12"/>
        <v>#N/A</v>
      </c>
      <c r="T27" s="776" t="s">
        <v>17</v>
      </c>
      <c r="U27" s="777" t="e">
        <f t="shared" si="13"/>
        <v>#N/A</v>
      </c>
      <c r="V27" s="776" t="s">
        <v>17</v>
      </c>
      <c r="W27" s="777" t="e">
        <f t="shared" si="14"/>
        <v>#N/A</v>
      </c>
      <c r="X27" s="778"/>
      <c r="Y27" s="3252"/>
      <c r="Z27" s="779" t="str">
        <f t="shared" si="15"/>
        <v>成新率</v>
      </c>
      <c r="AA27" s="1809" t="e">
        <f t="shared" si="3"/>
        <v>#N/A</v>
      </c>
      <c r="AB27" s="1809" t="e">
        <f t="shared" si="4"/>
        <v>#N/A</v>
      </c>
      <c r="AC27" s="1809"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2"/>
      <c r="Q28" s="1808" t="str">
        <f t="shared" si="11"/>
        <v>物业等级</v>
      </c>
      <c r="R28" s="773" t="s">
        <v>17</v>
      </c>
      <c r="S28" s="774">
        <f t="shared" si="12"/>
        <v>100</v>
      </c>
      <c r="T28" s="773" t="s">
        <v>17</v>
      </c>
      <c r="U28" s="774">
        <f t="shared" si="13"/>
        <v>100</v>
      </c>
      <c r="V28" s="773" t="s">
        <v>17</v>
      </c>
      <c r="W28" s="774">
        <f t="shared" si="14"/>
        <v>100</v>
      </c>
      <c r="X28" s="1811"/>
      <c r="Y28" s="3252"/>
      <c r="Z28" s="1812" t="str">
        <f t="shared" si="15"/>
        <v>物业等级</v>
      </c>
      <c r="AA28" s="1809">
        <f t="shared" si="3"/>
        <v>1</v>
      </c>
      <c r="AB28" s="1809">
        <f t="shared" si="4"/>
        <v>1</v>
      </c>
      <c r="AC28" s="1809">
        <f t="shared" si="5"/>
        <v>1</v>
      </c>
    </row>
    <row r="29" spans="1:29" ht="15">
      <c r="A29" s="472"/>
      <c r="B29" s="422" t="s">
        <v>2732</v>
      </c>
      <c r="C29" s="656"/>
      <c r="D29" s="435">
        <v>100</v>
      </c>
      <c r="E29" s="656"/>
      <c r="F29" s="461">
        <f>SUMIF(84:84,E29,85:85)-SUMIF(84:84,C29,85:85)+100</f>
        <v>100</v>
      </c>
      <c r="G29" s="656"/>
      <c r="H29" s="435">
        <f>SUMIF(84:84,G29,85:85)-SUMIF(84:84,C29,85:85)+100</f>
        <v>100</v>
      </c>
      <c r="I29" s="656"/>
      <c r="J29" s="435">
        <f>SUMIF(84:84,I29,85:85)-SUMIF(84:84,C29,85:85)+100</f>
        <v>100</v>
      </c>
      <c r="K29" s="612"/>
      <c r="L29" s="1140"/>
      <c r="M29" s="1131"/>
      <c r="N29" s="1131"/>
      <c r="O29" s="1139"/>
      <c r="P29" s="3252"/>
      <c r="Q29" s="1808" t="str">
        <f t="shared" si="11"/>
        <v>有无电梯</v>
      </c>
      <c r="R29" s="773" t="s">
        <v>17</v>
      </c>
      <c r="S29" s="774">
        <f t="shared" si="12"/>
        <v>100</v>
      </c>
      <c r="T29" s="773" t="s">
        <v>17</v>
      </c>
      <c r="U29" s="774">
        <f t="shared" si="13"/>
        <v>100</v>
      </c>
      <c r="V29" s="773" t="s">
        <v>17</v>
      </c>
      <c r="W29" s="774">
        <f t="shared" si="14"/>
        <v>100</v>
      </c>
      <c r="X29" s="1811"/>
      <c r="Y29" s="3252"/>
      <c r="Z29" s="1812" t="str">
        <f t="shared" si="15"/>
        <v>有无电梯</v>
      </c>
      <c r="AA29" s="1809">
        <f t="shared" si="3"/>
        <v>1</v>
      </c>
      <c r="AB29" s="1809">
        <f t="shared" si="4"/>
        <v>1</v>
      </c>
      <c r="AC29" s="1809">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2"/>
      <c r="Q30" s="1808" t="str">
        <f t="shared" si="11"/>
        <v>建筑面积</v>
      </c>
      <c r="R30" s="773" t="s">
        <v>17</v>
      </c>
      <c r="S30" s="774" t="e">
        <f t="shared" si="12"/>
        <v>#N/A</v>
      </c>
      <c r="T30" s="773" t="s">
        <v>17</v>
      </c>
      <c r="U30" s="774" t="e">
        <f t="shared" si="13"/>
        <v>#N/A</v>
      </c>
      <c r="V30" s="773" t="s">
        <v>17</v>
      </c>
      <c r="W30" s="774" t="e">
        <f t="shared" si="14"/>
        <v>#N/A</v>
      </c>
      <c r="X30" s="1811"/>
      <c r="Y30" s="3252"/>
      <c r="Z30" s="1812" t="str">
        <f t="shared" si="15"/>
        <v>建筑面积</v>
      </c>
      <c r="AA30" s="1809" t="e">
        <f t="shared" si="3"/>
        <v>#N/A</v>
      </c>
      <c r="AB30" s="1809" t="e">
        <f t="shared" si="4"/>
        <v>#N/A</v>
      </c>
      <c r="AC30" s="1809" t="e">
        <f t="shared" si="5"/>
        <v>#N/A</v>
      </c>
    </row>
    <row r="31" spans="1:29" s="117" customFormat="1" ht="15">
      <c r="A31" s="473"/>
      <c r="B31" s="422" t="s">
        <v>2734</v>
      </c>
      <c r="C31" s="656"/>
      <c r="D31" s="136">
        <v>100</v>
      </c>
      <c r="E31" s="656"/>
      <c r="F31" s="461">
        <f>SUMIF(89:89,E31,90:90)-SUMIF(89:89,C31,90:90)+100</f>
        <v>100</v>
      </c>
      <c r="G31" s="656"/>
      <c r="H31" s="435">
        <f>SUMIF(89:89,G31,90:90)-SUMIF(89:89,C31,90:90)+100</f>
        <v>100</v>
      </c>
      <c r="I31" s="656"/>
      <c r="J31" s="435">
        <f>SUMIF(89:89,I31,90:90)-SUMIF(89:89,C31,90:90)+100</f>
        <v>100</v>
      </c>
      <c r="K31" s="612"/>
      <c r="L31" s="1132"/>
      <c r="M31" s="1133"/>
      <c r="N31" s="1133"/>
      <c r="O31" s="1134"/>
      <c r="P31" s="3252"/>
      <c r="Q31" s="1793" t="str">
        <f t="shared" si="11"/>
        <v>是否封闭</v>
      </c>
      <c r="R31" s="769" t="s">
        <v>17</v>
      </c>
      <c r="S31" s="770">
        <f t="shared" si="12"/>
        <v>100</v>
      </c>
      <c r="T31" s="769" t="s">
        <v>17</v>
      </c>
      <c r="U31" s="770">
        <f t="shared" si="13"/>
        <v>100</v>
      </c>
      <c r="V31" s="769" t="s">
        <v>17</v>
      </c>
      <c r="W31" s="770">
        <f t="shared" si="14"/>
        <v>100</v>
      </c>
      <c r="X31" s="771"/>
      <c r="Y31" s="3252"/>
      <c r="Z31" s="55" t="str">
        <f t="shared" si="15"/>
        <v>是否封闭</v>
      </c>
      <c r="AA31" s="772">
        <f t="shared" si="3"/>
        <v>1</v>
      </c>
      <c r="AB31" s="772">
        <f t="shared" si="4"/>
        <v>1</v>
      </c>
      <c r="AC31" s="772">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2" t="s">
        <v>2560</v>
      </c>
      <c r="Q32" s="1808">
        <f t="shared" si="11"/>
        <v>111</v>
      </c>
      <c r="R32" s="773" t="s">
        <v>17</v>
      </c>
      <c r="S32" s="774">
        <f t="shared" si="12"/>
        <v>100</v>
      </c>
      <c r="T32" s="773" t="s">
        <v>17</v>
      </c>
      <c r="U32" s="774">
        <f t="shared" si="13"/>
        <v>100</v>
      </c>
      <c r="V32" s="773" t="s">
        <v>17</v>
      </c>
      <c r="W32" s="774">
        <f t="shared" si="14"/>
        <v>100</v>
      </c>
      <c r="X32" s="1811"/>
      <c r="Y32" s="3252" t="s">
        <v>2560</v>
      </c>
      <c r="Z32" s="1812">
        <f t="shared" si="15"/>
        <v>111</v>
      </c>
      <c r="AA32" s="1809">
        <f t="shared" si="3"/>
        <v>1</v>
      </c>
      <c r="AB32" s="1809">
        <f t="shared" si="4"/>
        <v>1</v>
      </c>
      <c r="AC32" s="1809">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2"/>
      <c r="Q33" s="1808">
        <f t="shared" si="11"/>
        <v>111</v>
      </c>
      <c r="R33" s="773" t="s">
        <v>17</v>
      </c>
      <c r="S33" s="774">
        <f t="shared" si="12"/>
        <v>100</v>
      </c>
      <c r="T33" s="773" t="s">
        <v>17</v>
      </c>
      <c r="U33" s="774">
        <f t="shared" si="13"/>
        <v>100</v>
      </c>
      <c r="V33" s="773" t="s">
        <v>17</v>
      </c>
      <c r="W33" s="774">
        <f t="shared" si="14"/>
        <v>100</v>
      </c>
      <c r="X33" s="1811"/>
      <c r="Y33" s="3252"/>
      <c r="Z33" s="1812">
        <f t="shared" si="15"/>
        <v>111</v>
      </c>
      <c r="AA33" s="1809">
        <f t="shared" si="3"/>
        <v>1</v>
      </c>
      <c r="AB33" s="1809">
        <f t="shared" si="4"/>
        <v>1</v>
      </c>
      <c r="AC33" s="1809">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52"/>
      <c r="Q34" s="1808">
        <f t="shared" si="11"/>
        <v>111</v>
      </c>
      <c r="R34" s="773" t="s">
        <v>17</v>
      </c>
      <c r="S34" s="774">
        <f t="shared" si="12"/>
        <v>100</v>
      </c>
      <c r="T34" s="773" t="s">
        <v>17</v>
      </c>
      <c r="U34" s="774">
        <f t="shared" si="13"/>
        <v>100</v>
      </c>
      <c r="V34" s="773" t="s">
        <v>17</v>
      </c>
      <c r="W34" s="774">
        <f t="shared" si="14"/>
        <v>100</v>
      </c>
      <c r="X34" s="1811"/>
      <c r="Y34" s="3252"/>
      <c r="Z34" s="1812">
        <f t="shared" si="15"/>
        <v>111</v>
      </c>
      <c r="AA34" s="1809">
        <f t="shared" si="3"/>
        <v>1</v>
      </c>
      <c r="AB34" s="1809">
        <f t="shared" si="4"/>
        <v>1</v>
      </c>
      <c r="AC34" s="1809">
        <f t="shared" si="5"/>
        <v>1</v>
      </c>
    </row>
    <row r="35" spans="1:29" ht="15">
      <c r="A35" s="479" t="s">
        <v>2572</v>
      </c>
      <c r="B35" s="480"/>
      <c r="C35" s="1407" t="s">
        <v>1</v>
      </c>
      <c r="D35" s="1408"/>
      <c r="E35" s="1409"/>
      <c r="F35" s="1410"/>
      <c r="G35" s="1411"/>
      <c r="H35" s="1412"/>
      <c r="I35" s="1409"/>
      <c r="J35" s="1412"/>
      <c r="K35" s="782"/>
      <c r="L35" s="1143"/>
      <c r="M35" s="1144"/>
      <c r="N35" s="1131"/>
      <c r="O35" s="1144"/>
      <c r="P35" s="3254" t="str">
        <f>A35</f>
        <v>成交单价（元/平方米）</v>
      </c>
      <c r="Q35" s="3254"/>
      <c r="R35" s="3255">
        <f>E35</f>
        <v>0</v>
      </c>
      <c r="S35" s="3255"/>
      <c r="T35" s="3255">
        <f>G35</f>
        <v>0</v>
      </c>
      <c r="U35" s="3255"/>
      <c r="V35" s="3255">
        <f>I35</f>
        <v>0</v>
      </c>
      <c r="W35" s="3255"/>
      <c r="X35" s="758"/>
      <c r="Y35" s="780"/>
      <c r="Z35" s="758"/>
      <c r="AA35" s="758"/>
      <c r="AB35" s="758"/>
      <c r="AC35" s="758"/>
    </row>
    <row r="36" spans="1:29" ht="15.75" thickBot="1">
      <c r="A36" s="486" t="s">
        <v>2664</v>
      </c>
      <c r="B36" s="487"/>
      <c r="C36" s="1413" t="e">
        <f>R37</f>
        <v>#DIV/0!</v>
      </c>
      <c r="D36" s="1414"/>
      <c r="E36" s="1415" t="e">
        <f>R36</f>
        <v>#DIV/0!</v>
      </c>
      <c r="F36" s="1415"/>
      <c r="G36" s="1413" t="e">
        <f>T36</f>
        <v>#DIV/0!</v>
      </c>
      <c r="H36" s="1414"/>
      <c r="I36" s="1415" t="e">
        <f>V36</f>
        <v>#DIV/0!</v>
      </c>
      <c r="J36" s="1414"/>
      <c r="K36" s="783"/>
      <c r="L36" s="1143"/>
      <c r="M36" s="1144"/>
      <c r="N36" s="1131"/>
      <c r="O36" s="1144"/>
      <c r="P36" s="3254" t="str">
        <f>A36</f>
        <v>比较价值（元/平方米）</v>
      </c>
      <c r="Q36" s="3254"/>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8"/>
      <c r="Y36" s="758"/>
      <c r="Z36" s="758"/>
      <c r="AA36" s="758"/>
      <c r="AB36" s="758"/>
      <c r="AC36" s="758"/>
    </row>
    <row r="37" spans="1:29" ht="15.75" thickBot="1">
      <c r="A37" s="492" t="s">
        <v>2665</v>
      </c>
      <c r="B37" s="493"/>
      <c r="C37" s="1417" t="e">
        <f>R37</f>
        <v>#DIV/0!</v>
      </c>
      <c r="D37" s="1417"/>
      <c r="E37" s="1417"/>
      <c r="F37" s="1417"/>
      <c r="G37" s="1417"/>
      <c r="H37" s="1417"/>
      <c r="I37" s="1417"/>
      <c r="J37" s="1417"/>
      <c r="K37" s="784"/>
      <c r="L37" s="1143"/>
      <c r="M37" s="1144"/>
      <c r="N37" s="1144"/>
      <c r="O37" s="1144"/>
      <c r="P37" s="3256" t="str">
        <f>A37</f>
        <v>估价对象XX用房的比较价值（楼面单价，元/平方米）</v>
      </c>
      <c r="Q37" s="3257"/>
      <c r="R37" s="3258" t="e">
        <f>IF(F1="售价",ROUND(AVERAGE(R36:V36),0),ROUND(AVERAGE(R36:V36),1))</f>
        <v>#DIV/0!</v>
      </c>
      <c r="S37" s="3258"/>
      <c r="T37" s="3258"/>
      <c r="U37" s="3258"/>
      <c r="V37" s="3258"/>
      <c r="W37" s="3258"/>
      <c r="X37" s="758"/>
      <c r="Y37" s="758"/>
      <c r="Z37" s="758"/>
      <c r="AA37" s="758"/>
      <c r="AB37" s="758"/>
      <c r="AC37" s="758"/>
    </row>
    <row r="38" spans="1:29">
      <c r="A38" s="1144"/>
      <c r="B38" s="1144"/>
      <c r="C38" s="1144"/>
      <c r="D38" s="1144"/>
      <c r="E38" s="1144"/>
      <c r="F38" s="1144"/>
      <c r="G38" s="1147"/>
      <c r="H38" s="1144"/>
      <c r="I38" s="1144"/>
      <c r="J38" s="1144"/>
      <c r="K38" s="1107"/>
      <c r="L38" s="1108"/>
      <c r="M38" s="1144"/>
      <c r="N38" s="1144"/>
      <c r="O38" s="1144"/>
    </row>
    <row r="39" spans="1:29">
      <c r="A39" s="1144"/>
      <c r="B39" s="1144"/>
      <c r="C39" s="1144"/>
      <c r="D39" s="1144"/>
      <c r="E39" s="1144"/>
      <c r="F39" s="1144"/>
      <c r="G39" s="1144"/>
      <c r="H39" s="1144"/>
      <c r="I39" s="1144"/>
      <c r="J39" s="1144"/>
      <c r="K39" s="1107"/>
      <c r="L39" s="1108"/>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7"/>
      <c r="L44" s="1108"/>
      <c r="M44" s="1144"/>
      <c r="N44" s="1144"/>
      <c r="O44" s="1144"/>
    </row>
    <row r="45" spans="1:29" ht="21.75" thickBot="1">
      <c r="A45" s="762" t="s">
        <v>2669</v>
      </c>
      <c r="B45" s="758"/>
      <c r="C45" s="763"/>
      <c r="D45" s="763"/>
      <c r="E45" s="763"/>
      <c r="F45" s="764"/>
      <c r="G45" s="764"/>
      <c r="H45" s="763"/>
      <c r="I45" s="763"/>
      <c r="J45" s="763"/>
      <c r="K45" s="765"/>
      <c r="L45" s="766"/>
      <c r="M45" s="763"/>
      <c r="N45" s="763"/>
      <c r="O45" s="763"/>
      <c r="P45" s="503"/>
      <c r="Q45" s="504"/>
    </row>
    <row r="46" spans="1:29" s="508" customFormat="1" ht="15">
      <c r="A46" s="505" t="s">
        <v>2543</v>
      </c>
      <c r="B46" s="506"/>
      <c r="C46" s="1574" t="str">
        <f>YEAR(C7)&amp;"-"&amp;MONTH(C7)</f>
        <v>2018-6</v>
      </c>
      <c r="D46" s="1575">
        <f>EDATE(C46,-1)</f>
        <v>43221</v>
      </c>
      <c r="E46" s="1575">
        <f t="shared" ref="E46:O46" si="16">EDATE(D46,-1)</f>
        <v>43191</v>
      </c>
      <c r="F46" s="1575">
        <f t="shared" si="16"/>
        <v>43160</v>
      </c>
      <c r="G46" s="1575">
        <f t="shared" si="16"/>
        <v>43132</v>
      </c>
      <c r="H46" s="1575">
        <f t="shared" si="16"/>
        <v>43101</v>
      </c>
      <c r="I46" s="1575">
        <f t="shared" si="16"/>
        <v>43070</v>
      </c>
      <c r="J46" s="1575">
        <f t="shared" si="16"/>
        <v>43040</v>
      </c>
      <c r="K46" s="1575">
        <f t="shared" si="16"/>
        <v>43009</v>
      </c>
      <c r="L46" s="1575">
        <f t="shared" si="16"/>
        <v>42979</v>
      </c>
      <c r="M46" s="1575">
        <f t="shared" si="16"/>
        <v>42948</v>
      </c>
      <c r="N46" s="1575">
        <f t="shared" si="16"/>
        <v>42917</v>
      </c>
      <c r="O46" s="1575">
        <f t="shared" si="16"/>
        <v>42887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8">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59">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59" t="s">
        <v>2670</v>
      </c>
      <c r="D65" s="659" t="s">
        <v>2671</v>
      </c>
      <c r="E65" s="659" t="s">
        <v>2672</v>
      </c>
      <c r="F65" s="659" t="s">
        <v>2673</v>
      </c>
      <c r="G65" s="659"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59"/>
      <c r="J80" s="659"/>
      <c r="K80" s="667"/>
      <c r="L80" s="668"/>
      <c r="M80" s="669"/>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5">
        <f>B34</f>
        <v>111</v>
      </c>
      <c r="C95" s="549"/>
      <c r="D95" s="549"/>
      <c r="E95" s="549"/>
      <c r="F95" s="549"/>
      <c r="G95" s="554"/>
      <c r="H95" s="555"/>
      <c r="I95" s="555"/>
      <c r="J95" s="555"/>
      <c r="K95" s="555"/>
      <c r="L95" s="556"/>
      <c r="M95" s="557"/>
      <c r="N95" s="1153"/>
      <c r="O95" s="1153"/>
      <c r="P95" s="636"/>
      <c r="Q95" s="637"/>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2322</v>
      </c>
      <c r="B2" s="670" t="e">
        <f>F66</f>
        <v>#DIV/0!</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1" t="s">
        <v>2640</v>
      </c>
      <c r="B4" s="402"/>
      <c r="C4" s="3232" t="s">
        <v>2641</v>
      </c>
      <c r="D4" s="3233"/>
      <c r="E4" s="3234" t="s">
        <v>2642</v>
      </c>
      <c r="F4" s="3235"/>
      <c r="G4" s="3232" t="s">
        <v>2643</v>
      </c>
      <c r="H4" s="3233"/>
      <c r="I4" s="3232" t="s">
        <v>2644</v>
      </c>
      <c r="J4" s="3233"/>
      <c r="K4" s="610" t="s">
        <v>2645</v>
      </c>
      <c r="L4" s="1130"/>
      <c r="M4" s="1131"/>
      <c r="N4" s="1131"/>
      <c r="O4" s="1131"/>
      <c r="P4" s="3236" t="s">
        <v>2646</v>
      </c>
      <c r="Q4" s="3237"/>
      <c r="R4" s="3219" t="s">
        <v>2642</v>
      </c>
      <c r="S4" s="3220"/>
      <c r="T4" s="3219" t="s">
        <v>2643</v>
      </c>
      <c r="U4" s="3220"/>
      <c r="V4" s="3216" t="s">
        <v>2644</v>
      </c>
      <c r="W4" s="3216"/>
      <c r="X4" s="1811"/>
      <c r="Y4" s="3219" t="s">
        <v>2646</v>
      </c>
      <c r="Z4" s="3220"/>
      <c r="AA4" s="3213" t="s">
        <v>2642</v>
      </c>
      <c r="AB4" s="3214" t="s">
        <v>2643</v>
      </c>
      <c r="AC4" s="3213" t="s">
        <v>2644</v>
      </c>
    </row>
    <row r="5" spans="1:30" ht="15">
      <c r="A5" s="404"/>
      <c r="B5" s="405"/>
      <c r="C5" s="3287" t="s">
        <v>2537</v>
      </c>
      <c r="D5" s="3226"/>
      <c r="E5" s="3286" t="s">
        <v>2538</v>
      </c>
      <c r="F5" s="3224"/>
      <c r="G5" s="3287" t="s">
        <v>2539</v>
      </c>
      <c r="H5" s="3226"/>
      <c r="I5" s="3287" t="s">
        <v>2540</v>
      </c>
      <c r="J5" s="3226"/>
      <c r="K5" s="610"/>
      <c r="L5" s="1130"/>
      <c r="M5" s="1131"/>
      <c r="N5" s="1131"/>
      <c r="O5" s="1131"/>
      <c r="P5" s="3238"/>
      <c r="Q5" s="3239"/>
      <c r="R5" s="3221"/>
      <c r="S5" s="3222"/>
      <c r="T5" s="3221"/>
      <c r="U5" s="3222"/>
      <c r="V5" s="3216"/>
      <c r="W5" s="3216"/>
      <c r="X5" s="1811"/>
      <c r="Y5" s="3221"/>
      <c r="Z5" s="3222"/>
      <c r="AA5" s="3214"/>
      <c r="AB5" s="3214"/>
      <c r="AC5" s="3214"/>
    </row>
    <row r="6" spans="1:30" ht="15.75" thickBot="1">
      <c r="A6" s="406"/>
      <c r="B6" s="407"/>
      <c r="C6" s="3288" t="s">
        <v>2541</v>
      </c>
      <c r="D6" s="3228"/>
      <c r="E6" s="3289" t="s">
        <v>2541</v>
      </c>
      <c r="F6" s="3230"/>
      <c r="G6" s="3288" t="s">
        <v>2541</v>
      </c>
      <c r="H6" s="3228"/>
      <c r="I6" s="3288" t="s">
        <v>2541</v>
      </c>
      <c r="J6" s="3228"/>
      <c r="K6" s="610" t="s">
        <v>2542</v>
      </c>
      <c r="L6" s="1130"/>
      <c r="M6" s="1131"/>
      <c r="N6" s="1131"/>
      <c r="O6" s="1131"/>
      <c r="P6" s="3240"/>
      <c r="Q6" s="3241"/>
      <c r="R6" s="3221"/>
      <c r="S6" s="3222"/>
      <c r="T6" s="3242"/>
      <c r="U6" s="3243"/>
      <c r="V6" s="3216"/>
      <c r="W6" s="3216"/>
      <c r="X6" s="1811"/>
      <c r="Y6" s="3242"/>
      <c r="Z6" s="3243"/>
      <c r="AA6" s="3215"/>
      <c r="AB6" s="3215"/>
      <c r="AC6" s="3215"/>
    </row>
    <row r="7" spans="1:30" s="117" customFormat="1" ht="15.75" thickBot="1">
      <c r="A7" s="408" t="s">
        <v>2543</v>
      </c>
      <c r="B7" s="409"/>
      <c r="C7" s="410">
        <f>'数据-取费表'!B2</f>
        <v>43279</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2"/>
      <c r="M7" s="1133"/>
      <c r="N7" s="1133"/>
      <c r="O7" s="1133"/>
      <c r="P7" s="3217" t="s">
        <v>2544</v>
      </c>
      <c r="Q7" s="3244"/>
      <c r="R7" s="769" t="s">
        <v>17</v>
      </c>
      <c r="S7" s="770">
        <f t="shared" ref="S7:S15" si="0">F7</f>
        <v>0</v>
      </c>
      <c r="T7" s="769" t="s">
        <v>17</v>
      </c>
      <c r="U7" s="770">
        <f t="shared" ref="U7:U15" si="1">H7</f>
        <v>0</v>
      </c>
      <c r="V7" s="769" t="s">
        <v>17</v>
      </c>
      <c r="W7" s="770">
        <f t="shared" ref="W7:W15" si="2">J7</f>
        <v>0</v>
      </c>
      <c r="X7" s="771"/>
      <c r="Y7" s="3217" t="s">
        <v>2544</v>
      </c>
      <c r="Z7" s="3218"/>
      <c r="AA7" s="772" t="e">
        <f>D7/F7</f>
        <v>#DIV/0!</v>
      </c>
      <c r="AB7" s="772" t="e">
        <f>D7/H7</f>
        <v>#DIV/0!</v>
      </c>
      <c r="AC7" s="772"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7" t="s">
        <v>2547</v>
      </c>
      <c r="Q8" s="3218"/>
      <c r="R8" s="769" t="s">
        <v>17</v>
      </c>
      <c r="S8" s="770">
        <f t="shared" si="0"/>
        <v>0</v>
      </c>
      <c r="T8" s="769" t="s">
        <v>17</v>
      </c>
      <c r="U8" s="770">
        <f t="shared" si="1"/>
        <v>0</v>
      </c>
      <c r="V8" s="769" t="s">
        <v>17</v>
      </c>
      <c r="W8" s="770">
        <f t="shared" si="2"/>
        <v>0</v>
      </c>
      <c r="X8" s="771"/>
      <c r="Y8" s="3217" t="s">
        <v>2547</v>
      </c>
      <c r="Z8" s="3218"/>
      <c r="AA8" s="772" t="e">
        <f t="shared" ref="AA8:AA45" si="3">D8/F8</f>
        <v>#DIV/0!</v>
      </c>
      <c r="AB8" s="772" t="e">
        <f t="shared" ref="AB8:AB45" si="4">D8/H8</f>
        <v>#DIV/0!</v>
      </c>
      <c r="AC8" s="772" t="e">
        <f t="shared" ref="AC8:AC45" si="5">D8/J8</f>
        <v>#DIV/0!</v>
      </c>
    </row>
    <row r="9" spans="1:30" s="117" customFormat="1">
      <c r="A9" s="415" t="s">
        <v>2548</v>
      </c>
      <c r="B9" s="71" t="s">
        <v>2549</v>
      </c>
      <c r="C9" s="2695"/>
      <c r="D9" s="135">
        <v>100</v>
      </c>
      <c r="E9" s="2695"/>
      <c r="F9" s="135">
        <f>SUMIF(75:75,E9,76:76)-SUMIF(75:75,C9,76:76)+100</f>
        <v>100</v>
      </c>
      <c r="G9" s="2695"/>
      <c r="H9" s="135">
        <f>SUMIF(75:75,G9,76:76)-SUMIF(75:75,C9,76:76)+100</f>
        <v>100</v>
      </c>
      <c r="I9" s="2695"/>
      <c r="J9" s="135">
        <f>SUMIF(75:75,I9,76:76)-SUMIF(75:75,C9,76:76)+100</f>
        <v>100</v>
      </c>
      <c r="K9" s="611"/>
      <c r="L9" s="1132"/>
      <c r="M9" s="1133"/>
      <c r="N9" s="1133"/>
      <c r="O9" s="1134"/>
      <c r="P9" s="3254" t="s">
        <v>2550</v>
      </c>
      <c r="Q9" s="1793" t="str">
        <f t="shared" ref="Q9:Q15" si="6">B9</f>
        <v>用途</v>
      </c>
      <c r="R9" s="769" t="s">
        <v>17</v>
      </c>
      <c r="S9" s="770">
        <f t="shared" si="0"/>
        <v>100</v>
      </c>
      <c r="T9" s="769" t="s">
        <v>17</v>
      </c>
      <c r="U9" s="770">
        <f t="shared" si="1"/>
        <v>100</v>
      </c>
      <c r="V9" s="769" t="s">
        <v>17</v>
      </c>
      <c r="W9" s="770">
        <f t="shared" si="2"/>
        <v>100</v>
      </c>
      <c r="X9" s="771"/>
      <c r="Y9" s="3090" t="s">
        <v>2551</v>
      </c>
      <c r="Z9" s="55" t="str">
        <f t="shared" ref="Z9:Z15" si="7">Q9</f>
        <v>用途</v>
      </c>
      <c r="AA9" s="772">
        <f t="shared" si="3"/>
        <v>1</v>
      </c>
      <c r="AB9" s="772">
        <f t="shared" si="4"/>
        <v>1</v>
      </c>
      <c r="AC9" s="772">
        <f t="shared" si="5"/>
        <v>1</v>
      </c>
    </row>
    <row r="10" spans="1:30" s="427" customFormat="1" ht="27">
      <c r="A10" s="421"/>
      <c r="B10" s="422" t="s">
        <v>2552</v>
      </c>
      <c r="C10" s="432"/>
      <c r="D10" s="136">
        <v>100</v>
      </c>
      <c r="E10" s="465"/>
      <c r="F10" s="136">
        <f>ROUND(100/'数据-取费表'!G16,0)</f>
        <v>105</v>
      </c>
      <c r="G10" s="463"/>
      <c r="H10" s="136">
        <f>ROUND(100/'数据-取费表'!G16,0)</f>
        <v>105</v>
      </c>
      <c r="I10" s="463"/>
      <c r="J10" s="136">
        <f>ROUND(100/'数据-取费表'!G16,0)</f>
        <v>105</v>
      </c>
      <c r="K10" s="671"/>
      <c r="L10" s="1135"/>
      <c r="M10" s="1136"/>
      <c r="N10" s="1136"/>
      <c r="O10" s="1137"/>
      <c r="P10" s="3254"/>
      <c r="Q10" s="1793" t="str">
        <f t="shared" si="6"/>
        <v>土地使用年限（年）</v>
      </c>
      <c r="R10" s="769" t="s">
        <v>17</v>
      </c>
      <c r="S10" s="770">
        <f t="shared" si="0"/>
        <v>105</v>
      </c>
      <c r="T10" s="769" t="s">
        <v>17</v>
      </c>
      <c r="U10" s="770">
        <f t="shared" si="1"/>
        <v>105</v>
      </c>
      <c r="V10" s="769" t="s">
        <v>17</v>
      </c>
      <c r="W10" s="770">
        <f t="shared" si="2"/>
        <v>105</v>
      </c>
      <c r="X10" s="771"/>
      <c r="Y10" s="3090"/>
      <c r="Z10" s="55" t="str">
        <f t="shared" si="7"/>
        <v>土地使用年限（年）</v>
      </c>
      <c r="AA10" s="772">
        <f t="shared" si="3"/>
        <v>0.95238095238095233</v>
      </c>
      <c r="AB10" s="772">
        <f t="shared" si="4"/>
        <v>0.95238095238095233</v>
      </c>
      <c r="AC10" s="772">
        <f t="shared" si="5"/>
        <v>0.95238095238095233</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8"/>
      <c r="M11" s="1131"/>
      <c r="N11" s="1131"/>
      <c r="O11" s="1139"/>
      <c r="P11" s="3254"/>
      <c r="Q11" s="1793" t="str">
        <f t="shared" si="6"/>
        <v>容积率</v>
      </c>
      <c r="R11" s="769" t="s">
        <v>17</v>
      </c>
      <c r="S11" s="770" t="e">
        <f t="shared" si="0"/>
        <v>#N/A</v>
      </c>
      <c r="T11" s="769" t="s">
        <v>17</v>
      </c>
      <c r="U11" s="770" t="e">
        <f t="shared" si="1"/>
        <v>#N/A</v>
      </c>
      <c r="V11" s="769" t="s">
        <v>17</v>
      </c>
      <c r="W11" s="770" t="e">
        <f t="shared" si="2"/>
        <v>#N/A</v>
      </c>
      <c r="X11" s="771"/>
      <c r="Y11" s="3090"/>
      <c r="Z11" s="55" t="str">
        <f t="shared" si="7"/>
        <v>容积率</v>
      </c>
      <c r="AA11" s="772" t="e">
        <f t="shared" si="3"/>
        <v>#N/A</v>
      </c>
      <c r="AB11" s="772" t="e">
        <f t="shared" si="4"/>
        <v>#N/A</v>
      </c>
      <c r="AC11" s="772" t="e">
        <f t="shared" si="5"/>
        <v>#N/A</v>
      </c>
    </row>
    <row r="12" spans="1:30" s="117" customFormat="1" ht="15">
      <c r="A12" s="431"/>
      <c r="B12" s="2596" t="s">
        <v>2742</v>
      </c>
      <c r="C12" s="432"/>
      <c r="D12" s="433">
        <v>100</v>
      </c>
      <c r="E12" s="465"/>
      <c r="F12" s="136">
        <f>SUMIF(82:82,E12,83:83)-SUMIF(82:82,C12,83:83)+100</f>
        <v>100</v>
      </c>
      <c r="G12" s="463"/>
      <c r="H12" s="136">
        <f>SUMIF(82:82,G12,83:83)-SUMIF(82:82,C12,83:83)+100</f>
        <v>100</v>
      </c>
      <c r="I12" s="465"/>
      <c r="J12" s="136">
        <f>SUMIF(82:82,I12,83:83)-SUMIF(82:82,C12,83:83)+100</f>
        <v>100</v>
      </c>
      <c r="K12" s="671"/>
      <c r="L12" s="1132"/>
      <c r="M12" s="1133"/>
      <c r="N12" s="1133"/>
      <c r="O12" s="1134"/>
      <c r="P12" s="3254"/>
      <c r="Q12" s="1793" t="str">
        <f t="shared" si="6"/>
        <v>配建</v>
      </c>
      <c r="R12" s="769" t="s">
        <v>17</v>
      </c>
      <c r="S12" s="770">
        <f t="shared" si="0"/>
        <v>100</v>
      </c>
      <c r="T12" s="769" t="s">
        <v>17</v>
      </c>
      <c r="U12" s="770">
        <f t="shared" si="1"/>
        <v>100</v>
      </c>
      <c r="V12" s="769" t="s">
        <v>17</v>
      </c>
      <c r="W12" s="770">
        <f t="shared" si="2"/>
        <v>100</v>
      </c>
      <c r="X12" s="771"/>
      <c r="Y12" s="3090"/>
      <c r="Z12" s="55" t="str">
        <f t="shared" si="7"/>
        <v>配建</v>
      </c>
      <c r="AA12" s="772">
        <f>D12/F12</f>
        <v>1</v>
      </c>
      <c r="AB12" s="772">
        <f>D12/H12</f>
        <v>1</v>
      </c>
      <c r="AC12" s="772">
        <f>D12/J12</f>
        <v>1</v>
      </c>
    </row>
    <row r="13" spans="1:30" ht="15">
      <c r="A13" s="428"/>
      <c r="B13" s="2596">
        <v>111</v>
      </c>
      <c r="C13" s="434"/>
      <c r="D13" s="435">
        <v>100</v>
      </c>
      <c r="E13" s="549"/>
      <c r="F13" s="136">
        <f>SUMIF(84:84,E13,85:85)-SUMIF(84:84,C13,85:85)+100</f>
        <v>100</v>
      </c>
      <c r="G13" s="673"/>
      <c r="H13" s="435">
        <f>SUMIF(84:84,G13,85:85)-SUMIF(84:84,C13,85:85)+100</f>
        <v>100</v>
      </c>
      <c r="I13" s="673"/>
      <c r="J13" s="435">
        <f>SUMIF(84:84,I13,85:85)-SUMIF(84:84,C13,85:85)+100</f>
        <v>100</v>
      </c>
      <c r="K13" s="671"/>
      <c r="L13" s="1140"/>
      <c r="M13" s="1131"/>
      <c r="N13" s="1131"/>
      <c r="O13" s="1139"/>
      <c r="P13" s="3254"/>
      <c r="Q13" s="1793">
        <f t="shared" si="6"/>
        <v>111</v>
      </c>
      <c r="R13" s="769" t="s">
        <v>17</v>
      </c>
      <c r="S13" s="770">
        <f t="shared" si="0"/>
        <v>100</v>
      </c>
      <c r="T13" s="769" t="s">
        <v>17</v>
      </c>
      <c r="U13" s="770">
        <f t="shared" si="1"/>
        <v>100</v>
      </c>
      <c r="V13" s="769" t="s">
        <v>17</v>
      </c>
      <c r="W13" s="770">
        <f t="shared" si="2"/>
        <v>100</v>
      </c>
      <c r="X13" s="771"/>
      <c r="Y13" s="3090"/>
      <c r="Z13" s="55">
        <f t="shared" si="7"/>
        <v>111</v>
      </c>
      <c r="AA13" s="772">
        <f>D13/F13</f>
        <v>1</v>
      </c>
      <c r="AB13" s="772">
        <f>D13/H13</f>
        <v>1</v>
      </c>
      <c r="AC13" s="772">
        <f>D13/J13</f>
        <v>1</v>
      </c>
    </row>
    <row r="14" spans="1:30" ht="15.75" thickBot="1">
      <c r="A14" s="436"/>
      <c r="B14" s="2598">
        <v>111</v>
      </c>
      <c r="C14" s="437"/>
      <c r="D14" s="438">
        <v>100</v>
      </c>
      <c r="E14" s="549"/>
      <c r="F14" s="438">
        <f>SUMIF(86:86,E14,87:87)-SUMIF(86:86,C14,87:87)+100</f>
        <v>100</v>
      </c>
      <c r="G14" s="673"/>
      <c r="H14" s="438">
        <f>SUMIF(86:86,G14,87:87)-SUMIF(86:86,C14,87:87)+100</f>
        <v>100</v>
      </c>
      <c r="I14" s="673"/>
      <c r="J14" s="438">
        <f>SUMIF(86:86,I14,87:87)-SUMIF(86:86,C14,87:87)+100</f>
        <v>100</v>
      </c>
      <c r="K14" s="671"/>
      <c r="L14" s="1140"/>
      <c r="M14" s="1131"/>
      <c r="N14" s="1131"/>
      <c r="O14" s="1139"/>
      <c r="P14" s="3254"/>
      <c r="Q14" s="1793">
        <f t="shared" si="6"/>
        <v>111</v>
      </c>
      <c r="R14" s="769" t="s">
        <v>17</v>
      </c>
      <c r="S14" s="770">
        <f t="shared" si="0"/>
        <v>100</v>
      </c>
      <c r="T14" s="769" t="s">
        <v>17</v>
      </c>
      <c r="U14" s="770">
        <f t="shared" si="1"/>
        <v>100</v>
      </c>
      <c r="V14" s="769" t="s">
        <v>17</v>
      </c>
      <c r="W14" s="770">
        <f t="shared" si="2"/>
        <v>100</v>
      </c>
      <c r="X14" s="771"/>
      <c r="Y14" s="3090"/>
      <c r="Z14" s="55">
        <f t="shared" si="7"/>
        <v>111</v>
      </c>
      <c r="AA14" s="772">
        <f>D14/F14</f>
        <v>1</v>
      </c>
      <c r="AB14" s="772">
        <f>D14/H14</f>
        <v>1</v>
      </c>
      <c r="AC14" s="772">
        <f>D14/J14</f>
        <v>1</v>
      </c>
    </row>
    <row r="15" spans="1:30" ht="99.75">
      <c r="A15" s="440" t="s">
        <v>2554</v>
      </c>
      <c r="B15" s="69" t="s">
        <v>2084</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0"/>
      <c r="M15" s="1131"/>
      <c r="N15" s="1131"/>
      <c r="O15" s="1139"/>
      <c r="P15" s="3247" t="s">
        <v>2555</v>
      </c>
      <c r="Q15" s="1808" t="str">
        <f t="shared" si="6"/>
        <v>居住社区成熟度</v>
      </c>
      <c r="R15" s="773" t="s">
        <v>17</v>
      </c>
      <c r="S15" s="774">
        <f t="shared" si="0"/>
        <v>100</v>
      </c>
      <c r="T15" s="773" t="s">
        <v>17</v>
      </c>
      <c r="U15" s="774">
        <f t="shared" si="1"/>
        <v>100</v>
      </c>
      <c r="V15" s="773" t="s">
        <v>17</v>
      </c>
      <c r="W15" s="774">
        <f t="shared" si="2"/>
        <v>100</v>
      </c>
      <c r="X15" s="1811"/>
      <c r="Y15" s="3247" t="s">
        <v>2555</v>
      </c>
      <c r="Z15" s="1812" t="str">
        <f t="shared" si="7"/>
        <v>居住社区成熟度</v>
      </c>
      <c r="AA15" s="1809">
        <f t="shared" si="3"/>
        <v>1</v>
      </c>
      <c r="AB15" s="1809">
        <f t="shared" si="4"/>
        <v>1</v>
      </c>
      <c r="AC15" s="1809">
        <f t="shared" si="5"/>
        <v>1</v>
      </c>
    </row>
    <row r="16" spans="1:30" ht="15">
      <c r="A16" s="428"/>
      <c r="B16" s="446"/>
      <c r="C16" s="447"/>
      <c r="D16" s="448"/>
      <c r="E16" s="2601"/>
      <c r="F16" s="448"/>
      <c r="G16" s="2601"/>
      <c r="H16" s="450"/>
      <c r="I16" s="2600"/>
      <c r="J16" s="448"/>
      <c r="K16" s="671"/>
      <c r="L16" s="1140"/>
      <c r="M16" s="1131"/>
      <c r="N16" s="1131"/>
      <c r="O16" s="1139"/>
      <c r="P16" s="3248"/>
      <c r="Q16" s="1808"/>
      <c r="R16" s="773"/>
      <c r="S16" s="774"/>
      <c r="T16" s="773"/>
      <c r="U16" s="774"/>
      <c r="V16" s="773"/>
      <c r="W16" s="774"/>
      <c r="X16" s="1811"/>
      <c r="Y16" s="3248"/>
      <c r="Z16" s="1812"/>
      <c r="AA16" s="1809">
        <v>1</v>
      </c>
      <c r="AB16" s="1809">
        <v>1</v>
      </c>
      <c r="AC16" s="1809">
        <v>1</v>
      </c>
    </row>
    <row r="17" spans="1:29" ht="71.25">
      <c r="A17" s="428"/>
      <c r="B17" s="451" t="s">
        <v>2648</v>
      </c>
      <c r="C17" s="2660" t="str">
        <f>估价对象房地状况!C16</f>
        <v>估价对象位于江东新城，周边商业氛围一般，人流量一般，商业繁华度一般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2"/>
      <c r="L17" s="1140"/>
      <c r="M17" s="1131"/>
      <c r="N17" s="1131"/>
      <c r="O17" s="1139"/>
      <c r="P17" s="3248"/>
      <c r="Q17" s="1808" t="str">
        <f>B17</f>
        <v>商业繁华度</v>
      </c>
      <c r="R17" s="773" t="s">
        <v>17</v>
      </c>
      <c r="S17" s="774">
        <f>F17</f>
        <v>100</v>
      </c>
      <c r="T17" s="773" t="s">
        <v>17</v>
      </c>
      <c r="U17" s="774">
        <f>H17</f>
        <v>100</v>
      </c>
      <c r="V17" s="773" t="s">
        <v>17</v>
      </c>
      <c r="W17" s="774">
        <f>J17</f>
        <v>100</v>
      </c>
      <c r="X17" s="1811"/>
      <c r="Y17" s="3248"/>
      <c r="Z17" s="1812" t="str">
        <f>Q17</f>
        <v>商业繁华度</v>
      </c>
      <c r="AA17" s="1809">
        <f t="shared" si="3"/>
        <v>1</v>
      </c>
      <c r="AB17" s="1809">
        <f t="shared" si="4"/>
        <v>1</v>
      </c>
      <c r="AC17" s="1809">
        <f t="shared" si="5"/>
        <v>1</v>
      </c>
    </row>
    <row r="18" spans="1:29" ht="15">
      <c r="A18" s="428"/>
      <c r="B18" s="456"/>
      <c r="C18" s="2604"/>
      <c r="D18" s="450"/>
      <c r="E18" s="2606"/>
      <c r="F18" s="450"/>
      <c r="G18" s="2606"/>
      <c r="H18" s="448"/>
      <c r="I18" s="2605"/>
      <c r="J18" s="448"/>
      <c r="K18" s="671"/>
      <c r="L18" s="1140"/>
      <c r="M18" s="1131"/>
      <c r="N18" s="1131"/>
      <c r="O18" s="1139"/>
      <c r="P18" s="3248"/>
      <c r="Q18" s="1808"/>
      <c r="R18" s="773"/>
      <c r="S18" s="774"/>
      <c r="T18" s="773"/>
      <c r="U18" s="774"/>
      <c r="V18" s="773"/>
      <c r="W18" s="774"/>
      <c r="X18" s="1811"/>
      <c r="Y18" s="3248"/>
      <c r="Z18" s="1812"/>
      <c r="AA18" s="1809">
        <v>1</v>
      </c>
      <c r="AB18" s="1809">
        <v>1</v>
      </c>
      <c r="AC18" s="1809">
        <v>1</v>
      </c>
    </row>
    <row r="19" spans="1:29" ht="71.25">
      <c r="A19" s="428"/>
      <c r="B19" s="451" t="s">
        <v>2682</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0"/>
      <c r="M19" s="1131"/>
      <c r="N19" s="1131"/>
      <c r="O19" s="1139"/>
      <c r="P19" s="3248"/>
      <c r="Q19" s="1808" t="str">
        <f>B19</f>
        <v>办公集聚程度</v>
      </c>
      <c r="R19" s="773" t="s">
        <v>17</v>
      </c>
      <c r="S19" s="774">
        <f>F19</f>
        <v>100</v>
      </c>
      <c r="T19" s="773" t="s">
        <v>17</v>
      </c>
      <c r="U19" s="774">
        <f>H19</f>
        <v>100</v>
      </c>
      <c r="V19" s="773" t="s">
        <v>17</v>
      </c>
      <c r="W19" s="774">
        <f>J19</f>
        <v>100</v>
      </c>
      <c r="X19" s="1811"/>
      <c r="Y19" s="3248"/>
      <c r="Z19" s="1812" t="str">
        <f>Q19</f>
        <v>办公集聚程度</v>
      </c>
      <c r="AA19" s="1809">
        <f t="shared" si="3"/>
        <v>1</v>
      </c>
      <c r="AB19" s="1809">
        <f t="shared" si="4"/>
        <v>1</v>
      </c>
      <c r="AC19" s="1809">
        <f t="shared" si="5"/>
        <v>1</v>
      </c>
    </row>
    <row r="20" spans="1:29" ht="15">
      <c r="A20" s="428"/>
      <c r="B20" s="456"/>
      <c r="C20" s="447"/>
      <c r="D20" s="448"/>
      <c r="E20" s="2601"/>
      <c r="F20" s="448"/>
      <c r="G20" s="2601"/>
      <c r="H20" s="448"/>
      <c r="I20" s="2600"/>
      <c r="J20" s="448"/>
      <c r="K20" s="671"/>
      <c r="L20" s="1140"/>
      <c r="M20" s="1131"/>
      <c r="N20" s="1131"/>
      <c r="O20" s="1139"/>
      <c r="P20" s="3248"/>
      <c r="Q20" s="1808"/>
      <c r="R20" s="773"/>
      <c r="S20" s="774"/>
      <c r="T20" s="773"/>
      <c r="U20" s="774"/>
      <c r="V20" s="773"/>
      <c r="W20" s="774"/>
      <c r="X20" s="1811"/>
      <c r="Y20" s="3248"/>
      <c r="Z20" s="1812"/>
      <c r="AA20" s="1809">
        <v>1</v>
      </c>
      <c r="AB20" s="1809">
        <v>1</v>
      </c>
      <c r="AC20" s="1809">
        <v>1</v>
      </c>
    </row>
    <row r="21" spans="1:29" ht="99.75">
      <c r="A21" s="428"/>
      <c r="B21" s="451" t="s">
        <v>2704</v>
      </c>
      <c r="C21" s="2603" t="str">
        <f>估价对象房地状况!C18</f>
        <v>估价对象周边道路状况较好、公共交通通达情况较好、停车便捷程度较好，综合评价交通便捷度较好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0"/>
      <c r="M21" s="1131"/>
      <c r="N21" s="1131"/>
      <c r="O21" s="1139"/>
      <c r="P21" s="3248"/>
      <c r="Q21" s="1808" t="str">
        <f>B21</f>
        <v>交通便捷度</v>
      </c>
      <c r="R21" s="773" t="s">
        <v>17</v>
      </c>
      <c r="S21" s="774">
        <f>F21</f>
        <v>100</v>
      </c>
      <c r="T21" s="773" t="s">
        <v>17</v>
      </c>
      <c r="U21" s="774">
        <f>H21</f>
        <v>100</v>
      </c>
      <c r="V21" s="773" t="s">
        <v>17</v>
      </c>
      <c r="W21" s="774">
        <f>J21</f>
        <v>100</v>
      </c>
      <c r="X21" s="1811"/>
      <c r="Y21" s="3248"/>
      <c r="Z21" s="1812" t="str">
        <f>Q21</f>
        <v>交通便捷度</v>
      </c>
      <c r="AA21" s="1809">
        <f t="shared" si="3"/>
        <v>1</v>
      </c>
      <c r="AB21" s="1809">
        <f t="shared" si="4"/>
        <v>1</v>
      </c>
      <c r="AC21" s="1809">
        <f t="shared" si="5"/>
        <v>1</v>
      </c>
    </row>
    <row r="22" spans="1:29" ht="15">
      <c r="A22" s="428"/>
      <c r="B22" s="1384"/>
      <c r="C22" s="447"/>
      <c r="D22" s="450"/>
      <c r="E22" s="2601"/>
      <c r="F22" s="448"/>
      <c r="G22" s="2601"/>
      <c r="H22" s="448"/>
      <c r="I22" s="2600"/>
      <c r="J22" s="448"/>
      <c r="K22" s="671"/>
      <c r="L22" s="1140"/>
      <c r="M22" s="1131"/>
      <c r="N22" s="1131"/>
      <c r="O22" s="1139"/>
      <c r="P22" s="3248"/>
      <c r="Q22" s="1808"/>
      <c r="R22" s="773"/>
      <c r="S22" s="774"/>
      <c r="T22" s="773"/>
      <c r="U22" s="774"/>
      <c r="V22" s="773"/>
      <c r="W22" s="774"/>
      <c r="X22" s="1811"/>
      <c r="Y22" s="3248"/>
      <c r="Z22" s="1812"/>
      <c r="AA22" s="1809">
        <v>1</v>
      </c>
      <c r="AB22" s="1809">
        <v>1</v>
      </c>
      <c r="AC22" s="1809">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0"/>
      <c r="M23" s="1131"/>
      <c r="N23" s="1131"/>
      <c r="O23" s="1139"/>
      <c r="P23" s="3248"/>
      <c r="Q23" s="1808" t="str">
        <f t="shared" ref="Q23:Q37" si="8">B23</f>
        <v>区域土地利用方向</v>
      </c>
      <c r="R23" s="773" t="s">
        <v>17</v>
      </c>
      <c r="S23" s="774">
        <f>F23</f>
        <v>100</v>
      </c>
      <c r="T23" s="773" t="s">
        <v>17</v>
      </c>
      <c r="U23" s="774">
        <f>H23</f>
        <v>100</v>
      </c>
      <c r="V23" s="773" t="s">
        <v>17</v>
      </c>
      <c r="W23" s="774">
        <f>J23</f>
        <v>100</v>
      </c>
      <c r="X23" s="1811"/>
      <c r="Y23" s="3248"/>
      <c r="Z23" s="1812" t="str">
        <f>Q23</f>
        <v>区域土地利用方向</v>
      </c>
      <c r="AA23" s="1809">
        <f t="shared" si="3"/>
        <v>1</v>
      </c>
      <c r="AB23" s="1809">
        <f t="shared" si="4"/>
        <v>1</v>
      </c>
      <c r="AC23" s="1809">
        <f t="shared" si="5"/>
        <v>1</v>
      </c>
    </row>
    <row r="24" spans="1:29" ht="15">
      <c r="A24" s="404"/>
      <c r="B24" s="456"/>
      <c r="C24" s="616"/>
      <c r="D24" s="448"/>
      <c r="E24" s="2601"/>
      <c r="F24" s="448"/>
      <c r="G24" s="2600"/>
      <c r="H24" s="448"/>
      <c r="I24" s="2600"/>
      <c r="J24" s="448"/>
      <c r="K24" s="811"/>
      <c r="L24" s="1140"/>
      <c r="M24" s="1131"/>
      <c r="N24" s="1131"/>
      <c r="O24" s="1139"/>
      <c r="P24" s="3248"/>
      <c r="Q24" s="1808"/>
      <c r="R24" s="773"/>
      <c r="S24" s="774"/>
      <c r="T24" s="773"/>
      <c r="U24" s="774"/>
      <c r="V24" s="773"/>
      <c r="W24" s="774"/>
      <c r="X24" s="1811"/>
      <c r="Y24" s="3248"/>
      <c r="Z24" s="1812"/>
      <c r="AA24" s="1809"/>
      <c r="AB24" s="1809"/>
      <c r="AC24" s="1809"/>
    </row>
    <row r="25" spans="1:29" ht="71.25">
      <c r="A25" s="404"/>
      <c r="B25" s="1384" t="s">
        <v>2744</v>
      </c>
      <c r="C25" s="2660" t="str">
        <f>估价对象房地状况!C20</f>
        <v>区域：江东公园，自然环境一般：；人文环境一般；综合评价环境状况一般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0"/>
      <c r="M25" s="1131"/>
      <c r="N25" s="1131"/>
      <c r="O25" s="1139"/>
      <c r="P25" s="3248"/>
      <c r="Q25" s="1808" t="str">
        <f t="shared" si="8"/>
        <v>自然及人文环境状况</v>
      </c>
      <c r="R25" s="773" t="s">
        <v>17</v>
      </c>
      <c r="S25" s="774">
        <f>F25</f>
        <v>100</v>
      </c>
      <c r="T25" s="773" t="s">
        <v>17</v>
      </c>
      <c r="U25" s="774">
        <f>H25</f>
        <v>100</v>
      </c>
      <c r="V25" s="773" t="s">
        <v>17</v>
      </c>
      <c r="W25" s="774">
        <f>J25</f>
        <v>100</v>
      </c>
      <c r="X25" s="1811"/>
      <c r="Y25" s="3248"/>
      <c r="Z25" s="1812" t="str">
        <f>Q25</f>
        <v>自然及人文环境状况</v>
      </c>
      <c r="AA25" s="1809">
        <f t="shared" si="3"/>
        <v>1</v>
      </c>
      <c r="AB25" s="1809">
        <f t="shared" si="4"/>
        <v>1</v>
      </c>
      <c r="AC25" s="1809">
        <f t="shared" si="5"/>
        <v>1</v>
      </c>
    </row>
    <row r="26" spans="1:29" ht="15">
      <c r="A26" s="404"/>
      <c r="B26" s="456"/>
      <c r="C26" s="447"/>
      <c r="D26" s="448"/>
      <c r="E26" s="2607"/>
      <c r="F26" s="448"/>
      <c r="G26" s="2607"/>
      <c r="H26" s="448"/>
      <c r="I26" s="447"/>
      <c r="J26" s="448"/>
      <c r="K26" s="671"/>
      <c r="L26" s="1140"/>
      <c r="M26" s="1131"/>
      <c r="N26" s="1131"/>
      <c r="O26" s="1139"/>
      <c r="P26" s="3248"/>
      <c r="Q26" s="1808"/>
      <c r="R26" s="773"/>
      <c r="S26" s="774"/>
      <c r="T26" s="773"/>
      <c r="U26" s="774"/>
      <c r="V26" s="773"/>
      <c r="W26" s="774"/>
      <c r="X26" s="1811"/>
      <c r="Y26" s="3248"/>
      <c r="Z26" s="1812"/>
      <c r="AA26" s="1809">
        <v>1</v>
      </c>
      <c r="AB26" s="1809">
        <v>1</v>
      </c>
      <c r="AC26" s="1809">
        <v>1</v>
      </c>
    </row>
    <row r="27" spans="1:29" s="117" customFormat="1" ht="42.75">
      <c r="A27" s="648"/>
      <c r="B27" s="1384" t="s">
        <v>2649</v>
      </c>
      <c r="C27" s="2603"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2"/>
      <c r="M27" s="1133"/>
      <c r="N27" s="1133"/>
      <c r="O27" s="1134"/>
      <c r="P27" s="3248"/>
      <c r="Q27" s="1793" t="str">
        <f t="shared" si="8"/>
        <v>公共配套设施</v>
      </c>
      <c r="R27" s="769" t="s">
        <v>17</v>
      </c>
      <c r="S27" s="770">
        <f>F27</f>
        <v>100</v>
      </c>
      <c r="T27" s="769" t="s">
        <v>17</v>
      </c>
      <c r="U27" s="770">
        <f>H27</f>
        <v>100</v>
      </c>
      <c r="V27" s="769" t="s">
        <v>17</v>
      </c>
      <c r="W27" s="770">
        <f>J27</f>
        <v>100</v>
      </c>
      <c r="X27" s="771"/>
      <c r="Y27" s="3248"/>
      <c r="Z27" s="55" t="str">
        <f>Q27</f>
        <v>公共配套设施</v>
      </c>
      <c r="AA27" s="1809">
        <f>D27/F27</f>
        <v>1</v>
      </c>
      <c r="AB27" s="1809">
        <f>D27/H27</f>
        <v>1</v>
      </c>
      <c r="AC27" s="1809">
        <f>D27/J27</f>
        <v>1</v>
      </c>
    </row>
    <row r="28" spans="1:29" s="117" customFormat="1" ht="15">
      <c r="A28" s="648"/>
      <c r="B28" s="456"/>
      <c r="C28" s="2696"/>
      <c r="D28" s="448"/>
      <c r="E28" s="2607"/>
      <c r="F28" s="448"/>
      <c r="G28" s="2607"/>
      <c r="H28" s="448"/>
      <c r="I28" s="447"/>
      <c r="J28" s="448"/>
      <c r="K28" s="671"/>
      <c r="L28" s="1132"/>
      <c r="M28" s="1133"/>
      <c r="N28" s="1133"/>
      <c r="O28" s="1134"/>
      <c r="P28" s="3248"/>
      <c r="Q28" s="1793"/>
      <c r="R28" s="769"/>
      <c r="S28" s="770"/>
      <c r="T28" s="769"/>
      <c r="U28" s="770"/>
      <c r="V28" s="769"/>
      <c r="W28" s="770"/>
      <c r="X28" s="771"/>
      <c r="Y28" s="3248"/>
      <c r="Z28" s="55"/>
      <c r="AA28" s="1809">
        <v>1</v>
      </c>
      <c r="AB28" s="1809">
        <v>1</v>
      </c>
      <c r="AC28" s="1809">
        <v>1</v>
      </c>
    </row>
    <row r="29" spans="1:29" s="117" customFormat="1" ht="42.75">
      <c r="A29" s="648"/>
      <c r="B29" s="1384" t="s">
        <v>2650</v>
      </c>
      <c r="C29" s="2603" t="str">
        <f>估价对象房地状况!C22</f>
        <v>估价对象所在区域基础设施水平为六通</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2"/>
      <c r="M29" s="1133"/>
      <c r="N29" s="1133"/>
      <c r="O29" s="1134"/>
      <c r="P29" s="3248"/>
      <c r="Q29" s="1793" t="str">
        <f t="shared" ref="Q29" si="9">B29</f>
        <v>基础设施水平</v>
      </c>
      <c r="R29" s="769" t="s">
        <v>17</v>
      </c>
      <c r="S29" s="770">
        <f>F29</f>
        <v>100</v>
      </c>
      <c r="T29" s="769" t="s">
        <v>17</v>
      </c>
      <c r="U29" s="770">
        <f>H29</f>
        <v>100</v>
      </c>
      <c r="V29" s="769" t="s">
        <v>17</v>
      </c>
      <c r="W29" s="770">
        <f>J29</f>
        <v>100</v>
      </c>
      <c r="X29" s="771"/>
      <c r="Y29" s="3248"/>
      <c r="Z29" s="55" t="str">
        <f>Q29</f>
        <v>基础设施水平</v>
      </c>
      <c r="AA29" s="1809">
        <f>D29/F29</f>
        <v>1</v>
      </c>
      <c r="AB29" s="1809">
        <f>D29/H29</f>
        <v>1</v>
      </c>
      <c r="AC29" s="1809">
        <f>D29/J29</f>
        <v>1</v>
      </c>
    </row>
    <row r="30" spans="1:29" s="117" customFormat="1" ht="15">
      <c r="A30" s="648"/>
      <c r="B30" s="456"/>
      <c r="C30" s="2696"/>
      <c r="D30" s="448"/>
      <c r="E30" s="2697"/>
      <c r="F30" s="448"/>
      <c r="G30" s="2697"/>
      <c r="H30" s="448"/>
      <c r="I30" s="2697"/>
      <c r="J30" s="448"/>
      <c r="K30" s="671"/>
      <c r="L30" s="1132"/>
      <c r="M30" s="1133"/>
      <c r="N30" s="1133"/>
      <c r="O30" s="1134"/>
      <c r="P30" s="3248"/>
      <c r="Q30" s="1793"/>
      <c r="R30" s="769"/>
      <c r="S30" s="770"/>
      <c r="T30" s="769"/>
      <c r="U30" s="770"/>
      <c r="V30" s="769"/>
      <c r="W30" s="770"/>
      <c r="X30" s="771"/>
      <c r="Y30" s="3248"/>
      <c r="Z30" s="55"/>
      <c r="AA30" s="1809">
        <v>1</v>
      </c>
      <c r="AB30" s="1809">
        <v>1</v>
      </c>
      <c r="AC30" s="1809">
        <v>1</v>
      </c>
    </row>
    <row r="31" spans="1:29" ht="15">
      <c r="A31" s="428"/>
      <c r="B31" s="456" t="s">
        <v>2651</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0"/>
      <c r="M31" s="1131"/>
      <c r="N31" s="1131"/>
      <c r="O31" s="1139"/>
      <c r="P31" s="3248"/>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48"/>
      <c r="Z31" s="1812" t="str">
        <f t="shared" ref="Z31:Z45" si="13">Q31</f>
        <v>临街状况</v>
      </c>
      <c r="AA31" s="1809">
        <f t="shared" si="3"/>
        <v>1</v>
      </c>
      <c r="AB31" s="1809">
        <f t="shared" si="4"/>
        <v>1</v>
      </c>
      <c r="AC31" s="1809">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0"/>
      <c r="M32" s="1131"/>
      <c r="N32" s="1131"/>
      <c r="O32" s="1139"/>
      <c r="P32" s="3248"/>
      <c r="Q32" s="1808" t="str">
        <f t="shared" si="8"/>
        <v>毗邻道路的类型与等级</v>
      </c>
      <c r="R32" s="773" t="s">
        <v>17</v>
      </c>
      <c r="S32" s="774">
        <f t="shared" si="10"/>
        <v>100</v>
      </c>
      <c r="T32" s="773" t="s">
        <v>17</v>
      </c>
      <c r="U32" s="774">
        <f t="shared" si="11"/>
        <v>100</v>
      </c>
      <c r="V32" s="773" t="s">
        <v>17</v>
      </c>
      <c r="W32" s="774">
        <f t="shared" si="12"/>
        <v>100</v>
      </c>
      <c r="X32" s="1811"/>
      <c r="Y32" s="3248"/>
      <c r="Z32" s="1812" t="str">
        <f t="shared" si="13"/>
        <v>毗邻道路的类型与等级</v>
      </c>
      <c r="AA32" s="1809">
        <f t="shared" si="3"/>
        <v>1</v>
      </c>
      <c r="AB32" s="1809">
        <f t="shared" si="4"/>
        <v>1</v>
      </c>
      <c r="AC32" s="1809">
        <f t="shared" si="5"/>
        <v>1</v>
      </c>
    </row>
    <row r="33" spans="1:29" ht="15">
      <c r="A33" s="428"/>
      <c r="B33" s="456"/>
      <c r="C33" s="447"/>
      <c r="D33" s="448"/>
      <c r="E33" s="2607"/>
      <c r="F33" s="448"/>
      <c r="G33" s="2607"/>
      <c r="H33" s="448"/>
      <c r="I33" s="447"/>
      <c r="J33" s="448"/>
      <c r="K33" s="613"/>
      <c r="L33" s="1140"/>
      <c r="M33" s="1131"/>
      <c r="N33" s="1131"/>
      <c r="O33" s="1139"/>
      <c r="P33" s="3248"/>
      <c r="Q33" s="1808"/>
      <c r="R33" s="773"/>
      <c r="S33" s="774"/>
      <c r="T33" s="773"/>
      <c r="U33" s="774"/>
      <c r="V33" s="773"/>
      <c r="W33" s="774"/>
      <c r="X33" s="1811"/>
      <c r="Y33" s="3248"/>
      <c r="Z33" s="1812"/>
      <c r="AA33" s="1809">
        <v>1</v>
      </c>
      <c r="AB33" s="1809">
        <v>1</v>
      </c>
      <c r="AC33" s="1809">
        <v>1</v>
      </c>
    </row>
    <row r="34" spans="1:29" ht="15">
      <c r="A34" s="428"/>
      <c r="B34" s="422" t="s">
        <v>2745</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0"/>
      <c r="M34" s="1131"/>
      <c r="N34" s="1131"/>
      <c r="O34" s="1139"/>
      <c r="P34" s="3248"/>
      <c r="Q34" s="1808" t="str">
        <f t="shared" si="8"/>
        <v>土地级别</v>
      </c>
      <c r="R34" s="773" t="s">
        <v>17</v>
      </c>
      <c r="S34" s="774">
        <f t="shared" si="10"/>
        <v>100</v>
      </c>
      <c r="T34" s="773" t="s">
        <v>17</v>
      </c>
      <c r="U34" s="774">
        <f t="shared" si="11"/>
        <v>100</v>
      </c>
      <c r="V34" s="773" t="s">
        <v>17</v>
      </c>
      <c r="W34" s="774">
        <f t="shared" si="12"/>
        <v>100</v>
      </c>
      <c r="X34" s="1811"/>
      <c r="Y34" s="3248"/>
      <c r="Z34" s="1812" t="str">
        <f t="shared" si="13"/>
        <v>土地级别</v>
      </c>
      <c r="AA34" s="1809">
        <f t="shared" si="3"/>
        <v>1</v>
      </c>
      <c r="AB34" s="1809">
        <f t="shared" si="4"/>
        <v>1</v>
      </c>
      <c r="AC34" s="1809">
        <f t="shared" si="5"/>
        <v>1</v>
      </c>
    </row>
    <row r="35" spans="1:29" ht="15">
      <c r="A35" s="404"/>
      <c r="B35" s="1386">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0"/>
      <c r="M35" s="1131"/>
      <c r="N35" s="1131"/>
      <c r="O35" s="1139"/>
      <c r="P35" s="3248"/>
      <c r="Q35" s="1808">
        <f t="shared" si="8"/>
        <v>111</v>
      </c>
      <c r="R35" s="773" t="s">
        <v>17</v>
      </c>
      <c r="S35" s="774">
        <f t="shared" si="10"/>
        <v>100</v>
      </c>
      <c r="T35" s="773" t="s">
        <v>17</v>
      </c>
      <c r="U35" s="774">
        <f t="shared" si="11"/>
        <v>100</v>
      </c>
      <c r="V35" s="773" t="s">
        <v>17</v>
      </c>
      <c r="W35" s="774">
        <f t="shared" si="12"/>
        <v>100</v>
      </c>
      <c r="X35" s="1811"/>
      <c r="Y35" s="3248"/>
      <c r="Z35" s="1812">
        <f t="shared" si="13"/>
        <v>111</v>
      </c>
      <c r="AA35" s="1809">
        <f t="shared" si="3"/>
        <v>1</v>
      </c>
      <c r="AB35" s="1809">
        <f t="shared" si="4"/>
        <v>1</v>
      </c>
      <c r="AC35" s="1809">
        <f t="shared" si="5"/>
        <v>1</v>
      </c>
    </row>
    <row r="36" spans="1:29" ht="15">
      <c r="A36" s="674"/>
      <c r="B36" s="1387">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0"/>
      <c r="M36" s="1131"/>
      <c r="N36" s="1131"/>
      <c r="O36" s="1139"/>
      <c r="P36" s="3305" t="s">
        <v>2560</v>
      </c>
      <c r="Q36" s="1808">
        <f t="shared" si="8"/>
        <v>111</v>
      </c>
      <c r="R36" s="773" t="s">
        <v>17</v>
      </c>
      <c r="S36" s="774">
        <f t="shared" si="10"/>
        <v>100</v>
      </c>
      <c r="T36" s="773" t="s">
        <v>17</v>
      </c>
      <c r="U36" s="774">
        <f t="shared" si="11"/>
        <v>100</v>
      </c>
      <c r="V36" s="773" t="s">
        <v>17</v>
      </c>
      <c r="W36" s="774">
        <f t="shared" si="12"/>
        <v>100</v>
      </c>
      <c r="X36" s="1811"/>
      <c r="Y36" s="3252" t="s">
        <v>2560</v>
      </c>
      <c r="Z36" s="1812">
        <f t="shared" si="13"/>
        <v>111</v>
      </c>
      <c r="AA36" s="1809">
        <f t="shared" si="3"/>
        <v>1</v>
      </c>
      <c r="AB36" s="1809">
        <f t="shared" si="4"/>
        <v>1</v>
      </c>
      <c r="AC36" s="1809">
        <f t="shared" si="5"/>
        <v>1</v>
      </c>
    </row>
    <row r="37" spans="1:29" s="471" customFormat="1" ht="15.75" thickBot="1">
      <c r="A37" s="675"/>
      <c r="B37" s="1388">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8"/>
      <c r="M37" s="1141"/>
      <c r="N37" s="1141"/>
      <c r="O37" s="1142"/>
      <c r="P37" s="3252"/>
      <c r="Q37" s="1808">
        <f t="shared" si="8"/>
        <v>111</v>
      </c>
      <c r="R37" s="776" t="s">
        <v>17</v>
      </c>
      <c r="S37" s="777">
        <f t="shared" si="10"/>
        <v>100</v>
      </c>
      <c r="T37" s="776" t="s">
        <v>17</v>
      </c>
      <c r="U37" s="777">
        <f t="shared" si="11"/>
        <v>100</v>
      </c>
      <c r="V37" s="776" t="s">
        <v>17</v>
      </c>
      <c r="W37" s="777">
        <f t="shared" si="12"/>
        <v>100</v>
      </c>
      <c r="X37" s="778"/>
      <c r="Y37" s="3252"/>
      <c r="Z37" s="779">
        <f t="shared" si="13"/>
        <v>111</v>
      </c>
      <c r="AA37" s="1809">
        <f t="shared" si="3"/>
        <v>1</v>
      </c>
      <c r="AB37" s="1809">
        <f t="shared" si="4"/>
        <v>1</v>
      </c>
      <c r="AC37" s="1809">
        <f t="shared" si="5"/>
        <v>1</v>
      </c>
    </row>
    <row r="38" spans="1:29" ht="15">
      <c r="A38" s="472" t="s">
        <v>2558</v>
      </c>
      <c r="B38" s="456" t="s">
        <v>2746</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0"/>
      <c r="M38" s="1131"/>
      <c r="N38" s="1131"/>
      <c r="O38" s="1139"/>
      <c r="P38" s="3252"/>
      <c r="Q38" s="1808" t="str">
        <f>B38</f>
        <v>宗地面积</v>
      </c>
      <c r="R38" s="773" t="s">
        <v>17</v>
      </c>
      <c r="S38" s="774" t="e">
        <f t="shared" si="10"/>
        <v>#N/A</v>
      </c>
      <c r="T38" s="773" t="s">
        <v>17</v>
      </c>
      <c r="U38" s="774" t="e">
        <f t="shared" si="11"/>
        <v>#N/A</v>
      </c>
      <c r="V38" s="773" t="s">
        <v>17</v>
      </c>
      <c r="W38" s="774" t="e">
        <f t="shared" si="12"/>
        <v>#N/A</v>
      </c>
      <c r="X38" s="1811"/>
      <c r="Y38" s="3252"/>
      <c r="Z38" s="1812" t="str">
        <f t="shared" si="13"/>
        <v>宗地面积</v>
      </c>
      <c r="AA38" s="1809" t="e">
        <f t="shared" si="3"/>
        <v>#N/A</v>
      </c>
      <c r="AB38" s="1809" t="e">
        <f t="shared" si="4"/>
        <v>#N/A</v>
      </c>
      <c r="AC38" s="1809" t="e">
        <f t="shared" si="5"/>
        <v>#N/A</v>
      </c>
    </row>
    <row r="39" spans="1:29" ht="15">
      <c r="A39" s="472"/>
      <c r="B39" s="422" t="s">
        <v>2747</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0"/>
      <c r="M39" s="1131"/>
      <c r="N39" s="1131"/>
      <c r="O39" s="1139"/>
      <c r="P39" s="3252"/>
      <c r="Q39" s="1808" t="str">
        <f t="shared" ref="Q39:Q45" si="14">B39</f>
        <v>宗地形状</v>
      </c>
      <c r="R39" s="773" t="s">
        <v>17</v>
      </c>
      <c r="S39" s="774">
        <f t="shared" si="10"/>
        <v>100</v>
      </c>
      <c r="T39" s="773" t="s">
        <v>17</v>
      </c>
      <c r="U39" s="774">
        <f t="shared" si="11"/>
        <v>100</v>
      </c>
      <c r="V39" s="773" t="s">
        <v>17</v>
      </c>
      <c r="W39" s="774">
        <f t="shared" si="12"/>
        <v>100</v>
      </c>
      <c r="X39" s="1811"/>
      <c r="Y39" s="3252"/>
      <c r="Z39" s="1812" t="str">
        <f t="shared" si="13"/>
        <v>宗地形状</v>
      </c>
      <c r="AA39" s="1809">
        <f t="shared" si="3"/>
        <v>1</v>
      </c>
      <c r="AB39" s="1809">
        <f t="shared" si="4"/>
        <v>1</v>
      </c>
      <c r="AC39" s="1809">
        <f t="shared" si="5"/>
        <v>1</v>
      </c>
    </row>
    <row r="40" spans="1:29" ht="15">
      <c r="A40" s="472"/>
      <c r="B40" s="422" t="s">
        <v>2748</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52"/>
      <c r="Q40" s="1808" t="str">
        <f t="shared" si="14"/>
        <v>临街宽度及深度</v>
      </c>
      <c r="R40" s="773" t="s">
        <v>17</v>
      </c>
      <c r="S40" s="774">
        <f t="shared" si="10"/>
        <v>100</v>
      </c>
      <c r="T40" s="773" t="s">
        <v>17</v>
      </c>
      <c r="U40" s="774">
        <f t="shared" si="11"/>
        <v>100</v>
      </c>
      <c r="V40" s="773" t="s">
        <v>17</v>
      </c>
      <c r="W40" s="774">
        <f t="shared" si="12"/>
        <v>100</v>
      </c>
      <c r="X40" s="1811"/>
      <c r="Y40" s="3252"/>
      <c r="Z40" s="1812" t="str">
        <f t="shared" si="13"/>
        <v>临街宽度及深度</v>
      </c>
      <c r="AA40" s="1809">
        <f t="shared" si="3"/>
        <v>1</v>
      </c>
      <c r="AB40" s="1809">
        <f t="shared" si="4"/>
        <v>1</v>
      </c>
      <c r="AC40" s="1809">
        <f t="shared" si="5"/>
        <v>1</v>
      </c>
    </row>
    <row r="41" spans="1:29" s="117" customFormat="1" ht="15">
      <c r="A41" s="473"/>
      <c r="B41" s="422" t="s">
        <v>2749</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2"/>
      <c r="M41" s="1133"/>
      <c r="N41" s="1133"/>
      <c r="O41" s="1134"/>
      <c r="P41" s="3252"/>
      <c r="Q41" s="1808" t="str">
        <f t="shared" si="14"/>
        <v>宗地开发程度</v>
      </c>
      <c r="R41" s="769" t="s">
        <v>17</v>
      </c>
      <c r="S41" s="770">
        <f t="shared" si="10"/>
        <v>100</v>
      </c>
      <c r="T41" s="769" t="s">
        <v>17</v>
      </c>
      <c r="U41" s="770">
        <f t="shared" si="11"/>
        <v>100</v>
      </c>
      <c r="V41" s="769" t="s">
        <v>17</v>
      </c>
      <c r="W41" s="770">
        <f t="shared" si="12"/>
        <v>100</v>
      </c>
      <c r="X41" s="771"/>
      <c r="Y41" s="3252"/>
      <c r="Z41" s="55" t="str">
        <f t="shared" si="13"/>
        <v>宗地开发程度</v>
      </c>
      <c r="AA41" s="772">
        <f t="shared" si="3"/>
        <v>1</v>
      </c>
      <c r="AB41" s="772">
        <f t="shared" si="4"/>
        <v>1</v>
      </c>
      <c r="AC41" s="772">
        <f t="shared" si="5"/>
        <v>1</v>
      </c>
    </row>
    <row r="42" spans="1:29" ht="15">
      <c r="A42" s="472"/>
      <c r="B42" s="422" t="s">
        <v>2750</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52" t="s">
        <v>2560</v>
      </c>
      <c r="Q42" s="1808" t="str">
        <f t="shared" si="14"/>
        <v>工程地质条件</v>
      </c>
      <c r="R42" s="773" t="s">
        <v>17</v>
      </c>
      <c r="S42" s="774">
        <f t="shared" si="10"/>
        <v>100</v>
      </c>
      <c r="T42" s="773" t="s">
        <v>17</v>
      </c>
      <c r="U42" s="774">
        <f t="shared" si="11"/>
        <v>100</v>
      </c>
      <c r="V42" s="773" t="s">
        <v>17</v>
      </c>
      <c r="W42" s="774">
        <f t="shared" si="12"/>
        <v>100</v>
      </c>
      <c r="X42" s="1811"/>
      <c r="Y42" s="3252" t="s">
        <v>2560</v>
      </c>
      <c r="Z42" s="1812" t="str">
        <f t="shared" si="13"/>
        <v>工程地质条件</v>
      </c>
      <c r="AA42" s="1809">
        <f t="shared" si="3"/>
        <v>1</v>
      </c>
      <c r="AB42" s="1809">
        <f t="shared" si="4"/>
        <v>1</v>
      </c>
      <c r="AC42" s="1809">
        <f t="shared" si="5"/>
        <v>1</v>
      </c>
    </row>
    <row r="43" spans="1:29" ht="15">
      <c r="A43" s="472"/>
      <c r="B43" s="1387">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0"/>
      <c r="M43" s="1131"/>
      <c r="N43" s="1131"/>
      <c r="O43" s="1139"/>
      <c r="P43" s="3252"/>
      <c r="Q43" s="1808">
        <f t="shared" si="14"/>
        <v>111</v>
      </c>
      <c r="R43" s="773" t="s">
        <v>17</v>
      </c>
      <c r="S43" s="774">
        <f t="shared" si="10"/>
        <v>100</v>
      </c>
      <c r="T43" s="773" t="s">
        <v>17</v>
      </c>
      <c r="U43" s="774">
        <f t="shared" si="11"/>
        <v>100</v>
      </c>
      <c r="V43" s="773" t="s">
        <v>17</v>
      </c>
      <c r="W43" s="774">
        <f t="shared" si="12"/>
        <v>100</v>
      </c>
      <c r="X43" s="1811"/>
      <c r="Y43" s="3252"/>
      <c r="Z43" s="1812">
        <f t="shared" si="13"/>
        <v>111</v>
      </c>
      <c r="AA43" s="1809">
        <f t="shared" si="3"/>
        <v>1</v>
      </c>
      <c r="AB43" s="1809">
        <f t="shared" si="4"/>
        <v>1</v>
      </c>
      <c r="AC43" s="1809">
        <f t="shared" si="5"/>
        <v>1</v>
      </c>
    </row>
    <row r="44" spans="1:29" ht="15">
      <c r="A44" s="472"/>
      <c r="B44" s="1387">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0"/>
      <c r="M44" s="1131"/>
      <c r="N44" s="1131"/>
      <c r="O44" s="1139"/>
      <c r="P44" s="3252"/>
      <c r="Q44" s="1808">
        <f t="shared" si="14"/>
        <v>111</v>
      </c>
      <c r="R44" s="773" t="s">
        <v>17</v>
      </c>
      <c r="S44" s="774">
        <f t="shared" si="10"/>
        <v>100</v>
      </c>
      <c r="T44" s="773" t="s">
        <v>17</v>
      </c>
      <c r="U44" s="774">
        <f t="shared" si="11"/>
        <v>100</v>
      </c>
      <c r="V44" s="773" t="s">
        <v>17</v>
      </c>
      <c r="W44" s="774">
        <f t="shared" si="12"/>
        <v>100</v>
      </c>
      <c r="X44" s="1811"/>
      <c r="Y44" s="3252"/>
      <c r="Z44" s="1812">
        <f t="shared" si="13"/>
        <v>111</v>
      </c>
      <c r="AA44" s="1809">
        <f t="shared" si="3"/>
        <v>1</v>
      </c>
      <c r="AB44" s="1809">
        <f t="shared" si="4"/>
        <v>1</v>
      </c>
      <c r="AC44" s="1809">
        <f t="shared" si="5"/>
        <v>1</v>
      </c>
    </row>
    <row r="45" spans="1:29" s="471" customFormat="1" ht="15.75" thickBot="1">
      <c r="A45" s="468"/>
      <c r="B45" s="1387">
        <v>111</v>
      </c>
      <c r="C45" s="2699"/>
      <c r="D45" s="679">
        <v>100</v>
      </c>
      <c r="E45" s="673"/>
      <c r="F45" s="438">
        <f>SUMIF(131:131,E45,132:132)-SUMIF(131:131,C45,132:132)+100</f>
        <v>100</v>
      </c>
      <c r="G45" s="673"/>
      <c r="H45" s="438">
        <f>SUMIF(131:131,G45,132:132)-SUMIF(131:131,C45,132:132)+100</f>
        <v>100</v>
      </c>
      <c r="I45" s="673"/>
      <c r="J45" s="438">
        <f>SUMIF(131:131,I45,132:132)-SUMIF(131:131,C45,132:132)+100</f>
        <v>100</v>
      </c>
      <c r="K45" s="680"/>
      <c r="L45" s="1138"/>
      <c r="M45" s="1141"/>
      <c r="N45" s="1141"/>
      <c r="O45" s="1142"/>
      <c r="P45" s="3252"/>
      <c r="Q45" s="1808">
        <f t="shared" si="14"/>
        <v>111</v>
      </c>
      <c r="R45" s="776" t="s">
        <v>17</v>
      </c>
      <c r="S45" s="777">
        <f t="shared" si="10"/>
        <v>100</v>
      </c>
      <c r="T45" s="776" t="s">
        <v>17</v>
      </c>
      <c r="U45" s="777">
        <f t="shared" si="11"/>
        <v>100</v>
      </c>
      <c r="V45" s="776" t="s">
        <v>17</v>
      </c>
      <c r="W45" s="777">
        <f t="shared" si="12"/>
        <v>100</v>
      </c>
      <c r="X45" s="778"/>
      <c r="Y45" s="3252"/>
      <c r="Z45" s="779">
        <f t="shared" si="13"/>
        <v>111</v>
      </c>
      <c r="AA45" s="1809">
        <f t="shared" si="3"/>
        <v>1</v>
      </c>
      <c r="AB45" s="1809">
        <f t="shared" si="4"/>
        <v>1</v>
      </c>
      <c r="AC45" s="1809">
        <f t="shared" si="5"/>
        <v>1</v>
      </c>
    </row>
    <row r="46" spans="1:29" ht="15">
      <c r="A46" s="479" t="s">
        <v>2715</v>
      </c>
      <c r="B46" s="2700" t="s">
        <v>2751</v>
      </c>
      <c r="C46" s="681" t="s">
        <v>1</v>
      </c>
      <c r="D46" s="481"/>
      <c r="E46" s="482"/>
      <c r="F46" s="483"/>
      <c r="G46" s="484"/>
      <c r="H46" s="485"/>
      <c r="I46" s="482"/>
      <c r="J46" s="485"/>
      <c r="K46" s="782"/>
      <c r="L46" s="1143"/>
      <c r="M46" s="1144"/>
      <c r="N46" s="1131"/>
      <c r="O46" s="1144"/>
      <c r="P46" s="3254" t="str">
        <f>A46</f>
        <v>成交单价</v>
      </c>
      <c r="Q46" s="3254"/>
      <c r="R46" s="3216">
        <f>E46</f>
        <v>0</v>
      </c>
      <c r="S46" s="3216"/>
      <c r="T46" s="3216">
        <f>G46</f>
        <v>0</v>
      </c>
      <c r="U46" s="3216"/>
      <c r="V46" s="3216">
        <f>I46</f>
        <v>0</v>
      </c>
      <c r="W46" s="3216"/>
      <c r="X46" s="758"/>
      <c r="Y46" s="780"/>
      <c r="Z46" s="758"/>
      <c r="AA46" s="758"/>
      <c r="AB46" s="758"/>
      <c r="AC46" s="758"/>
    </row>
    <row r="47" spans="1:29" ht="15.75" thickBot="1">
      <c r="A47" s="486" t="s">
        <v>2664</v>
      </c>
      <c r="B47" s="682"/>
      <c r="C47" s="490" t="e">
        <f>R48</f>
        <v>#DIV/0!</v>
      </c>
      <c r="D47" s="489"/>
      <c r="E47" s="490" t="e">
        <f>R47</f>
        <v>#DIV/0!</v>
      </c>
      <c r="F47" s="491"/>
      <c r="G47" s="488" t="e">
        <f>T47</f>
        <v>#DIV/0!</v>
      </c>
      <c r="H47" s="489"/>
      <c r="I47" s="490" t="e">
        <f>V47</f>
        <v>#DIV/0!</v>
      </c>
      <c r="J47" s="489"/>
      <c r="K47" s="783"/>
      <c r="L47" s="1143"/>
      <c r="M47" s="1144"/>
      <c r="N47" s="1144"/>
      <c r="O47" s="1144"/>
      <c r="P47" s="3254" t="str">
        <f>A47</f>
        <v>比较价值（元/平方米）</v>
      </c>
      <c r="Q47" s="3254"/>
      <c r="R47" s="3306" t="e">
        <f>ROUND(PRODUCT(R46,AA7:AA45),0)</f>
        <v>#DIV/0!</v>
      </c>
      <c r="S47" s="3306"/>
      <c r="T47" s="3306" t="e">
        <f>ROUND(PRODUCT(T46,AB7:AB45),0)</f>
        <v>#DIV/0!</v>
      </c>
      <c r="U47" s="3306"/>
      <c r="V47" s="3306" t="e">
        <f>ROUND(PRODUCT(V46,AC7:AC45),0)</f>
        <v>#DIV/0!</v>
      </c>
      <c r="W47" s="3306"/>
      <c r="X47" s="758"/>
      <c r="Y47" s="758"/>
      <c r="Z47" s="758"/>
      <c r="AA47" s="758"/>
      <c r="AB47" s="758"/>
      <c r="AC47" s="758"/>
    </row>
    <row r="48" spans="1:29" ht="15.75" thickBot="1">
      <c r="A48" s="492" t="s">
        <v>2752</v>
      </c>
      <c r="B48" s="493"/>
      <c r="C48" s="494" t="e">
        <f>R48</f>
        <v>#DIV/0!</v>
      </c>
      <c r="D48" s="494"/>
      <c r="E48" s="494"/>
      <c r="F48" s="494"/>
      <c r="G48" s="494"/>
      <c r="H48" s="494"/>
      <c r="I48" s="494"/>
      <c r="J48" s="494"/>
      <c r="K48" s="784"/>
      <c r="L48" s="1143"/>
      <c r="M48" s="1144"/>
      <c r="N48" s="1144"/>
      <c r="O48" s="1144"/>
      <c r="P48" s="3256" t="str">
        <f>A48</f>
        <v>估价对象XX用房的比较价值（楼面单价，元/平方米）</v>
      </c>
      <c r="Q48" s="3257"/>
      <c r="R48" s="3307" t="e">
        <f>ROUND(AVERAGE(R47:V47),0)</f>
        <v>#DIV/0!</v>
      </c>
      <c r="S48" s="3307"/>
      <c r="T48" s="3307"/>
      <c r="U48" s="3307"/>
      <c r="V48" s="3307"/>
      <c r="W48" s="3307"/>
      <c r="X48" s="758"/>
      <c r="Y48" s="758"/>
      <c r="Z48" s="758"/>
      <c r="AA48" s="758"/>
      <c r="AB48" s="758"/>
      <c r="AC48" s="758"/>
    </row>
    <row r="49" spans="1:15">
      <c r="A49" s="1144"/>
      <c r="B49" s="1144"/>
      <c r="C49" s="1144"/>
      <c r="D49" s="1144"/>
      <c r="E49" s="1144"/>
      <c r="F49" s="1144"/>
      <c r="G49" s="1147"/>
      <c r="H49" s="1144"/>
      <c r="I49" s="1144"/>
      <c r="J49" s="1144"/>
      <c r="K49" s="1107"/>
      <c r="L49" s="1108"/>
      <c r="M49" s="1144"/>
      <c r="N49" s="1144"/>
      <c r="O49" s="1144"/>
    </row>
    <row r="50" spans="1:15">
      <c r="A50" s="1144"/>
      <c r="B50" s="1144"/>
      <c r="C50" s="1144"/>
      <c r="D50" s="1144"/>
      <c r="E50" s="1144"/>
      <c r="F50" s="1144"/>
      <c r="G50" s="1144"/>
      <c r="H50" s="1144"/>
      <c r="I50" s="1144"/>
      <c r="J50" s="1144"/>
      <c r="K50" s="1107"/>
      <c r="L50" s="1108"/>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1"/>
      <c r="D54" s="759"/>
      <c r="E54" s="759"/>
      <c r="F54" s="759"/>
      <c r="G54" s="759"/>
      <c r="H54" s="759"/>
      <c r="I54" s="759"/>
      <c r="J54" s="759"/>
      <c r="K54" s="1148"/>
      <c r="L54" s="1149"/>
      <c r="M54" s="1145"/>
      <c r="N54" s="1145"/>
      <c r="O54" s="1145"/>
    </row>
    <row r="55" spans="1:15" ht="27" customHeight="1">
      <c r="A55" s="683" t="s">
        <v>2753</v>
      </c>
      <c r="B55" s="684" t="s">
        <v>2754</v>
      </c>
      <c r="C55" s="2701" t="s">
        <v>2755</v>
      </c>
      <c r="D55" s="2702" t="s">
        <v>2756</v>
      </c>
      <c r="E55" s="685" t="s">
        <v>2757</v>
      </c>
      <c r="F55" s="1109" t="s">
        <v>2758</v>
      </c>
      <c r="G55" s="3232" t="s">
        <v>2759</v>
      </c>
      <c r="H55" s="3308"/>
      <c r="I55" s="144" t="s">
        <v>2760</v>
      </c>
      <c r="J55" s="2703" t="str">
        <f>项目基本情况!F35</f>
        <v>浙江省宁波市</v>
      </c>
      <c r="K55" s="2704" t="s">
        <v>2761</v>
      </c>
      <c r="L55" s="1108"/>
      <c r="M55" s="1144"/>
      <c r="N55" s="1144"/>
      <c r="O55" s="1144"/>
    </row>
    <row r="56" spans="1:15" s="691" customFormat="1">
      <c r="A56" s="687" t="s">
        <v>2762</v>
      </c>
      <c r="B56" s="688" t="e">
        <f>C48</f>
        <v>#DIV/0!</v>
      </c>
      <c r="C56" s="689">
        <v>1</v>
      </c>
      <c r="D56" s="1163">
        <v>1</v>
      </c>
      <c r="E56" s="689">
        <f>'数据-汇总表'!E8+'数据-汇总表'!E9</f>
        <v>18418.460000000006</v>
      </c>
      <c r="F56" s="1105" t="e">
        <f t="shared" ref="F56:F65" si="15">ROUND(B56*E56/10000,0)</f>
        <v>#DIV/0!</v>
      </c>
      <c r="G56" s="3231"/>
      <c r="H56" s="3254"/>
      <c r="I56" s="1110">
        <v>1</v>
      </c>
      <c r="J56" s="1113">
        <v>1</v>
      </c>
      <c r="K56" s="1145"/>
      <c r="L56" s="943"/>
      <c r="M56" s="943"/>
      <c r="N56" s="943"/>
      <c r="O56" s="943"/>
    </row>
    <row r="57" spans="1:15" s="691" customFormat="1">
      <c r="A57" s="692" t="s">
        <v>2763</v>
      </c>
      <c r="B57" s="262" t="e">
        <f>ROUND($C$48*C57*D57,0)</f>
        <v>#DIV/0!</v>
      </c>
      <c r="C57" s="200">
        <f t="shared" ref="C57:C65" si="16">IF($C$55="北京市系数",I57,J57)</f>
        <v>0</v>
      </c>
      <c r="D57" s="1164">
        <v>0.25</v>
      </c>
      <c r="E57" s="693"/>
      <c r="F57" s="1105" t="e">
        <f t="shared" si="15"/>
        <v>#DIV/0!</v>
      </c>
      <c r="G57" s="3309" t="s">
        <v>2764</v>
      </c>
      <c r="H57" s="1106">
        <f>项目基本情况!B37</f>
        <v>0</v>
      </c>
      <c r="I57" s="1110">
        <f>SUMIF(修正!A45:A56,H57,修正!B45:B56)</f>
        <v>0</v>
      </c>
      <c r="J57" s="1114"/>
      <c r="K57" s="1144"/>
      <c r="L57" s="943"/>
      <c r="M57" s="943"/>
      <c r="N57" s="943"/>
      <c r="O57" s="943"/>
    </row>
    <row r="58" spans="1:15" s="691" customFormat="1">
      <c r="A58" s="692" t="s">
        <v>2765</v>
      </c>
      <c r="B58" s="262" t="e">
        <f t="shared" ref="B58:B65" si="17">ROUND($C$48*C58*D58,0)</f>
        <v>#DIV/0!</v>
      </c>
      <c r="C58" s="200">
        <f t="shared" si="16"/>
        <v>0</v>
      </c>
      <c r="D58" s="1164">
        <v>0.25</v>
      </c>
      <c r="E58" s="693"/>
      <c r="F58" s="1105" t="e">
        <f t="shared" si="15"/>
        <v>#DIV/0!</v>
      </c>
      <c r="G58" s="3309"/>
      <c r="H58" s="1106">
        <f>项目基本情况!B37</f>
        <v>0</v>
      </c>
      <c r="I58" s="1110">
        <f>SUMIF(修正!A45:A56,H58,修正!C45:C56)</f>
        <v>0</v>
      </c>
      <c r="J58" s="1114"/>
      <c r="K58" s="1145"/>
      <c r="L58" s="943"/>
      <c r="M58" s="943"/>
      <c r="N58" s="943"/>
      <c r="O58" s="943"/>
    </row>
    <row r="59" spans="1:15" s="691" customFormat="1">
      <c r="A59" s="692" t="s">
        <v>2766</v>
      </c>
      <c r="B59" s="262" t="e">
        <f t="shared" si="17"/>
        <v>#DIV/0!</v>
      </c>
      <c r="C59" s="200">
        <f t="shared" si="16"/>
        <v>0</v>
      </c>
      <c r="D59" s="1164">
        <v>0.25</v>
      </c>
      <c r="E59" s="693"/>
      <c r="F59" s="1105" t="e">
        <f t="shared" si="15"/>
        <v>#DIV/0!</v>
      </c>
      <c r="G59" s="3309"/>
      <c r="H59" s="1106">
        <f>项目基本情况!B37</f>
        <v>0</v>
      </c>
      <c r="I59" s="1110">
        <f>SUMIF(修正!A45:A56,H59,修正!D45:D56)</f>
        <v>0</v>
      </c>
      <c r="J59" s="1114"/>
      <c r="K59" s="1144"/>
      <c r="L59" s="943"/>
      <c r="M59" s="943"/>
      <c r="N59" s="943"/>
      <c r="O59" s="943"/>
    </row>
    <row r="60" spans="1:15" s="691" customFormat="1">
      <c r="A60" s="692" t="s">
        <v>2767</v>
      </c>
      <c r="B60" s="262" t="e">
        <f t="shared" si="17"/>
        <v>#DIV/0!</v>
      </c>
      <c r="C60" s="200">
        <f t="shared" si="16"/>
        <v>0</v>
      </c>
      <c r="D60" s="1164">
        <v>0.25</v>
      </c>
      <c r="E60" s="693"/>
      <c r="F60" s="1105" t="e">
        <f t="shared" si="15"/>
        <v>#DIV/0!</v>
      </c>
      <c r="G60" s="3309"/>
      <c r="H60" s="1106">
        <f>项目基本情况!B37</f>
        <v>0</v>
      </c>
      <c r="I60" s="1110">
        <f>SUMIF(修正!A45:A56,H60,修正!E45:E56)</f>
        <v>0</v>
      </c>
      <c r="J60" s="1114"/>
      <c r="K60" s="1145"/>
      <c r="L60" s="943"/>
      <c r="M60" s="943"/>
      <c r="N60" s="943"/>
      <c r="O60" s="943"/>
    </row>
    <row r="61" spans="1:15" s="691" customFormat="1">
      <c r="A61" s="692" t="s">
        <v>2768</v>
      </c>
      <c r="B61" s="262" t="e">
        <f t="shared" si="17"/>
        <v>#DIV/0!</v>
      </c>
      <c r="C61" s="200">
        <f t="shared" si="16"/>
        <v>0</v>
      </c>
      <c r="D61" s="1164">
        <v>0.25</v>
      </c>
      <c r="E61" s="261">
        <f>'数据-汇总表'!E11</f>
        <v>0</v>
      </c>
      <c r="F61" s="1105" t="e">
        <f t="shared" si="15"/>
        <v>#DIV/0!</v>
      </c>
      <c r="G61" s="2705" t="s">
        <v>2769</v>
      </c>
      <c r="H61" s="1106">
        <f>项目基本情况!C37</f>
        <v>0</v>
      </c>
      <c r="I61" s="1110">
        <f>SUMIF(修正!A45:A56,H61,修正!F45:F56)</f>
        <v>0</v>
      </c>
      <c r="J61" s="1114"/>
      <c r="K61" s="1144"/>
      <c r="L61" s="943"/>
      <c r="M61" s="943"/>
      <c r="N61" s="943"/>
      <c r="O61" s="943"/>
    </row>
    <row r="62" spans="1:15" s="691" customFormat="1">
      <c r="A62" s="692" t="s">
        <v>2770</v>
      </c>
      <c r="B62" s="262" t="e">
        <f t="shared" si="17"/>
        <v>#DIV/0!</v>
      </c>
      <c r="C62" s="200">
        <f t="shared" si="16"/>
        <v>0</v>
      </c>
      <c r="D62" s="1164">
        <v>0.25</v>
      </c>
      <c r="E62" s="261">
        <f>'数据-汇总表'!E12</f>
        <v>0</v>
      </c>
      <c r="F62" s="1105" t="e">
        <f t="shared" si="15"/>
        <v>#DIV/0!</v>
      </c>
      <c r="G62" s="1111" t="s">
        <v>2771</v>
      </c>
      <c r="H62" s="1106">
        <f>IF(G62="商业",项目基本情况!B37,IF(G62="办公",项目基本情况!C37,IF(G62="住宅",项目基本情况!D37,项目基本情况!E37)))</f>
        <v>0</v>
      </c>
      <c r="I62" s="1110">
        <f>SUMIF(修正!A45:A56,H62,修正!G45:G56)</f>
        <v>0</v>
      </c>
      <c r="J62" s="1114"/>
      <c r="K62" s="1145"/>
      <c r="L62" s="943"/>
      <c r="M62" s="943"/>
      <c r="N62" s="943"/>
      <c r="O62" s="943"/>
    </row>
    <row r="63" spans="1:15" s="691" customFormat="1">
      <c r="A63" s="692" t="s">
        <v>2772</v>
      </c>
      <c r="B63" s="262" t="e">
        <f t="shared" si="17"/>
        <v>#DIV/0!</v>
      </c>
      <c r="C63" s="200">
        <f t="shared" si="16"/>
        <v>0</v>
      </c>
      <c r="D63" s="1164">
        <v>0.25</v>
      </c>
      <c r="E63" s="261">
        <f>'数据-汇总表'!E13</f>
        <v>0</v>
      </c>
      <c r="F63" s="1105" t="e">
        <f t="shared" si="15"/>
        <v>#DIV/0!</v>
      </c>
      <c r="G63" s="1111" t="s">
        <v>2773</v>
      </c>
      <c r="H63" s="1106">
        <f>IF(G63="商业",项目基本情况!B37,IF(G63="办公",项目基本情况!C37,IF(G63="住宅",项目基本情况!D37,项目基本情况!E37)))</f>
        <v>0</v>
      </c>
      <c r="I63" s="1110">
        <f>SUMIF(修正!A45:A56,H63,修正!H45:H56)</f>
        <v>0</v>
      </c>
      <c r="J63" s="1114"/>
      <c r="K63" s="1144"/>
      <c r="L63" s="943"/>
      <c r="M63" s="943"/>
      <c r="N63" s="943"/>
      <c r="O63" s="943"/>
    </row>
    <row r="64" spans="1:15" s="691" customFormat="1">
      <c r="A64" s="692" t="s">
        <v>2774</v>
      </c>
      <c r="B64" s="262" t="e">
        <f t="shared" si="17"/>
        <v>#DIV/0!</v>
      </c>
      <c r="C64" s="200">
        <f t="shared" si="16"/>
        <v>0</v>
      </c>
      <c r="D64" s="1164">
        <v>0.25</v>
      </c>
      <c r="E64" s="261">
        <f>'数据-汇总表'!E14</f>
        <v>0</v>
      </c>
      <c r="F64" s="1105" t="e">
        <f t="shared" si="15"/>
        <v>#DIV/0!</v>
      </c>
      <c r="G64" s="2705" t="s">
        <v>2764</v>
      </c>
      <c r="H64" s="1106">
        <f>项目基本情况!B37</f>
        <v>0</v>
      </c>
      <c r="I64" s="1110">
        <f>SUMIF(修正!A45:A56,H64,修正!H45:H56)</f>
        <v>0</v>
      </c>
      <c r="J64" s="1114"/>
      <c r="K64" s="1145"/>
      <c r="L64" s="943"/>
      <c r="M64" s="943"/>
      <c r="N64" s="943"/>
      <c r="O64" s="943"/>
    </row>
    <row r="65" spans="1:17" s="691" customFormat="1" ht="15" thickBot="1">
      <c r="A65" s="692" t="s">
        <v>2775</v>
      </c>
      <c r="B65" s="262" t="e">
        <f t="shared" si="17"/>
        <v>#DIV/0!</v>
      </c>
      <c r="C65" s="200">
        <f t="shared" si="16"/>
        <v>0</v>
      </c>
      <c r="D65" s="1164">
        <v>0.25</v>
      </c>
      <c r="E65" s="261">
        <f>'数据-汇总表'!E15</f>
        <v>0</v>
      </c>
      <c r="F65" s="1105" t="e">
        <f t="shared" si="15"/>
        <v>#DIV/0!</v>
      </c>
      <c r="G65" s="2706" t="s">
        <v>2769</v>
      </c>
      <c r="H65" s="1116">
        <f>项目基本情况!C37</f>
        <v>0</v>
      </c>
      <c r="I65" s="1112">
        <f>SUMIF(修正!A45:A56,H65,修正!H45:H56)</f>
        <v>0</v>
      </c>
      <c r="J65" s="1115"/>
      <c r="K65" s="1144"/>
      <c r="L65" s="943"/>
      <c r="M65" s="943"/>
      <c r="N65" s="943"/>
      <c r="O65" s="943"/>
    </row>
    <row r="66" spans="1:17" s="691" customFormat="1" ht="13.5" thickBot="1">
      <c r="A66" s="694" t="s">
        <v>2776</v>
      </c>
      <c r="B66" s="695" t="s">
        <v>28</v>
      </c>
      <c r="C66" s="695" t="s">
        <v>29</v>
      </c>
      <c r="D66" s="695" t="s">
        <v>1029</v>
      </c>
      <c r="E66" s="695">
        <f>IF(B46="楼面地价",SUM(E56:E65),'数据-汇总表'!D3)</f>
        <v>18418.460000000006</v>
      </c>
      <c r="F66" s="696" t="e">
        <f>IF(B46="楼面地价",SUM(F56:F65),ROUND(C48*E66/10000,0))</f>
        <v>#DIV/0!</v>
      </c>
      <c r="G66" s="786"/>
      <c r="H66" s="786"/>
      <c r="I66" s="786"/>
      <c r="J66" s="786"/>
      <c r="K66" s="1158"/>
      <c r="L66" s="943"/>
      <c r="M66" s="943"/>
      <c r="N66" s="943"/>
      <c r="O66" s="943"/>
    </row>
    <row r="67" spans="1:17">
      <c r="A67" s="758"/>
      <c r="B67" s="760"/>
      <c r="C67" s="761"/>
      <c r="D67" s="758"/>
      <c r="E67" s="758"/>
      <c r="F67" s="758"/>
      <c r="G67" s="758"/>
      <c r="H67" s="758"/>
      <c r="I67" s="758"/>
      <c r="J67" s="1144"/>
      <c r="K67" s="1107"/>
      <c r="L67" s="1108"/>
      <c r="M67" s="1144"/>
      <c r="N67" s="1144"/>
      <c r="O67" s="1144"/>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2669</v>
      </c>
      <c r="B69" s="758"/>
      <c r="C69" s="763"/>
      <c r="D69" s="763"/>
      <c r="E69" s="763"/>
      <c r="F69" s="764"/>
      <c r="G69" s="764"/>
      <c r="H69" s="763"/>
      <c r="I69" s="763"/>
      <c r="J69" s="1159"/>
      <c r="K69" s="1160"/>
      <c r="L69" s="1161"/>
      <c r="M69" s="1159"/>
      <c r="N69" s="1159"/>
      <c r="O69" s="1159"/>
      <c r="P69" s="503"/>
      <c r="Q69" s="504"/>
    </row>
    <row r="70" spans="1:17" s="508" customFormat="1" ht="15">
      <c r="A70" s="2707" t="s">
        <v>2777</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08" t="s">
        <v>2778</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8">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7"/>
      <c r="M96" s="621"/>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1"/>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59" t="s">
        <v>2670</v>
      </c>
      <c r="D102" s="659" t="s">
        <v>2671</v>
      </c>
      <c r="E102" s="659" t="s">
        <v>2672</v>
      </c>
      <c r="F102" s="659" t="s">
        <v>2673</v>
      </c>
      <c r="G102" s="659"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4"/>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6"/>
      <c r="E115" s="676"/>
      <c r="F115" s="676"/>
      <c r="G115" s="676"/>
      <c r="H115" s="676"/>
      <c r="I115" s="676"/>
      <c r="J115" s="676"/>
      <c r="K115" s="676"/>
      <c r="L115" s="676"/>
      <c r="M115" s="698"/>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9"/>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2322</v>
      </c>
      <c r="B2" s="670" t="e">
        <f>F61</f>
        <v>#DIV/0!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2640</v>
      </c>
      <c r="B4" s="402"/>
      <c r="C4" s="3232" t="s">
        <v>2641</v>
      </c>
      <c r="D4" s="3233"/>
      <c r="E4" s="3234" t="s">
        <v>2642</v>
      </c>
      <c r="F4" s="3235"/>
      <c r="G4" s="3232" t="s">
        <v>2643</v>
      </c>
      <c r="H4" s="3233"/>
      <c r="I4" s="3232" t="s">
        <v>2644</v>
      </c>
      <c r="J4" s="3233"/>
      <c r="K4" s="610" t="s">
        <v>2645</v>
      </c>
      <c r="L4" s="1130"/>
      <c r="M4" s="1131"/>
      <c r="N4" s="1131"/>
      <c r="O4" s="1131"/>
      <c r="P4" s="3236" t="s">
        <v>2646</v>
      </c>
      <c r="Q4" s="3237"/>
      <c r="R4" s="3219" t="s">
        <v>2642</v>
      </c>
      <c r="S4" s="3220"/>
      <c r="T4" s="3219" t="s">
        <v>2643</v>
      </c>
      <c r="U4" s="3220"/>
      <c r="V4" s="3216" t="s">
        <v>2644</v>
      </c>
      <c r="W4" s="3216"/>
      <c r="X4" s="1811"/>
      <c r="Y4" s="3219" t="s">
        <v>2646</v>
      </c>
      <c r="Z4" s="3220"/>
      <c r="AA4" s="3213" t="s">
        <v>2642</v>
      </c>
      <c r="AB4" s="3214" t="s">
        <v>2643</v>
      </c>
      <c r="AC4" s="3213" t="s">
        <v>2644</v>
      </c>
    </row>
    <row r="5" spans="1:29" ht="15">
      <c r="A5" s="404"/>
      <c r="B5" s="405"/>
      <c r="C5" s="3287" t="s">
        <v>2537</v>
      </c>
      <c r="D5" s="3226"/>
      <c r="E5" s="3286" t="s">
        <v>2538</v>
      </c>
      <c r="F5" s="3224"/>
      <c r="G5" s="3287" t="s">
        <v>2539</v>
      </c>
      <c r="H5" s="3226"/>
      <c r="I5" s="3287" t="s">
        <v>2540</v>
      </c>
      <c r="J5" s="3226"/>
      <c r="K5" s="610"/>
      <c r="L5" s="1130"/>
      <c r="M5" s="1131"/>
      <c r="N5" s="1131"/>
      <c r="O5" s="1131"/>
      <c r="P5" s="3238"/>
      <c r="Q5" s="3239"/>
      <c r="R5" s="3221"/>
      <c r="S5" s="3222"/>
      <c r="T5" s="3221"/>
      <c r="U5" s="3222"/>
      <c r="V5" s="3216"/>
      <c r="W5" s="3216"/>
      <c r="X5" s="1811"/>
      <c r="Y5" s="3221"/>
      <c r="Z5" s="3222"/>
      <c r="AA5" s="3214"/>
      <c r="AB5" s="3214"/>
      <c r="AC5" s="3214"/>
    </row>
    <row r="6" spans="1:29" ht="15.75" thickBot="1">
      <c r="A6" s="406"/>
      <c r="B6" s="407"/>
      <c r="C6" s="3310" t="s">
        <v>2792</v>
      </c>
      <c r="D6" s="3311"/>
      <c r="E6" s="3312" t="s">
        <v>2792</v>
      </c>
      <c r="F6" s="3313"/>
      <c r="G6" s="3310" t="s">
        <v>2792</v>
      </c>
      <c r="H6" s="3311"/>
      <c r="I6" s="3310" t="s">
        <v>2792</v>
      </c>
      <c r="J6" s="3311"/>
      <c r="K6" s="610" t="s">
        <v>2542</v>
      </c>
      <c r="L6" s="1130"/>
      <c r="M6" s="1131"/>
      <c r="N6" s="1131"/>
      <c r="O6" s="1131"/>
      <c r="P6" s="3240"/>
      <c r="Q6" s="3241"/>
      <c r="R6" s="3221"/>
      <c r="S6" s="3222"/>
      <c r="T6" s="3242"/>
      <c r="U6" s="3243"/>
      <c r="V6" s="3216"/>
      <c r="W6" s="3216"/>
      <c r="X6" s="1811"/>
      <c r="Y6" s="3242"/>
      <c r="Z6" s="3243"/>
      <c r="AA6" s="3215"/>
      <c r="AB6" s="3215"/>
      <c r="AC6" s="3215"/>
    </row>
    <row r="7" spans="1:29" s="117" customFormat="1" ht="15.75" thickBot="1">
      <c r="A7" s="408" t="s">
        <v>2543</v>
      </c>
      <c r="B7" s="409"/>
      <c r="C7" s="410">
        <f>'数据-取费表'!B2</f>
        <v>43279</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17" t="s">
        <v>2544</v>
      </c>
      <c r="Q7" s="3244"/>
      <c r="R7" s="769" t="s">
        <v>17</v>
      </c>
      <c r="S7" s="770">
        <f t="shared" ref="S7:S15" si="0">F7</f>
        <v>0</v>
      </c>
      <c r="T7" s="769" t="s">
        <v>17</v>
      </c>
      <c r="U7" s="770">
        <f t="shared" ref="U7:U15" si="1">H7</f>
        <v>0</v>
      </c>
      <c r="V7" s="769" t="s">
        <v>17</v>
      </c>
      <c r="W7" s="770">
        <f t="shared" ref="W7:W15" si="2">J7</f>
        <v>0</v>
      </c>
      <c r="X7" s="771"/>
      <c r="Y7" s="3217" t="s">
        <v>2544</v>
      </c>
      <c r="Z7" s="3218"/>
      <c r="AA7" s="772" t="e">
        <f>D7/F7</f>
        <v>#DIV/0!</v>
      </c>
      <c r="AB7" s="772" t="e">
        <f>D7/H7</f>
        <v>#DIV/0!</v>
      </c>
      <c r="AC7" s="772"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7" t="s">
        <v>2547</v>
      </c>
      <c r="Q8" s="3218"/>
      <c r="R8" s="769" t="s">
        <v>17</v>
      </c>
      <c r="S8" s="770">
        <f t="shared" si="0"/>
        <v>0</v>
      </c>
      <c r="T8" s="769" t="s">
        <v>17</v>
      </c>
      <c r="U8" s="770">
        <f t="shared" si="1"/>
        <v>0</v>
      </c>
      <c r="V8" s="769" t="s">
        <v>17</v>
      </c>
      <c r="W8" s="770">
        <f t="shared" si="2"/>
        <v>0</v>
      </c>
      <c r="X8" s="771"/>
      <c r="Y8" s="3217" t="s">
        <v>2547</v>
      </c>
      <c r="Z8" s="3218"/>
      <c r="AA8" s="772" t="e">
        <f t="shared" ref="AA8:AA40" si="3">D8/F8</f>
        <v>#DIV/0!</v>
      </c>
      <c r="AB8" s="772" t="e">
        <f t="shared" ref="AB8:AB40" si="4">D8/H8</f>
        <v>#DIV/0!</v>
      </c>
      <c r="AC8" s="772" t="e">
        <f t="shared" ref="AC8:AC40" si="5">D8/J8</f>
        <v>#DIV/0!</v>
      </c>
    </row>
    <row r="9" spans="1:29" s="117" customFormat="1">
      <c r="A9" s="415" t="s">
        <v>2548</v>
      </c>
      <c r="B9" s="71" t="s">
        <v>2549</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254" t="s">
        <v>2550</v>
      </c>
      <c r="Q9" s="1793" t="str">
        <f t="shared" ref="Q9:Q15" si="6">B9</f>
        <v>用途</v>
      </c>
      <c r="R9" s="769" t="s">
        <v>17</v>
      </c>
      <c r="S9" s="770">
        <f t="shared" si="0"/>
        <v>100</v>
      </c>
      <c r="T9" s="769" t="s">
        <v>17</v>
      </c>
      <c r="U9" s="770">
        <f t="shared" si="1"/>
        <v>100</v>
      </c>
      <c r="V9" s="769" t="s">
        <v>17</v>
      </c>
      <c r="W9" s="770">
        <f t="shared" si="2"/>
        <v>100</v>
      </c>
      <c r="X9" s="771"/>
      <c r="Y9" s="3090" t="s">
        <v>2551</v>
      </c>
      <c r="Z9" s="55" t="str">
        <f t="shared" ref="Z9:Z15" si="7">Q9</f>
        <v>用途</v>
      </c>
      <c r="AA9" s="772">
        <f t="shared" si="3"/>
        <v>1</v>
      </c>
      <c r="AB9" s="772">
        <f t="shared" si="4"/>
        <v>1</v>
      </c>
      <c r="AC9" s="772">
        <f t="shared" si="5"/>
        <v>1</v>
      </c>
    </row>
    <row r="10" spans="1:29" s="427" customFormat="1" ht="27">
      <c r="A10" s="421"/>
      <c r="B10" s="422" t="s">
        <v>2552</v>
      </c>
      <c r="C10" s="432"/>
      <c r="D10" s="136">
        <v>100</v>
      </c>
      <c r="E10" s="432"/>
      <c r="F10" s="136">
        <f>ROUND(100/'数据-取费表'!G16,0)</f>
        <v>105</v>
      </c>
      <c r="G10" s="432"/>
      <c r="H10" s="136">
        <f>ROUND(100/'数据-取费表'!G16,0)</f>
        <v>105</v>
      </c>
      <c r="I10" s="432"/>
      <c r="J10" s="136">
        <f>ROUND(100/'数据-取费表'!G16,0)</f>
        <v>105</v>
      </c>
      <c r="K10" s="671"/>
      <c r="L10" s="1135"/>
      <c r="M10" s="1136"/>
      <c r="N10" s="1136"/>
      <c r="O10" s="1137"/>
      <c r="P10" s="3254"/>
      <c r="Q10" s="1793" t="str">
        <f t="shared" si="6"/>
        <v>土地使用年限（年）</v>
      </c>
      <c r="R10" s="769" t="s">
        <v>17</v>
      </c>
      <c r="S10" s="770">
        <f t="shared" si="0"/>
        <v>105</v>
      </c>
      <c r="T10" s="769" t="s">
        <v>17</v>
      </c>
      <c r="U10" s="770">
        <f t="shared" si="1"/>
        <v>105</v>
      </c>
      <c r="V10" s="769" t="s">
        <v>17</v>
      </c>
      <c r="W10" s="770">
        <f t="shared" si="2"/>
        <v>105</v>
      </c>
      <c r="X10" s="771"/>
      <c r="Y10" s="3090"/>
      <c r="Z10" s="55" t="str">
        <f t="shared" si="7"/>
        <v>土地使用年限（年）</v>
      </c>
      <c r="AA10" s="772">
        <f t="shared" si="3"/>
        <v>0.95238095238095233</v>
      </c>
      <c r="AB10" s="772">
        <f t="shared" si="4"/>
        <v>0.95238095238095233</v>
      </c>
      <c r="AC10" s="772">
        <f t="shared" si="5"/>
        <v>0.95238095238095233</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8"/>
      <c r="M11" s="1131"/>
      <c r="N11" s="1131"/>
      <c r="O11" s="1139"/>
      <c r="P11" s="3254"/>
      <c r="Q11" s="1793" t="str">
        <f t="shared" si="6"/>
        <v>容积率</v>
      </c>
      <c r="R11" s="769" t="s">
        <v>17</v>
      </c>
      <c r="S11" s="770" t="e">
        <f t="shared" si="0"/>
        <v>#N/A</v>
      </c>
      <c r="T11" s="769" t="s">
        <v>17</v>
      </c>
      <c r="U11" s="770" t="e">
        <f t="shared" si="1"/>
        <v>#N/A</v>
      </c>
      <c r="V11" s="769" t="s">
        <v>17</v>
      </c>
      <c r="W11" s="770" t="e">
        <f t="shared" si="2"/>
        <v>#N/A</v>
      </c>
      <c r="X11" s="771"/>
      <c r="Y11" s="3090"/>
      <c r="Z11" s="55" t="str">
        <f t="shared" si="7"/>
        <v>容积率</v>
      </c>
      <c r="AA11" s="772" t="e">
        <f t="shared" si="3"/>
        <v>#N/A</v>
      </c>
      <c r="AB11" s="772" t="e">
        <f t="shared" si="4"/>
        <v>#N/A</v>
      </c>
      <c r="AC11" s="772" t="e">
        <f t="shared" si="5"/>
        <v>#N/A</v>
      </c>
    </row>
    <row r="12" spans="1:29" s="117" customFormat="1" ht="15">
      <c r="A12" s="431"/>
      <c r="B12" s="2596">
        <v>111</v>
      </c>
      <c r="C12" s="432"/>
      <c r="D12" s="433">
        <v>100</v>
      </c>
      <c r="E12" s="549"/>
      <c r="F12" s="136">
        <f>SUMIF(77:77,E12,78:78)-SUMIF(77:77,C12,78:78)+100</f>
        <v>100</v>
      </c>
      <c r="G12" s="673"/>
      <c r="H12" s="136">
        <f>SUMIF(77:77,G12,78:78)-SUMIF(77:77,C12,78:78)+100</f>
        <v>100</v>
      </c>
      <c r="I12" s="549"/>
      <c r="J12" s="136">
        <f>SUMIF(77:77,I12,78:78)-SUMIF(77:77,C12,78:78)+100</f>
        <v>100</v>
      </c>
      <c r="K12" s="671"/>
      <c r="L12" s="1132"/>
      <c r="M12" s="1133"/>
      <c r="N12" s="1133"/>
      <c r="O12" s="1134"/>
      <c r="P12" s="3254"/>
      <c r="Q12" s="1793">
        <f t="shared" si="6"/>
        <v>111</v>
      </c>
      <c r="R12" s="769" t="s">
        <v>17</v>
      </c>
      <c r="S12" s="770">
        <f t="shared" si="0"/>
        <v>100</v>
      </c>
      <c r="T12" s="769" t="s">
        <v>17</v>
      </c>
      <c r="U12" s="770">
        <f t="shared" si="1"/>
        <v>100</v>
      </c>
      <c r="V12" s="769" t="s">
        <v>17</v>
      </c>
      <c r="W12" s="770">
        <f t="shared" si="2"/>
        <v>100</v>
      </c>
      <c r="X12" s="771"/>
      <c r="Y12" s="3090"/>
      <c r="Z12" s="55">
        <f t="shared" si="7"/>
        <v>111</v>
      </c>
      <c r="AA12" s="772">
        <f>D12/F12</f>
        <v>1</v>
      </c>
      <c r="AB12" s="772">
        <f>D12/H12</f>
        <v>1</v>
      </c>
      <c r="AC12" s="772">
        <f>D12/J12</f>
        <v>1</v>
      </c>
    </row>
    <row r="13" spans="1:29" ht="15">
      <c r="A13" s="428"/>
      <c r="B13" s="2596">
        <v>111</v>
      </c>
      <c r="C13" s="434"/>
      <c r="D13" s="435">
        <v>100</v>
      </c>
      <c r="E13" s="549"/>
      <c r="F13" s="136">
        <f>SUMIF(79:79,E13,80:80)-SUMIF(79:79,C13,80:80)+100</f>
        <v>100</v>
      </c>
      <c r="G13" s="673"/>
      <c r="H13" s="435">
        <f>SUMIF(79:79,G13,80:80)-SUMIF(79:79,C13,80:80)+100</f>
        <v>100</v>
      </c>
      <c r="I13" s="549"/>
      <c r="J13" s="435">
        <f>SUMIF(79:79,I13,80:80)-SUMIF(79:79,C13,80:80)+100</f>
        <v>100</v>
      </c>
      <c r="K13" s="671"/>
      <c r="L13" s="1140"/>
      <c r="M13" s="1131"/>
      <c r="N13" s="1131"/>
      <c r="O13" s="1139"/>
      <c r="P13" s="3254"/>
      <c r="Q13" s="1793">
        <f t="shared" si="6"/>
        <v>111</v>
      </c>
      <c r="R13" s="769" t="s">
        <v>17</v>
      </c>
      <c r="S13" s="770">
        <f t="shared" si="0"/>
        <v>100</v>
      </c>
      <c r="T13" s="769" t="s">
        <v>17</v>
      </c>
      <c r="U13" s="770">
        <f t="shared" si="1"/>
        <v>100</v>
      </c>
      <c r="V13" s="769" t="s">
        <v>17</v>
      </c>
      <c r="W13" s="770">
        <f t="shared" si="2"/>
        <v>100</v>
      </c>
      <c r="X13" s="771"/>
      <c r="Y13" s="3090"/>
      <c r="Z13" s="55">
        <f t="shared" si="7"/>
        <v>111</v>
      </c>
      <c r="AA13" s="772">
        <f t="shared" si="3"/>
        <v>1</v>
      </c>
      <c r="AB13" s="772">
        <f t="shared" si="4"/>
        <v>1</v>
      </c>
      <c r="AC13" s="772">
        <f t="shared" si="5"/>
        <v>1</v>
      </c>
    </row>
    <row r="14" spans="1:29" ht="15.75" thickBot="1">
      <c r="A14" s="436"/>
      <c r="B14" s="2598">
        <v>111</v>
      </c>
      <c r="C14" s="437"/>
      <c r="D14" s="438">
        <v>100</v>
      </c>
      <c r="E14" s="549"/>
      <c r="F14" s="438">
        <f>SUMIF(81:81,E14,82:82)-SUMIF(81:81,C14,82:82)+100</f>
        <v>100</v>
      </c>
      <c r="G14" s="673"/>
      <c r="H14" s="438">
        <f>SUMIF(81:81,G14,82:82)-SUMIF(81:81,C14,82:82)+100</f>
        <v>100</v>
      </c>
      <c r="I14" s="549"/>
      <c r="J14" s="438">
        <f>SUMIF(81:81,I14,82:82)-SUMIF(81:81,C14,82:82)+100</f>
        <v>100</v>
      </c>
      <c r="K14" s="671"/>
      <c r="L14" s="1140"/>
      <c r="M14" s="1131"/>
      <c r="N14" s="1131"/>
      <c r="O14" s="1139"/>
      <c r="P14" s="3254"/>
      <c r="Q14" s="1793">
        <f t="shared" si="6"/>
        <v>111</v>
      </c>
      <c r="R14" s="769" t="s">
        <v>17</v>
      </c>
      <c r="S14" s="770">
        <f t="shared" si="0"/>
        <v>100</v>
      </c>
      <c r="T14" s="769" t="s">
        <v>17</v>
      </c>
      <c r="U14" s="770">
        <f t="shared" si="1"/>
        <v>100</v>
      </c>
      <c r="V14" s="769" t="s">
        <v>17</v>
      </c>
      <c r="W14" s="770">
        <f t="shared" si="2"/>
        <v>100</v>
      </c>
      <c r="X14" s="771"/>
      <c r="Y14" s="3090"/>
      <c r="Z14" s="55">
        <f t="shared" si="7"/>
        <v>111</v>
      </c>
      <c r="AA14" s="772">
        <f t="shared" si="3"/>
        <v>1</v>
      </c>
      <c r="AB14" s="772">
        <f t="shared" si="4"/>
        <v>1</v>
      </c>
      <c r="AC14" s="772">
        <f t="shared" si="5"/>
        <v>1</v>
      </c>
    </row>
    <row r="15" spans="1:29" ht="57">
      <c r="A15" s="440" t="s">
        <v>2554</v>
      </c>
      <c r="B15" s="628" t="s">
        <v>2793</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0"/>
      <c r="M15" s="1131"/>
      <c r="N15" s="1131"/>
      <c r="O15" s="1139"/>
      <c r="P15" s="3247" t="s">
        <v>2555</v>
      </c>
      <c r="Q15" s="1808" t="str">
        <f t="shared" si="6"/>
        <v>产业集聚程度</v>
      </c>
      <c r="R15" s="773" t="s">
        <v>17</v>
      </c>
      <c r="S15" s="774">
        <f t="shared" si="0"/>
        <v>100</v>
      </c>
      <c r="T15" s="773" t="s">
        <v>17</v>
      </c>
      <c r="U15" s="774">
        <f t="shared" si="1"/>
        <v>100</v>
      </c>
      <c r="V15" s="773" t="s">
        <v>17</v>
      </c>
      <c r="W15" s="774">
        <f t="shared" si="2"/>
        <v>100</v>
      </c>
      <c r="X15" s="1811"/>
      <c r="Y15" s="3247" t="s">
        <v>2555</v>
      </c>
      <c r="Z15" s="1812" t="str">
        <f t="shared" si="7"/>
        <v>产业集聚程度</v>
      </c>
      <c r="AA15" s="1809">
        <f t="shared" si="3"/>
        <v>1</v>
      </c>
      <c r="AB15" s="1809">
        <f t="shared" si="4"/>
        <v>1</v>
      </c>
      <c r="AC15" s="1809">
        <f t="shared" si="5"/>
        <v>1</v>
      </c>
    </row>
    <row r="16" spans="1:29" ht="15">
      <c r="A16" s="428"/>
      <c r="B16" s="629"/>
      <c r="C16" s="447"/>
      <c r="D16" s="448"/>
      <c r="E16" s="2607"/>
      <c r="F16" s="448"/>
      <c r="G16" s="2607"/>
      <c r="H16" s="450"/>
      <c r="I16" s="2607"/>
      <c r="J16" s="448"/>
      <c r="K16" s="671"/>
      <c r="L16" s="1140"/>
      <c r="M16" s="1131"/>
      <c r="N16" s="1131"/>
      <c r="O16" s="1139"/>
      <c r="P16" s="3248"/>
      <c r="Q16" s="1808"/>
      <c r="R16" s="773"/>
      <c r="S16" s="774"/>
      <c r="T16" s="773"/>
      <c r="U16" s="774"/>
      <c r="V16" s="773"/>
      <c r="W16" s="774"/>
      <c r="X16" s="1811"/>
      <c r="Y16" s="3248"/>
      <c r="Z16" s="1812"/>
      <c r="AA16" s="1809">
        <v>1</v>
      </c>
      <c r="AB16" s="1809">
        <v>1</v>
      </c>
      <c r="AC16" s="1809">
        <v>1</v>
      </c>
    </row>
    <row r="17" spans="1:29" ht="85.5">
      <c r="A17" s="428"/>
      <c r="B17" s="630" t="s">
        <v>2704</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0"/>
      <c r="M17" s="1131"/>
      <c r="N17" s="1131"/>
      <c r="O17" s="1139"/>
      <c r="P17" s="3248"/>
      <c r="Q17" s="1808" t="str">
        <f>B17</f>
        <v>交通便捷度</v>
      </c>
      <c r="R17" s="773" t="s">
        <v>17</v>
      </c>
      <c r="S17" s="774">
        <f>F17</f>
        <v>100</v>
      </c>
      <c r="T17" s="773" t="s">
        <v>17</v>
      </c>
      <c r="U17" s="774">
        <f>H17</f>
        <v>100</v>
      </c>
      <c r="V17" s="773" t="s">
        <v>17</v>
      </c>
      <c r="W17" s="774">
        <f>J17</f>
        <v>100</v>
      </c>
      <c r="X17" s="1811"/>
      <c r="Y17" s="3248"/>
      <c r="Z17" s="1812" t="str">
        <f>Q17</f>
        <v>交通便捷度</v>
      </c>
      <c r="AA17" s="1809">
        <f t="shared" si="3"/>
        <v>1</v>
      </c>
      <c r="AB17" s="1809">
        <f t="shared" si="4"/>
        <v>1</v>
      </c>
      <c r="AC17" s="1809">
        <f t="shared" si="5"/>
        <v>1</v>
      </c>
    </row>
    <row r="18" spans="1:29" ht="15">
      <c r="A18" s="428"/>
      <c r="B18" s="631"/>
      <c r="C18" s="447"/>
      <c r="D18" s="448"/>
      <c r="E18" s="2601"/>
      <c r="F18" s="448"/>
      <c r="G18" s="2601"/>
      <c r="H18" s="448"/>
      <c r="I18" s="2600"/>
      <c r="J18" s="448"/>
      <c r="K18" s="671"/>
      <c r="L18" s="1140"/>
      <c r="M18" s="1131"/>
      <c r="N18" s="1131"/>
      <c r="O18" s="1139"/>
      <c r="P18" s="3248"/>
      <c r="Q18" s="1808"/>
      <c r="R18" s="773"/>
      <c r="S18" s="774"/>
      <c r="T18" s="773"/>
      <c r="U18" s="774"/>
      <c r="V18" s="773"/>
      <c r="W18" s="774"/>
      <c r="X18" s="1811"/>
      <c r="Y18" s="3248"/>
      <c r="Z18" s="1812"/>
      <c r="AA18" s="1809">
        <v>1</v>
      </c>
      <c r="AB18" s="1809">
        <v>1</v>
      </c>
      <c r="AC18" s="1809">
        <v>1</v>
      </c>
    </row>
    <row r="19" spans="1:29" ht="15">
      <c r="A19" s="428"/>
      <c r="B19" s="630" t="s">
        <v>2743</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0"/>
      <c r="M19" s="1131"/>
      <c r="N19" s="1131"/>
      <c r="O19" s="1139"/>
      <c r="P19" s="3248"/>
      <c r="Q19" s="1808" t="str">
        <f t="shared" ref="Q19:Q33" si="8">B19</f>
        <v>区域土地利用方向</v>
      </c>
      <c r="R19" s="773" t="s">
        <v>17</v>
      </c>
      <c r="S19" s="774">
        <f>F19</f>
        <v>100</v>
      </c>
      <c r="T19" s="773" t="s">
        <v>17</v>
      </c>
      <c r="U19" s="774">
        <f>H19</f>
        <v>100</v>
      </c>
      <c r="V19" s="773" t="s">
        <v>17</v>
      </c>
      <c r="W19" s="774">
        <f>J19</f>
        <v>100</v>
      </c>
      <c r="X19" s="1811"/>
      <c r="Y19" s="3248"/>
      <c r="Z19" s="1812" t="str">
        <f>Q19</f>
        <v>区域土地利用方向</v>
      </c>
      <c r="AA19" s="1809">
        <f t="shared" si="3"/>
        <v>1</v>
      </c>
      <c r="AB19" s="1809">
        <f t="shared" si="4"/>
        <v>1</v>
      </c>
      <c r="AC19" s="1809">
        <f t="shared" si="5"/>
        <v>1</v>
      </c>
    </row>
    <row r="20" spans="1:29" ht="15">
      <c r="A20" s="404"/>
      <c r="B20" s="631"/>
      <c r="C20" s="447"/>
      <c r="D20" s="448"/>
      <c r="E20" s="2601"/>
      <c r="F20" s="448"/>
      <c r="G20" s="2601"/>
      <c r="H20" s="448"/>
      <c r="I20" s="2601"/>
      <c r="J20" s="448"/>
      <c r="K20" s="811"/>
      <c r="L20" s="1140"/>
      <c r="M20" s="1131"/>
      <c r="N20" s="1131"/>
      <c r="O20" s="1139"/>
      <c r="P20" s="3248"/>
      <c r="Q20" s="1808"/>
      <c r="R20" s="773"/>
      <c r="S20" s="774"/>
      <c r="T20" s="773"/>
      <c r="U20" s="774"/>
      <c r="V20" s="773"/>
      <c r="W20" s="774"/>
      <c r="X20" s="1811"/>
      <c r="Y20" s="3248"/>
      <c r="Z20" s="1812"/>
      <c r="AA20" s="1809"/>
      <c r="AB20" s="1809"/>
      <c r="AC20" s="1809"/>
    </row>
    <row r="21" spans="1:29" ht="71.25">
      <c r="A21" s="404"/>
      <c r="B21" s="630" t="s">
        <v>2794</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0"/>
      <c r="M21" s="1131"/>
      <c r="N21" s="1131"/>
      <c r="O21" s="1139"/>
      <c r="P21" s="3248"/>
      <c r="Q21" s="1808" t="str">
        <f t="shared" si="8"/>
        <v>环境状况</v>
      </c>
      <c r="R21" s="773" t="s">
        <v>17</v>
      </c>
      <c r="S21" s="774">
        <f>F21</f>
        <v>100</v>
      </c>
      <c r="T21" s="773" t="s">
        <v>17</v>
      </c>
      <c r="U21" s="774">
        <f>H21</f>
        <v>100</v>
      </c>
      <c r="V21" s="773" t="s">
        <v>17</v>
      </c>
      <c r="W21" s="774">
        <f>J21</f>
        <v>100</v>
      </c>
      <c r="X21" s="1811"/>
      <c r="Y21" s="3248"/>
      <c r="Z21" s="1812" t="str">
        <f>Q21</f>
        <v>环境状况</v>
      </c>
      <c r="AA21" s="1809">
        <f t="shared" si="3"/>
        <v>1</v>
      </c>
      <c r="AB21" s="1809">
        <f t="shared" si="4"/>
        <v>1</v>
      </c>
      <c r="AC21" s="1809">
        <f t="shared" si="5"/>
        <v>1</v>
      </c>
    </row>
    <row r="22" spans="1:29" ht="15">
      <c r="A22" s="404"/>
      <c r="B22" s="631"/>
      <c r="C22" s="447"/>
      <c r="D22" s="448"/>
      <c r="E22" s="2607"/>
      <c r="F22" s="448"/>
      <c r="G22" s="2607"/>
      <c r="H22" s="448"/>
      <c r="I22" s="447"/>
      <c r="J22" s="448"/>
      <c r="K22" s="671"/>
      <c r="L22" s="1140"/>
      <c r="M22" s="1131"/>
      <c r="N22" s="1131"/>
      <c r="O22" s="1139"/>
      <c r="P22" s="3248"/>
      <c r="Q22" s="1808"/>
      <c r="R22" s="773"/>
      <c r="S22" s="774"/>
      <c r="T22" s="773"/>
      <c r="U22" s="774"/>
      <c r="V22" s="773"/>
      <c r="W22" s="774"/>
      <c r="X22" s="1811"/>
      <c r="Y22" s="3248"/>
      <c r="Z22" s="1812"/>
      <c r="AA22" s="1809">
        <v>1</v>
      </c>
      <c r="AB22" s="1809">
        <v>1</v>
      </c>
      <c r="AC22" s="1809">
        <v>1</v>
      </c>
    </row>
    <row r="23" spans="1:29" s="117" customFormat="1" ht="42.75">
      <c r="A23" s="648"/>
      <c r="B23" s="632" t="s">
        <v>2649</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2"/>
      <c r="M23" s="1133"/>
      <c r="N23" s="1133"/>
      <c r="O23" s="1134"/>
      <c r="P23" s="3248"/>
      <c r="Q23" s="1793" t="str">
        <f t="shared" si="8"/>
        <v>公共配套设施</v>
      </c>
      <c r="R23" s="769" t="s">
        <v>17</v>
      </c>
      <c r="S23" s="770">
        <f>F23</f>
        <v>100</v>
      </c>
      <c r="T23" s="769" t="s">
        <v>17</v>
      </c>
      <c r="U23" s="770">
        <f>H23</f>
        <v>100</v>
      </c>
      <c r="V23" s="769" t="s">
        <v>17</v>
      </c>
      <c r="W23" s="770">
        <f>J23</f>
        <v>100</v>
      </c>
      <c r="X23" s="771"/>
      <c r="Y23" s="3248"/>
      <c r="Z23" s="55" t="str">
        <f>Q23</f>
        <v>公共配套设施</v>
      </c>
      <c r="AA23" s="1809">
        <f>D23/F23</f>
        <v>1</v>
      </c>
      <c r="AB23" s="1809">
        <f>D23/H23</f>
        <v>1</v>
      </c>
      <c r="AC23" s="1809">
        <f>D23/J23</f>
        <v>1</v>
      </c>
    </row>
    <row r="24" spans="1:29" s="117" customFormat="1" ht="15">
      <c r="A24" s="648"/>
      <c r="B24" s="631"/>
      <c r="C24" s="2696"/>
      <c r="D24" s="448"/>
      <c r="E24" s="2607"/>
      <c r="F24" s="448"/>
      <c r="G24" s="2607"/>
      <c r="H24" s="448"/>
      <c r="I24" s="447"/>
      <c r="J24" s="448"/>
      <c r="K24" s="671"/>
      <c r="L24" s="1132"/>
      <c r="M24" s="1133"/>
      <c r="N24" s="1133"/>
      <c r="O24" s="1134"/>
      <c r="P24" s="3248"/>
      <c r="Q24" s="1793"/>
      <c r="R24" s="769"/>
      <c r="S24" s="770"/>
      <c r="T24" s="769"/>
      <c r="U24" s="770"/>
      <c r="V24" s="769"/>
      <c r="W24" s="770"/>
      <c r="X24" s="771"/>
      <c r="Y24" s="3248"/>
      <c r="Z24" s="55"/>
      <c r="AA24" s="772">
        <v>1</v>
      </c>
      <c r="AB24" s="772">
        <v>1</v>
      </c>
      <c r="AC24" s="772">
        <v>1</v>
      </c>
    </row>
    <row r="25" spans="1:29" s="117" customFormat="1" ht="28.5">
      <c r="A25" s="648"/>
      <c r="B25" s="632" t="s">
        <v>2650</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2"/>
      <c r="M25" s="1133"/>
      <c r="N25" s="1133"/>
      <c r="O25" s="1134"/>
      <c r="P25" s="3248"/>
      <c r="Q25" s="1793" t="str">
        <f t="shared" ref="Q25" si="9">B25</f>
        <v>基础设施水平</v>
      </c>
      <c r="R25" s="769" t="s">
        <v>17</v>
      </c>
      <c r="S25" s="770">
        <f>F25</f>
        <v>100</v>
      </c>
      <c r="T25" s="769" t="s">
        <v>17</v>
      </c>
      <c r="U25" s="770">
        <f>H25</f>
        <v>100</v>
      </c>
      <c r="V25" s="769" t="s">
        <v>17</v>
      </c>
      <c r="W25" s="770">
        <f>J25</f>
        <v>100</v>
      </c>
      <c r="X25" s="771"/>
      <c r="Y25" s="3248"/>
      <c r="Z25" s="55" t="str">
        <f>Q25</f>
        <v>基础设施水平</v>
      </c>
      <c r="AA25" s="1809">
        <f>D25/F25</f>
        <v>1</v>
      </c>
      <c r="AB25" s="1809">
        <f>D25/H25</f>
        <v>1</v>
      </c>
      <c r="AC25" s="1809">
        <f>D25/J25</f>
        <v>1</v>
      </c>
    </row>
    <row r="26" spans="1:29" s="117" customFormat="1" ht="15">
      <c r="A26" s="648"/>
      <c r="B26" s="631"/>
      <c r="C26" s="2696"/>
      <c r="D26" s="448"/>
      <c r="E26" s="2697"/>
      <c r="F26" s="448"/>
      <c r="G26" s="2697"/>
      <c r="H26" s="448"/>
      <c r="I26" s="2697"/>
      <c r="J26" s="448"/>
      <c r="K26" s="671"/>
      <c r="L26" s="1132"/>
      <c r="M26" s="1133"/>
      <c r="N26" s="1133"/>
      <c r="O26" s="1134"/>
      <c r="P26" s="3248"/>
      <c r="Q26" s="1793"/>
      <c r="R26" s="769"/>
      <c r="S26" s="770"/>
      <c r="T26" s="769"/>
      <c r="U26" s="770"/>
      <c r="V26" s="769"/>
      <c r="W26" s="770"/>
      <c r="X26" s="771"/>
      <c r="Y26" s="3248"/>
      <c r="Z26" s="55"/>
      <c r="AA26" s="772">
        <v>1</v>
      </c>
      <c r="AB26" s="772">
        <v>1</v>
      </c>
      <c r="AC26" s="772">
        <v>1</v>
      </c>
    </row>
    <row r="27" spans="1:29" ht="15">
      <c r="A27" s="428"/>
      <c r="B27" s="631" t="s">
        <v>2651</v>
      </c>
      <c r="C27" s="616"/>
      <c r="D27" s="435">
        <v>100</v>
      </c>
      <c r="E27" s="633"/>
      <c r="F27" s="435">
        <f>SUMIF(95:95,E27,96:96)-SUMIF(95:95,C27,96:96)+100</f>
        <v>100</v>
      </c>
      <c r="G27" s="633"/>
      <c r="H27" s="435">
        <f>SUMIF(95:95,G27,96:96)-SUMIF(95:95,C27,96:96)+100</f>
        <v>100</v>
      </c>
      <c r="I27" s="633"/>
      <c r="J27" s="435">
        <f>SUMIF(95:95,I27,96:96)-SUMIF(95:95,C27,96:96)+100</f>
        <v>100</v>
      </c>
      <c r="K27" s="672"/>
      <c r="L27" s="1140"/>
      <c r="M27" s="1131"/>
      <c r="N27" s="1131"/>
      <c r="O27" s="1139"/>
      <c r="P27" s="3248"/>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48"/>
      <c r="Z27" s="1812" t="str">
        <f t="shared" ref="Z27:Z40" si="13">Q27</f>
        <v>临街状况</v>
      </c>
      <c r="AA27" s="1809">
        <f t="shared" si="3"/>
        <v>1</v>
      </c>
      <c r="AB27" s="1809">
        <f t="shared" si="4"/>
        <v>1</v>
      </c>
      <c r="AC27" s="1809">
        <f t="shared" si="5"/>
        <v>1</v>
      </c>
    </row>
    <row r="28" spans="1:29" ht="27">
      <c r="A28" s="428"/>
      <c r="B28" s="632" t="s">
        <v>2686</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0"/>
      <c r="M28" s="1131"/>
      <c r="N28" s="1131"/>
      <c r="O28" s="1139"/>
      <c r="P28" s="3248"/>
      <c r="Q28" s="1808" t="str">
        <f t="shared" si="8"/>
        <v>毗邻道路的类型与等级</v>
      </c>
      <c r="R28" s="773" t="s">
        <v>17</v>
      </c>
      <c r="S28" s="774">
        <f t="shared" si="10"/>
        <v>100</v>
      </c>
      <c r="T28" s="773" t="s">
        <v>17</v>
      </c>
      <c r="U28" s="774">
        <f t="shared" si="11"/>
        <v>100</v>
      </c>
      <c r="V28" s="773" t="s">
        <v>17</v>
      </c>
      <c r="W28" s="774">
        <f t="shared" si="12"/>
        <v>100</v>
      </c>
      <c r="X28" s="1811"/>
      <c r="Y28" s="3248"/>
      <c r="Z28" s="1812" t="str">
        <f t="shared" si="13"/>
        <v>毗邻道路的类型与等级</v>
      </c>
      <c r="AA28" s="1809">
        <f t="shared" si="3"/>
        <v>1</v>
      </c>
      <c r="AB28" s="1809">
        <f t="shared" si="4"/>
        <v>1</v>
      </c>
      <c r="AC28" s="1809">
        <f t="shared" si="5"/>
        <v>1</v>
      </c>
    </row>
    <row r="29" spans="1:29" ht="15">
      <c r="A29" s="428"/>
      <c r="B29" s="631"/>
      <c r="C29" s="447"/>
      <c r="D29" s="448"/>
      <c r="E29" s="2607"/>
      <c r="F29" s="448"/>
      <c r="G29" s="2607"/>
      <c r="H29" s="448"/>
      <c r="I29" s="2607"/>
      <c r="J29" s="448"/>
      <c r="K29" s="613"/>
      <c r="L29" s="1140"/>
      <c r="M29" s="1131"/>
      <c r="N29" s="1131"/>
      <c r="O29" s="1139"/>
      <c r="P29" s="3248"/>
      <c r="Q29" s="1808"/>
      <c r="R29" s="773"/>
      <c r="S29" s="774"/>
      <c r="T29" s="773"/>
      <c r="U29" s="774"/>
      <c r="V29" s="773"/>
      <c r="W29" s="774"/>
      <c r="X29" s="1811"/>
      <c r="Y29" s="3248"/>
      <c r="Z29" s="1812"/>
      <c r="AA29" s="1809">
        <v>1</v>
      </c>
      <c r="AB29" s="1809">
        <v>1</v>
      </c>
      <c r="AC29" s="1809">
        <v>1</v>
      </c>
    </row>
    <row r="30" spans="1:29" ht="15">
      <c r="A30" s="428"/>
      <c r="B30" s="653" t="s">
        <v>2745</v>
      </c>
      <c r="C30" s="1389">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0"/>
      <c r="M30" s="1131"/>
      <c r="N30" s="1131"/>
      <c r="O30" s="1139"/>
      <c r="P30" s="3248"/>
      <c r="Q30" s="1808" t="str">
        <f t="shared" si="8"/>
        <v>土地级别</v>
      </c>
      <c r="R30" s="773" t="s">
        <v>17</v>
      </c>
      <c r="S30" s="774">
        <f t="shared" si="10"/>
        <v>100</v>
      </c>
      <c r="T30" s="773" t="s">
        <v>17</v>
      </c>
      <c r="U30" s="774">
        <f t="shared" si="11"/>
        <v>100</v>
      </c>
      <c r="V30" s="773" t="s">
        <v>17</v>
      </c>
      <c r="W30" s="774">
        <f t="shared" si="12"/>
        <v>100</v>
      </c>
      <c r="X30" s="1811"/>
      <c r="Y30" s="3248"/>
      <c r="Z30" s="1812" t="str">
        <f t="shared" si="13"/>
        <v>土地级别</v>
      </c>
      <c r="AA30" s="1809">
        <f t="shared" si="3"/>
        <v>1</v>
      </c>
      <c r="AB30" s="1809">
        <f t="shared" si="4"/>
        <v>1</v>
      </c>
      <c r="AC30" s="1809">
        <f t="shared" si="5"/>
        <v>1</v>
      </c>
    </row>
    <row r="31" spans="1:29" ht="15">
      <c r="A31" s="404"/>
      <c r="B31" s="2674">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8"/>
      <c r="Q31" s="1808">
        <f t="shared" si="8"/>
        <v>111</v>
      </c>
      <c r="R31" s="773" t="s">
        <v>17</v>
      </c>
      <c r="S31" s="774">
        <f t="shared" si="10"/>
        <v>100</v>
      </c>
      <c r="T31" s="773" t="s">
        <v>17</v>
      </c>
      <c r="U31" s="774">
        <f t="shared" si="11"/>
        <v>100</v>
      </c>
      <c r="V31" s="773" t="s">
        <v>17</v>
      </c>
      <c r="W31" s="774">
        <f t="shared" si="12"/>
        <v>100</v>
      </c>
      <c r="X31" s="1811"/>
      <c r="Y31" s="3248"/>
      <c r="Z31" s="1812">
        <f t="shared" si="13"/>
        <v>111</v>
      </c>
      <c r="AA31" s="1809">
        <f t="shared" si="3"/>
        <v>1</v>
      </c>
      <c r="AB31" s="1809">
        <f t="shared" si="4"/>
        <v>1</v>
      </c>
      <c r="AC31" s="1809">
        <f t="shared" si="5"/>
        <v>1</v>
      </c>
    </row>
    <row r="32" spans="1:29" ht="15">
      <c r="A32" s="674"/>
      <c r="B32" s="2710">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0"/>
      <c r="M32" s="1131"/>
      <c r="N32" s="1131"/>
      <c r="O32" s="1139"/>
      <c r="P32" s="3305" t="s">
        <v>2560</v>
      </c>
      <c r="Q32" s="1808">
        <f t="shared" si="8"/>
        <v>111</v>
      </c>
      <c r="R32" s="773" t="s">
        <v>17</v>
      </c>
      <c r="S32" s="774">
        <f t="shared" si="10"/>
        <v>100</v>
      </c>
      <c r="T32" s="773" t="s">
        <v>17</v>
      </c>
      <c r="U32" s="774">
        <f t="shared" si="11"/>
        <v>100</v>
      </c>
      <c r="V32" s="773" t="s">
        <v>17</v>
      </c>
      <c r="W32" s="774">
        <f t="shared" si="12"/>
        <v>100</v>
      </c>
      <c r="X32" s="1811"/>
      <c r="Y32" s="3252" t="s">
        <v>2560</v>
      </c>
      <c r="Z32" s="1812">
        <f t="shared" si="13"/>
        <v>111</v>
      </c>
      <c r="AA32" s="1809">
        <f t="shared" si="3"/>
        <v>1</v>
      </c>
      <c r="AB32" s="1809">
        <f t="shared" si="4"/>
        <v>1</v>
      </c>
      <c r="AC32" s="1809">
        <f t="shared" si="5"/>
        <v>1</v>
      </c>
    </row>
    <row r="33" spans="1:29" s="471" customFormat="1" ht="15.75" thickBot="1">
      <c r="A33" s="675"/>
      <c r="B33" s="2711">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8"/>
      <c r="M33" s="1141"/>
      <c r="N33" s="1141"/>
      <c r="O33" s="1142"/>
      <c r="P33" s="3252"/>
      <c r="Q33" s="1808">
        <f t="shared" si="8"/>
        <v>111</v>
      </c>
      <c r="R33" s="776" t="s">
        <v>17</v>
      </c>
      <c r="S33" s="777">
        <f t="shared" si="10"/>
        <v>100</v>
      </c>
      <c r="T33" s="776" t="s">
        <v>17</v>
      </c>
      <c r="U33" s="777">
        <f t="shared" si="11"/>
        <v>100</v>
      </c>
      <c r="V33" s="776" t="s">
        <v>17</v>
      </c>
      <c r="W33" s="777">
        <f t="shared" si="12"/>
        <v>100</v>
      </c>
      <c r="X33" s="778"/>
      <c r="Y33" s="3252"/>
      <c r="Z33" s="779">
        <f t="shared" si="13"/>
        <v>111</v>
      </c>
      <c r="AA33" s="1809">
        <f t="shared" si="3"/>
        <v>1</v>
      </c>
      <c r="AB33" s="1809">
        <f t="shared" si="4"/>
        <v>1</v>
      </c>
      <c r="AC33" s="1809">
        <f t="shared" si="5"/>
        <v>1</v>
      </c>
    </row>
    <row r="34" spans="1:29" ht="15">
      <c r="A34" s="440" t="s">
        <v>2558</v>
      </c>
      <c r="B34" s="456" t="s">
        <v>2746</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0"/>
      <c r="M34" s="1131"/>
      <c r="N34" s="1131"/>
      <c r="O34" s="1139"/>
      <c r="P34" s="3252"/>
      <c r="Q34" s="1808" t="str">
        <f>B34</f>
        <v>宗地面积</v>
      </c>
      <c r="R34" s="773" t="s">
        <v>17</v>
      </c>
      <c r="S34" s="774" t="e">
        <f t="shared" si="10"/>
        <v>#N/A</v>
      </c>
      <c r="T34" s="773" t="s">
        <v>17</v>
      </c>
      <c r="U34" s="774" t="e">
        <f t="shared" si="11"/>
        <v>#N/A</v>
      </c>
      <c r="V34" s="773" t="s">
        <v>17</v>
      </c>
      <c r="W34" s="774" t="e">
        <f t="shared" si="12"/>
        <v>#N/A</v>
      </c>
      <c r="X34" s="1811"/>
      <c r="Y34" s="3252"/>
      <c r="Z34" s="1812" t="str">
        <f t="shared" si="13"/>
        <v>宗地面积</v>
      </c>
      <c r="AA34" s="1809" t="e">
        <f t="shared" si="3"/>
        <v>#N/A</v>
      </c>
      <c r="AB34" s="1809" t="e">
        <f t="shared" si="4"/>
        <v>#N/A</v>
      </c>
      <c r="AC34" s="1809" t="e">
        <f t="shared" si="5"/>
        <v>#N/A</v>
      </c>
    </row>
    <row r="35" spans="1:29" ht="15">
      <c r="A35" s="472"/>
      <c r="B35" s="422" t="s">
        <v>2747</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52"/>
      <c r="Q35" s="1808" t="str">
        <f t="shared" ref="Q35:Q40" si="14">B35</f>
        <v>宗地形状</v>
      </c>
      <c r="R35" s="773" t="s">
        <v>17</v>
      </c>
      <c r="S35" s="774">
        <f t="shared" si="10"/>
        <v>100</v>
      </c>
      <c r="T35" s="773" t="s">
        <v>17</v>
      </c>
      <c r="U35" s="774">
        <f t="shared" si="11"/>
        <v>100</v>
      </c>
      <c r="V35" s="773" t="s">
        <v>17</v>
      </c>
      <c r="W35" s="774">
        <f t="shared" si="12"/>
        <v>100</v>
      </c>
      <c r="X35" s="1811"/>
      <c r="Y35" s="3252"/>
      <c r="Z35" s="1812" t="str">
        <f t="shared" si="13"/>
        <v>宗地形状</v>
      </c>
      <c r="AA35" s="1809">
        <f t="shared" si="3"/>
        <v>1</v>
      </c>
      <c r="AB35" s="1809">
        <f t="shared" si="4"/>
        <v>1</v>
      </c>
      <c r="AC35" s="1809">
        <f t="shared" si="5"/>
        <v>1</v>
      </c>
    </row>
    <row r="36" spans="1:29" s="117" customFormat="1" ht="15">
      <c r="A36" s="473"/>
      <c r="B36" s="422" t="s">
        <v>2749</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52"/>
      <c r="Q36" s="1808" t="str">
        <f t="shared" si="14"/>
        <v>宗地开发程度</v>
      </c>
      <c r="R36" s="769" t="s">
        <v>17</v>
      </c>
      <c r="S36" s="770">
        <f t="shared" si="10"/>
        <v>100</v>
      </c>
      <c r="T36" s="769" t="s">
        <v>17</v>
      </c>
      <c r="U36" s="770">
        <f t="shared" si="11"/>
        <v>100</v>
      </c>
      <c r="V36" s="769" t="s">
        <v>17</v>
      </c>
      <c r="W36" s="770">
        <f t="shared" si="12"/>
        <v>100</v>
      </c>
      <c r="X36" s="771"/>
      <c r="Y36" s="3252"/>
      <c r="Z36" s="55" t="str">
        <f t="shared" si="13"/>
        <v>宗地开发程度</v>
      </c>
      <c r="AA36" s="772">
        <f t="shared" si="3"/>
        <v>1</v>
      </c>
      <c r="AB36" s="772">
        <f t="shared" si="4"/>
        <v>1</v>
      </c>
      <c r="AC36" s="772">
        <f t="shared" si="5"/>
        <v>1</v>
      </c>
    </row>
    <row r="37" spans="1:29" ht="15">
      <c r="A37" s="472"/>
      <c r="B37" s="422" t="s">
        <v>2750</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52" t="s">
        <v>2560</v>
      </c>
      <c r="Q37" s="1808" t="str">
        <f t="shared" si="14"/>
        <v>工程地质条件</v>
      </c>
      <c r="R37" s="773" t="s">
        <v>17</v>
      </c>
      <c r="S37" s="774">
        <f t="shared" si="10"/>
        <v>100</v>
      </c>
      <c r="T37" s="773" t="s">
        <v>17</v>
      </c>
      <c r="U37" s="774">
        <f t="shared" si="11"/>
        <v>100</v>
      </c>
      <c r="V37" s="773" t="s">
        <v>17</v>
      </c>
      <c r="W37" s="774">
        <f t="shared" si="12"/>
        <v>100</v>
      </c>
      <c r="X37" s="1811"/>
      <c r="Y37" s="3252" t="s">
        <v>2560</v>
      </c>
      <c r="Z37" s="1812" t="str">
        <f t="shared" si="13"/>
        <v>工程地质条件</v>
      </c>
      <c r="AA37" s="1809">
        <f t="shared" si="3"/>
        <v>1</v>
      </c>
      <c r="AB37" s="1809">
        <f t="shared" si="4"/>
        <v>1</v>
      </c>
      <c r="AC37" s="1809">
        <f t="shared" si="5"/>
        <v>1</v>
      </c>
    </row>
    <row r="38" spans="1:29" ht="15">
      <c r="A38" s="472"/>
      <c r="B38" s="1387">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0"/>
      <c r="M38" s="1131"/>
      <c r="N38" s="1131"/>
      <c r="O38" s="1139"/>
      <c r="P38" s="3252"/>
      <c r="Q38" s="1808">
        <f t="shared" si="14"/>
        <v>111</v>
      </c>
      <c r="R38" s="773" t="s">
        <v>17</v>
      </c>
      <c r="S38" s="774">
        <f t="shared" si="10"/>
        <v>100</v>
      </c>
      <c r="T38" s="773" t="s">
        <v>17</v>
      </c>
      <c r="U38" s="774">
        <f t="shared" si="11"/>
        <v>100</v>
      </c>
      <c r="V38" s="773" t="s">
        <v>17</v>
      </c>
      <c r="W38" s="774">
        <f t="shared" si="12"/>
        <v>100</v>
      </c>
      <c r="X38" s="1811"/>
      <c r="Y38" s="3252"/>
      <c r="Z38" s="1812">
        <f t="shared" si="13"/>
        <v>111</v>
      </c>
      <c r="AA38" s="1809">
        <f t="shared" si="3"/>
        <v>1</v>
      </c>
      <c r="AB38" s="1809">
        <f t="shared" si="4"/>
        <v>1</v>
      </c>
      <c r="AC38" s="1809">
        <f t="shared" si="5"/>
        <v>1</v>
      </c>
    </row>
    <row r="39" spans="1:29" ht="15">
      <c r="A39" s="472"/>
      <c r="B39" s="1387">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0"/>
      <c r="M39" s="1131"/>
      <c r="N39" s="1131"/>
      <c r="O39" s="1139"/>
      <c r="P39" s="3252"/>
      <c r="Q39" s="1808">
        <f t="shared" si="14"/>
        <v>111</v>
      </c>
      <c r="R39" s="773" t="s">
        <v>17</v>
      </c>
      <c r="S39" s="774">
        <f t="shared" si="10"/>
        <v>100</v>
      </c>
      <c r="T39" s="773" t="s">
        <v>17</v>
      </c>
      <c r="U39" s="774">
        <f t="shared" si="11"/>
        <v>100</v>
      </c>
      <c r="V39" s="773" t="s">
        <v>17</v>
      </c>
      <c r="W39" s="774">
        <f t="shared" si="12"/>
        <v>100</v>
      </c>
      <c r="X39" s="1811"/>
      <c r="Y39" s="3252"/>
      <c r="Z39" s="1812">
        <f t="shared" si="13"/>
        <v>111</v>
      </c>
      <c r="AA39" s="1809">
        <f t="shared" si="3"/>
        <v>1</v>
      </c>
      <c r="AB39" s="1809">
        <f t="shared" si="4"/>
        <v>1</v>
      </c>
      <c r="AC39" s="1809">
        <f t="shared" si="5"/>
        <v>1</v>
      </c>
    </row>
    <row r="40" spans="1:29" s="471" customFormat="1" ht="15.75" thickBot="1">
      <c r="A40" s="468"/>
      <c r="B40" s="1387">
        <v>111</v>
      </c>
      <c r="C40" s="2699"/>
      <c r="D40" s="137">
        <v>100</v>
      </c>
      <c r="E40" s="673"/>
      <c r="F40" s="438">
        <f>SUMIF(120:120,E40,121:121)-SUMIF(120:120,C40,121:121)+100</f>
        <v>100</v>
      </c>
      <c r="G40" s="673"/>
      <c r="H40" s="438">
        <f>SUMIF(120:120,G40,121:121)-SUMIF(120:120,C40,121:121)+100</f>
        <v>100</v>
      </c>
      <c r="I40" s="549"/>
      <c r="J40" s="438">
        <f>SUMIF(120:120,I40,121:121)-SUMIF(120:120,C40,121:121)+100</f>
        <v>100</v>
      </c>
      <c r="K40" s="680"/>
      <c r="L40" s="1138"/>
      <c r="M40" s="1141"/>
      <c r="N40" s="1141"/>
      <c r="O40" s="1142"/>
      <c r="P40" s="3252"/>
      <c r="Q40" s="1808">
        <f t="shared" si="14"/>
        <v>111</v>
      </c>
      <c r="R40" s="776" t="s">
        <v>17</v>
      </c>
      <c r="S40" s="777">
        <f t="shared" si="10"/>
        <v>100</v>
      </c>
      <c r="T40" s="776" t="s">
        <v>17</v>
      </c>
      <c r="U40" s="777">
        <f t="shared" si="11"/>
        <v>100</v>
      </c>
      <c r="V40" s="776" t="s">
        <v>17</v>
      </c>
      <c r="W40" s="777">
        <f t="shared" si="12"/>
        <v>100</v>
      </c>
      <c r="X40" s="778"/>
      <c r="Y40" s="3252"/>
      <c r="Z40" s="779">
        <f t="shared" si="13"/>
        <v>111</v>
      </c>
      <c r="AA40" s="1809">
        <f t="shared" si="3"/>
        <v>1</v>
      </c>
      <c r="AB40" s="1809">
        <f t="shared" si="4"/>
        <v>1</v>
      </c>
      <c r="AC40" s="1809">
        <f t="shared" si="5"/>
        <v>1</v>
      </c>
    </row>
    <row r="41" spans="1:29" ht="15">
      <c r="A41" s="479" t="s">
        <v>2715</v>
      </c>
      <c r="B41" s="2700" t="s">
        <v>2795</v>
      </c>
      <c r="C41" s="681" t="s">
        <v>1</v>
      </c>
      <c r="D41" s="481"/>
      <c r="E41" s="482"/>
      <c r="F41" s="483"/>
      <c r="G41" s="484"/>
      <c r="H41" s="485"/>
      <c r="I41" s="482"/>
      <c r="J41" s="485"/>
      <c r="K41" s="782"/>
      <c r="L41" s="1143"/>
      <c r="M41" s="1131"/>
      <c r="N41" s="1131"/>
      <c r="O41" s="1144"/>
      <c r="P41" s="3254" t="str">
        <f>A41</f>
        <v>成交单价</v>
      </c>
      <c r="Q41" s="3254"/>
      <c r="R41" s="3216">
        <f>E41</f>
        <v>0</v>
      </c>
      <c r="S41" s="3216"/>
      <c r="T41" s="3216">
        <f>G41</f>
        <v>0</v>
      </c>
      <c r="U41" s="3216"/>
      <c r="V41" s="3216">
        <f>I41</f>
        <v>0</v>
      </c>
      <c r="W41" s="3216"/>
      <c r="X41" s="758"/>
      <c r="Y41" s="780"/>
      <c r="Z41" s="758"/>
      <c r="AA41" s="758"/>
      <c r="AB41" s="758"/>
      <c r="AC41" s="758"/>
    </row>
    <row r="42" spans="1:29" ht="15.75" thickBot="1">
      <c r="A42" s="486" t="s">
        <v>2664</v>
      </c>
      <c r="B42" s="682"/>
      <c r="C42" s="490" t="e">
        <f>R43</f>
        <v>#DIV/0!</v>
      </c>
      <c r="D42" s="489"/>
      <c r="E42" s="490" t="e">
        <f>R42</f>
        <v>#DIV/0!</v>
      </c>
      <c r="F42" s="491"/>
      <c r="G42" s="488" t="e">
        <f>T42</f>
        <v>#DIV/0!</v>
      </c>
      <c r="H42" s="489"/>
      <c r="I42" s="490" t="e">
        <f>V42</f>
        <v>#DIV/0!</v>
      </c>
      <c r="J42" s="489"/>
      <c r="K42" s="783"/>
      <c r="L42" s="1143"/>
      <c r="M42" s="1131"/>
      <c r="N42" s="1131"/>
      <c r="O42" s="1144"/>
      <c r="P42" s="3254" t="str">
        <f>A42</f>
        <v>比较价值（元/平方米）</v>
      </c>
      <c r="Q42" s="3254"/>
      <c r="R42" s="3306" t="e">
        <f>ROUND(PRODUCT(R41,AA7:AA40),0)</f>
        <v>#DIV/0!</v>
      </c>
      <c r="S42" s="3306"/>
      <c r="T42" s="3306" t="e">
        <f>ROUND(PRODUCT(T41,AB7:AB40),0)</f>
        <v>#DIV/0!</v>
      </c>
      <c r="U42" s="3306"/>
      <c r="V42" s="3306" t="e">
        <f>ROUND(PRODUCT(V41,AC7:AC40),0)</f>
        <v>#DIV/0!</v>
      </c>
      <c r="W42" s="3306"/>
      <c r="X42" s="758"/>
      <c r="Y42" s="758"/>
      <c r="Z42" s="758"/>
      <c r="AA42" s="758"/>
      <c r="AB42" s="758"/>
      <c r="AC42" s="758"/>
    </row>
    <row r="43" spans="1:29" ht="15.75" thickBot="1">
      <c r="A43" s="492" t="s">
        <v>2665</v>
      </c>
      <c r="B43" s="493"/>
      <c r="C43" s="494" t="e">
        <f>R43</f>
        <v>#DIV/0!</v>
      </c>
      <c r="D43" s="494"/>
      <c r="E43" s="494"/>
      <c r="F43" s="494"/>
      <c r="G43" s="494"/>
      <c r="H43" s="494"/>
      <c r="I43" s="494"/>
      <c r="J43" s="494"/>
      <c r="K43" s="784"/>
      <c r="L43" s="1143"/>
      <c r="M43" s="1131"/>
      <c r="N43" s="1131"/>
      <c r="O43" s="1144"/>
      <c r="P43" s="3256" t="str">
        <f>A43</f>
        <v>估价对象XX用房的比较价值（楼面单价，元/平方米）</v>
      </c>
      <c r="Q43" s="3257"/>
      <c r="R43" s="3307" t="e">
        <f>ROUND(AVERAGE(R42:V42),0)</f>
        <v>#DIV/0!</v>
      </c>
      <c r="S43" s="3307"/>
      <c r="T43" s="3307"/>
      <c r="U43" s="3307"/>
      <c r="V43" s="3307"/>
      <c r="W43" s="3307"/>
      <c r="X43" s="758"/>
      <c r="Y43" s="758"/>
      <c r="Z43" s="758"/>
      <c r="AA43" s="758"/>
      <c r="AB43" s="758"/>
      <c r="AC43" s="758"/>
    </row>
    <row r="44" spans="1:29">
      <c r="A44" s="1144"/>
      <c r="B44" s="1144"/>
      <c r="C44" s="1144"/>
      <c r="D44" s="1144"/>
      <c r="E44" s="1144"/>
      <c r="F44" s="1144"/>
      <c r="G44" s="1147"/>
      <c r="H44" s="1144"/>
      <c r="I44" s="1144"/>
      <c r="J44" s="1144"/>
      <c r="K44" s="1107"/>
      <c r="L44" s="1108"/>
      <c r="M44" s="1131"/>
      <c r="N44" s="1131"/>
      <c r="O44" s="1144"/>
    </row>
    <row r="45" spans="1:29">
      <c r="A45" s="1144"/>
      <c r="B45" s="1144"/>
      <c r="C45" s="1144"/>
      <c r="D45" s="1144"/>
      <c r="E45" s="1144"/>
      <c r="F45" s="1144"/>
      <c r="G45" s="1144"/>
      <c r="H45" s="1144"/>
      <c r="I45" s="1144"/>
      <c r="J45" s="1144"/>
      <c r="K45" s="1107"/>
      <c r="L45" s="1108"/>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1"/>
      <c r="D49" s="759"/>
      <c r="E49" s="759"/>
      <c r="F49" s="759"/>
      <c r="G49" s="759"/>
      <c r="H49" s="759"/>
      <c r="I49" s="759"/>
      <c r="J49" s="759"/>
      <c r="K49" s="1148"/>
      <c r="L49" s="1149"/>
      <c r="M49" s="1145"/>
      <c r="N49" s="1145"/>
      <c r="O49" s="1145"/>
    </row>
    <row r="50" spans="1:17" ht="27">
      <c r="A50" s="683" t="s">
        <v>2753</v>
      </c>
      <c r="B50" s="684" t="s">
        <v>2754</v>
      </c>
      <c r="C50" s="2701" t="s">
        <v>2755</v>
      </c>
      <c r="D50" s="2702" t="s">
        <v>2756</v>
      </c>
      <c r="E50" s="685" t="s">
        <v>2757</v>
      </c>
      <c r="F50" s="686" t="s">
        <v>2758</v>
      </c>
      <c r="G50" s="3232" t="s">
        <v>2759</v>
      </c>
      <c r="H50" s="3308"/>
      <c r="I50" s="1812" t="s">
        <v>2796</v>
      </c>
      <c r="J50" s="1812" t="str">
        <f>项目基本情况!F35</f>
        <v>浙江省宁波市</v>
      </c>
      <c r="K50" s="2704" t="s">
        <v>2761</v>
      </c>
      <c r="L50" s="1108"/>
      <c r="M50" s="1144"/>
      <c r="N50" s="1144"/>
      <c r="O50" s="1144"/>
    </row>
    <row r="51" spans="1:17" s="691" customFormat="1">
      <c r="A51" s="687" t="s">
        <v>2762</v>
      </c>
      <c r="B51" s="688" t="e">
        <f>C43</f>
        <v>#DIV/0!</v>
      </c>
      <c r="C51" s="689">
        <v>1</v>
      </c>
      <c r="D51" s="1163">
        <v>1</v>
      </c>
      <c r="E51" s="689">
        <f>'数据-汇总表'!E8+'数据-汇总表'!E9</f>
        <v>18418.460000000006</v>
      </c>
      <c r="F51" s="690" t="e">
        <f t="shared" ref="F51:F60" si="15">ROUND(B51*E51/10000,0)</f>
        <v>#DIV/0!</v>
      </c>
      <c r="G51" s="3231"/>
      <c r="H51" s="3254"/>
      <c r="I51" s="944">
        <v>1</v>
      </c>
      <c r="J51" s="944">
        <v>1</v>
      </c>
      <c r="K51" s="1145"/>
      <c r="L51" s="943"/>
      <c r="M51" s="943"/>
      <c r="N51" s="943"/>
      <c r="O51" s="943"/>
    </row>
    <row r="52" spans="1:17" s="691" customFormat="1">
      <c r="A52" s="692" t="s">
        <v>2763</v>
      </c>
      <c r="B52" s="262" t="e">
        <f>ROUND($C$43*C52*D52,0)</f>
        <v>#DIV/0!</v>
      </c>
      <c r="C52" s="200">
        <f t="shared" ref="C52:C60" si="16">IF($C$50="北京市系数",I52,J52)</f>
        <v>0</v>
      </c>
      <c r="D52" s="1164">
        <v>0.25</v>
      </c>
      <c r="E52" s="693"/>
      <c r="F52" s="690" t="e">
        <f t="shared" si="15"/>
        <v>#DIV/0!</v>
      </c>
      <c r="G52" s="3309" t="s">
        <v>2764</v>
      </c>
      <c r="H52" s="1106">
        <f>项目基本情况!B37</f>
        <v>0</v>
      </c>
      <c r="I52" s="944">
        <f>SUMIF(修正!A45:A56,H52,修正!B45:B56)</f>
        <v>0</v>
      </c>
      <c r="J52" s="945"/>
      <c r="K52" s="1144"/>
      <c r="L52" s="943"/>
      <c r="M52" s="943"/>
      <c r="N52" s="943"/>
      <c r="O52" s="943"/>
    </row>
    <row r="53" spans="1:17" s="691" customFormat="1">
      <c r="A53" s="692" t="s">
        <v>2765</v>
      </c>
      <c r="B53" s="262" t="e">
        <f t="shared" ref="B53:B60" si="17">ROUND($C$43*C53*D53,0)</f>
        <v>#DIV/0!</v>
      </c>
      <c r="C53" s="200">
        <f t="shared" si="16"/>
        <v>0</v>
      </c>
      <c r="D53" s="1164">
        <v>0.25</v>
      </c>
      <c r="E53" s="693"/>
      <c r="F53" s="690" t="e">
        <f t="shared" si="15"/>
        <v>#DIV/0!</v>
      </c>
      <c r="G53" s="3309"/>
      <c r="H53" s="1106">
        <f>项目基本情况!B37</f>
        <v>0</v>
      </c>
      <c r="I53" s="944">
        <f>SUMIF(修正!A45:A56,H53,修正!C45:C56)</f>
        <v>0</v>
      </c>
      <c r="J53" s="945"/>
      <c r="K53" s="1145"/>
      <c r="L53" s="943"/>
      <c r="M53" s="943"/>
      <c r="N53" s="943"/>
      <c r="O53" s="943"/>
    </row>
    <row r="54" spans="1:17" s="691" customFormat="1">
      <c r="A54" s="692" t="s">
        <v>2766</v>
      </c>
      <c r="B54" s="262" t="e">
        <f t="shared" si="17"/>
        <v>#DIV/0!</v>
      </c>
      <c r="C54" s="200">
        <f t="shared" si="16"/>
        <v>0</v>
      </c>
      <c r="D54" s="1164">
        <v>0.25</v>
      </c>
      <c r="E54" s="693"/>
      <c r="F54" s="690" t="e">
        <f t="shared" si="15"/>
        <v>#DIV/0!</v>
      </c>
      <c r="G54" s="3309"/>
      <c r="H54" s="1106">
        <f>项目基本情况!B37</f>
        <v>0</v>
      </c>
      <c r="I54" s="944">
        <f>SUMIF(修正!A45:A56,H54,修正!D45:D56)</f>
        <v>0</v>
      </c>
      <c r="J54" s="945"/>
      <c r="K54" s="1144"/>
      <c r="L54" s="943"/>
      <c r="M54" s="943"/>
      <c r="N54" s="943"/>
      <c r="O54" s="943"/>
    </row>
    <row r="55" spans="1:17" s="691" customFormat="1">
      <c r="A55" s="692" t="s">
        <v>2767</v>
      </c>
      <c r="B55" s="262" t="e">
        <f t="shared" si="17"/>
        <v>#DIV/0!</v>
      </c>
      <c r="C55" s="200">
        <f t="shared" si="16"/>
        <v>0</v>
      </c>
      <c r="D55" s="1164">
        <v>0.25</v>
      </c>
      <c r="E55" s="693"/>
      <c r="F55" s="690" t="e">
        <f t="shared" si="15"/>
        <v>#DIV/0!</v>
      </c>
      <c r="G55" s="3309"/>
      <c r="H55" s="1106">
        <f>项目基本情况!B37</f>
        <v>0</v>
      </c>
      <c r="I55" s="944">
        <f>SUMIF(修正!A45:A56,H55,修正!E45:E56)</f>
        <v>0</v>
      </c>
      <c r="J55" s="945"/>
      <c r="K55" s="1145"/>
      <c r="L55" s="943"/>
      <c r="M55" s="943"/>
      <c r="N55" s="943"/>
      <c r="O55" s="943"/>
    </row>
    <row r="56" spans="1:17" s="691" customFormat="1">
      <c r="A56" s="692" t="s">
        <v>2768</v>
      </c>
      <c r="B56" s="262" t="e">
        <f t="shared" si="17"/>
        <v>#DIV/0!</v>
      </c>
      <c r="C56" s="200">
        <f t="shared" si="16"/>
        <v>0</v>
      </c>
      <c r="D56" s="1164">
        <v>0.25</v>
      </c>
      <c r="E56" s="261">
        <f>'数据-汇总表'!E11</f>
        <v>0</v>
      </c>
      <c r="F56" s="690" t="e">
        <f t="shared" si="15"/>
        <v>#DIV/0!</v>
      </c>
      <c r="G56" s="2705" t="s">
        <v>2769</v>
      </c>
      <c r="H56" s="1106">
        <f>项目基本情况!C37</f>
        <v>0</v>
      </c>
      <c r="I56" s="944">
        <f>SUMIF(修正!A45:A56,H56,修正!F45:F56)</f>
        <v>0</v>
      </c>
      <c r="J56" s="945"/>
      <c r="K56" s="1144"/>
      <c r="L56" s="943"/>
      <c r="M56" s="943"/>
      <c r="N56" s="943"/>
      <c r="O56" s="943"/>
    </row>
    <row r="57" spans="1:17" s="691" customFormat="1">
      <c r="A57" s="692" t="s">
        <v>2770</v>
      </c>
      <c r="B57" s="262" t="e">
        <f t="shared" si="17"/>
        <v>#DIV/0!</v>
      </c>
      <c r="C57" s="200">
        <f t="shared" si="16"/>
        <v>0</v>
      </c>
      <c r="D57" s="1164">
        <v>0.25</v>
      </c>
      <c r="E57" s="261">
        <f>'数据-汇总表'!E12</f>
        <v>0</v>
      </c>
      <c r="F57" s="690" t="e">
        <f t="shared" si="15"/>
        <v>#DIV/0!</v>
      </c>
      <c r="G57" s="1111" t="s">
        <v>2771</v>
      </c>
      <c r="H57" s="1106">
        <f>IF(G57="商业",项目基本情况!B37,IF(G57="办公",项目基本情况!C37,IF(G57="住宅",项目基本情况!D37,项目基本情况!E37)))</f>
        <v>0</v>
      </c>
      <c r="I57" s="944">
        <f>SUMIF(修正!A45:A56,H57,修正!G45:G56)</f>
        <v>0</v>
      </c>
      <c r="J57" s="945"/>
      <c r="K57" s="1145"/>
      <c r="L57" s="943"/>
      <c r="M57" s="943"/>
      <c r="N57" s="943"/>
      <c r="O57" s="943"/>
    </row>
    <row r="58" spans="1:17" s="691" customFormat="1">
      <c r="A58" s="692" t="s">
        <v>2772</v>
      </c>
      <c r="B58" s="262" t="e">
        <f t="shared" si="17"/>
        <v>#DIV/0!</v>
      </c>
      <c r="C58" s="200">
        <f t="shared" si="16"/>
        <v>0</v>
      </c>
      <c r="D58" s="1164">
        <v>0.25</v>
      </c>
      <c r="E58" s="261">
        <f>'数据-汇总表'!E13</f>
        <v>0</v>
      </c>
      <c r="F58" s="690" t="e">
        <f t="shared" si="15"/>
        <v>#DIV/0!</v>
      </c>
      <c r="G58" s="1111" t="s">
        <v>2773</v>
      </c>
      <c r="H58" s="1106">
        <f>IF(G58="商业",项目基本情况!B37,IF(G58="办公",项目基本情况!C37,IF(G58="住宅",项目基本情况!D37,项目基本情况!E37)))</f>
        <v>0</v>
      </c>
      <c r="I58" s="944">
        <f>SUMIF(修正!A45:A56,H58,修正!H45:H56)</f>
        <v>0</v>
      </c>
      <c r="J58" s="945"/>
      <c r="K58" s="1144"/>
      <c r="L58" s="943"/>
      <c r="M58" s="943"/>
      <c r="N58" s="943"/>
      <c r="O58" s="943"/>
    </row>
    <row r="59" spans="1:17" s="691" customFormat="1">
      <c r="A59" s="692" t="s">
        <v>2774</v>
      </c>
      <c r="B59" s="262" t="e">
        <f t="shared" si="17"/>
        <v>#DIV/0!</v>
      </c>
      <c r="C59" s="200">
        <f t="shared" si="16"/>
        <v>0</v>
      </c>
      <c r="D59" s="1164">
        <v>0.25</v>
      </c>
      <c r="E59" s="261">
        <f>'数据-汇总表'!E14</f>
        <v>0</v>
      </c>
      <c r="F59" s="690" t="e">
        <f t="shared" si="15"/>
        <v>#DIV/0!</v>
      </c>
      <c r="G59" s="2705" t="s">
        <v>2764</v>
      </c>
      <c r="H59" s="1106">
        <f>项目基本情况!B37</f>
        <v>0</v>
      </c>
      <c r="I59" s="944">
        <f>SUMIF(修正!A45:A56,H59,修正!H45:H56)</f>
        <v>0</v>
      </c>
      <c r="J59" s="945"/>
      <c r="K59" s="1145"/>
      <c r="L59" s="943"/>
      <c r="M59" s="943"/>
      <c r="N59" s="943"/>
      <c r="O59" s="943"/>
    </row>
    <row r="60" spans="1:17" s="691" customFormat="1" ht="15" thickBot="1">
      <c r="A60" s="692" t="s">
        <v>2775</v>
      </c>
      <c r="B60" s="262" t="e">
        <f t="shared" si="17"/>
        <v>#DIV/0!</v>
      </c>
      <c r="C60" s="200">
        <f t="shared" si="16"/>
        <v>0</v>
      </c>
      <c r="D60" s="1164">
        <v>0.25</v>
      </c>
      <c r="E60" s="261">
        <f>'数据-汇总表'!E15</f>
        <v>0</v>
      </c>
      <c r="F60" s="690" t="e">
        <f t="shared" si="15"/>
        <v>#DIV/0!</v>
      </c>
      <c r="G60" s="2706" t="s">
        <v>2769</v>
      </c>
      <c r="H60" s="1116">
        <f>项目基本情况!C37</f>
        <v>0</v>
      </c>
      <c r="I60" s="944">
        <f>SUMIF(修正!A45:A56,H60,修正!H45:H56)</f>
        <v>0</v>
      </c>
      <c r="J60" s="945"/>
      <c r="K60" s="1144"/>
      <c r="L60" s="943"/>
      <c r="M60" s="943"/>
      <c r="N60" s="943"/>
      <c r="O60" s="943"/>
    </row>
    <row r="61" spans="1:17" s="691" customFormat="1" ht="15" thickBot="1">
      <c r="A61" s="694" t="s">
        <v>2776</v>
      </c>
      <c r="B61" s="695" t="s">
        <v>28</v>
      </c>
      <c r="C61" s="695" t="s">
        <v>29</v>
      </c>
      <c r="D61" s="695" t="s">
        <v>1029</v>
      </c>
      <c r="E61" s="695">
        <f>IF(B41="楼面地价",SUM(E51:E60),'数据-汇总表'!D3)</f>
        <v>3270.08</v>
      </c>
      <c r="F61" s="696" t="e">
        <f>IF(B41="楼面地价",SUM(F51:F60),ROUND(C43*E61/10000,0))</f>
        <v>#DIV/0!</v>
      </c>
      <c r="G61" s="1158"/>
      <c r="H61" s="1158"/>
      <c r="I61" s="1158"/>
      <c r="J61" s="1158"/>
      <c r="K61" s="1107"/>
      <c r="L61" s="943"/>
      <c r="M61" s="943"/>
      <c r="N61" s="943"/>
      <c r="O61" s="943"/>
    </row>
    <row r="62" spans="1:17">
      <c r="A62" s="1144"/>
      <c r="B62" s="1146"/>
      <c r="C62" s="1150"/>
      <c r="D62" s="1144"/>
      <c r="E62" s="1144"/>
      <c r="F62" s="1144"/>
      <c r="G62" s="1144"/>
      <c r="H62" s="1144"/>
      <c r="I62" s="1144"/>
      <c r="J62" s="1144"/>
      <c r="K62" s="1107"/>
      <c r="L62" s="1108"/>
      <c r="M62" s="1144"/>
      <c r="N62" s="1144"/>
      <c r="O62" s="1144"/>
    </row>
    <row r="63" spans="1:17">
      <c r="A63" s="1144"/>
      <c r="B63" s="1146"/>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2669</v>
      </c>
      <c r="B64" s="758"/>
      <c r="C64" s="763"/>
      <c r="D64" s="763"/>
      <c r="E64" s="763"/>
      <c r="F64" s="764"/>
      <c r="G64" s="764"/>
      <c r="H64" s="763"/>
      <c r="I64" s="763"/>
      <c r="J64" s="763"/>
      <c r="K64" s="765"/>
      <c r="L64" s="766"/>
      <c r="M64" s="763"/>
      <c r="N64" s="763"/>
      <c r="O64" s="1159"/>
      <c r="P64" s="503"/>
      <c r="Q64" s="504"/>
    </row>
    <row r="65" spans="1:17" s="508" customFormat="1" ht="15">
      <c r="A65" s="2707" t="s">
        <v>2777</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2" t="s">
        <v>2797</v>
      </c>
      <c r="B66" s="332" t="str">
        <f>"北京市平均增长率"&amp;TEXT(基准地价修正!P24,"0.00%")</f>
        <v>北京市平均增长率1.35%</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8">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7"/>
      <c r="M87" s="621"/>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1"/>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59" t="s">
        <v>2670</v>
      </c>
      <c r="D93" s="659" t="s">
        <v>2671</v>
      </c>
      <c r="E93" s="659" t="s">
        <v>2672</v>
      </c>
      <c r="F93" s="659" t="s">
        <v>2673</v>
      </c>
      <c r="G93" s="659"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4"/>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6"/>
      <c r="H106" s="676"/>
      <c r="I106" s="676"/>
      <c r="J106" s="676"/>
      <c r="K106" s="676"/>
      <c r="L106" s="676"/>
      <c r="M106" s="698"/>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9"/>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G13" sqref="G13"/>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2" customWidth="1"/>
    <col min="33" max="36" width="9.375" style="2792" customWidth="1"/>
    <col min="37" max="38" width="9.375" style="2716" customWidth="1"/>
    <col min="39" max="16384" width="12" style="2716"/>
  </cols>
  <sheetData>
    <row r="1" spans="1:36" ht="28.5">
      <c r="A1" s="240" t="s">
        <v>2799</v>
      </c>
      <c r="B1" s="241"/>
      <c r="C1" s="245" t="s">
        <v>2800</v>
      </c>
      <c r="D1" s="388">
        <f>SUM(D29:D30,D33:D39)</f>
        <v>0</v>
      </c>
      <c r="E1" s="2713"/>
      <c r="F1" s="2713"/>
      <c r="G1" s="2713"/>
      <c r="H1" s="2713"/>
      <c r="I1" s="2713"/>
      <c r="J1" s="2713"/>
      <c r="K1" s="1370"/>
      <c r="L1" s="2714" t="s">
        <v>2801</v>
      </c>
      <c r="M1" s="1082">
        <f>SUMPRODUCT((区片价!B5:B9=I2)*(区片价!C3:F3=E2)*(区片价!C5:F9))</f>
        <v>0</v>
      </c>
      <c r="N1" s="1085">
        <f>SUMPRODUCT((因素修正幅度!B5:B9=I2)*(因素修正幅度!C3:F3=E2)*(因素修正幅度!C5:F9))</f>
        <v>0</v>
      </c>
      <c r="O1" s="2715"/>
      <c r="P1" s="2715"/>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t="e">
        <f>C26</f>
        <v>#DIV/0!</v>
      </c>
      <c r="C2" s="2717" t="s">
        <v>2808</v>
      </c>
      <c r="D2" s="2718" t="s">
        <v>2809</v>
      </c>
      <c r="E2" s="2719"/>
      <c r="F2" s="2718" t="s">
        <v>2810</v>
      </c>
      <c r="G2" s="2720">
        <f>IF(E2="商业",项目基本情况!B37,IF(E2="办公",项目基本情况!C37,IF(E2="住宅",项目基本情况!D37,项目基本情况!E37)))</f>
        <v>0</v>
      </c>
      <c r="H2" s="2718" t="s">
        <v>2811</v>
      </c>
      <c r="I2" s="2720">
        <f>IF(E2="商业",项目基本情况!B38,IF(E2="办公",项目基本情况!C38,IF(E2="住宅",项目基本情况!D38,项目基本情况!E38)))</f>
        <v>0</v>
      </c>
      <c r="J2" s="2721"/>
      <c r="K2" s="1370"/>
      <c r="L2" s="2722" t="s">
        <v>2812</v>
      </c>
      <c r="M2" s="1083">
        <f>SUMPRODUCT((区片价!B10:B28=I2)*(区片价!C3:F3=E2)*(区片价!C10:F28))</f>
        <v>0</v>
      </c>
      <c r="N2" s="1085">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2813</v>
      </c>
      <c r="B3" s="248" t="e">
        <f>ROUND(B2*10000/D1,0)</f>
        <v>#DIV/0!</v>
      </c>
      <c r="C3" s="2717" t="s">
        <v>2814</v>
      </c>
      <c r="D3" s="2718" t="s">
        <v>2815</v>
      </c>
      <c r="E3" s="2723"/>
      <c r="F3" s="2724" t="s">
        <v>2816</v>
      </c>
      <c r="G3" s="915">
        <f>IF(F3="宗地容积率",'数据-汇总表'!I4,IF(F3="估价对象容积率",'数据-汇总表'!I6,'数据-汇总表'!I7))</f>
        <v>5.63</v>
      </c>
      <c r="H3" s="198" t="s">
        <v>2817</v>
      </c>
      <c r="I3" s="946"/>
      <c r="J3" s="2721" t="s">
        <v>2818</v>
      </c>
      <c r="K3" s="1370"/>
      <c r="L3" s="2722" t="s">
        <v>2819</v>
      </c>
      <c r="M3" s="1083">
        <f>SUMPRODUCT((区片价!B29:B48=I2)*(区片价!C3:F3=E2)*(区片价!C29:F48))</f>
        <v>0</v>
      </c>
      <c r="N3" s="1085">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28"/>
      <c r="B4" s="3329"/>
      <c r="C4" s="3329"/>
      <c r="D4" s="3330"/>
      <c r="E4" s="3330"/>
      <c r="F4" s="3330"/>
      <c r="G4" s="3330"/>
      <c r="H4" s="3330"/>
      <c r="I4" s="3330"/>
      <c r="J4" s="3331"/>
      <c r="K4" s="1370"/>
      <c r="L4" s="2722" t="s">
        <v>2820</v>
      </c>
      <c r="M4" s="1083">
        <f>SUMPRODUCT((区片价!B49:B75=I2)*(区片价!C3:F3=E2)*(区片价!C49:F75))</f>
        <v>0</v>
      </c>
      <c r="N4" s="1085">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4" customFormat="1" ht="15.75" thickBot="1">
      <c r="A5" s="2725" t="s">
        <v>807</v>
      </c>
      <c r="B5" s="2726" t="s">
        <v>2821</v>
      </c>
      <c r="C5" s="916" t="e">
        <f>ROUND(IF(E2="商业",IF(F16="增加",C6*C7+C16,C6*C7-C16),IF(E2="住宅",IF(F16="增加",C6*C12+C16,C6*C12-C16),IF(F16="增加",C6+C16,C6-C16))),0)</f>
        <v>#DIV/0!</v>
      </c>
      <c r="D5" s="1785">
        <f>ROUND(IF(E2="商业",IF(F16="增加",C6+C16,C6-C16)),0)</f>
        <v>0</v>
      </c>
      <c r="E5" s="2727"/>
      <c r="F5" s="2727"/>
      <c r="G5" s="2728"/>
      <c r="H5" s="2728"/>
      <c r="I5" s="2728"/>
      <c r="J5" s="2729"/>
      <c r="K5" s="2730"/>
      <c r="L5" s="2722" t="s">
        <v>2822</v>
      </c>
      <c r="M5" s="1083">
        <f>SUMPRODUCT((区片价!B76:B109=I2)*(区片价!C3:F3=E2)*(区片价!C76:F109))</f>
        <v>0</v>
      </c>
      <c r="N5" s="1085">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1"/>
      <c r="AD5" s="2732"/>
      <c r="AE5" s="2732"/>
      <c r="AF5" s="2732"/>
      <c r="AG5" s="2732"/>
      <c r="AH5" s="2732"/>
      <c r="AI5" s="2732"/>
      <c r="AJ5" s="2733"/>
    </row>
    <row r="6" spans="1:36" ht="15.75" thickBot="1">
      <c r="A6" s="2735" t="s">
        <v>2823</v>
      </c>
      <c r="B6" s="2736" t="s">
        <v>2824</v>
      </c>
      <c r="C6" s="917">
        <f>SUMIF(L1:L12,G2,M1:M12)</f>
        <v>0</v>
      </c>
      <c r="D6" s="2737" t="s">
        <v>2825</v>
      </c>
      <c r="E6" s="2738"/>
      <c r="F6" s="2738"/>
      <c r="G6" s="2739"/>
      <c r="H6" s="2739"/>
      <c r="I6" s="2739"/>
      <c r="J6" s="2740"/>
      <c r="K6" s="1840"/>
      <c r="L6" s="2722" t="s">
        <v>2826</v>
      </c>
      <c r="M6" s="1083">
        <f>SUMPRODUCT((区片价!B110:B157=I2)*(区片价!C3:F3=E2)*(区片价!C110:F157))</f>
        <v>0</v>
      </c>
      <c r="N6" s="1085">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1"/>
      <c r="AD6" s="2732"/>
      <c r="AE6" s="2732"/>
      <c r="AF6" s="2732"/>
      <c r="AG6" s="2732"/>
      <c r="AH6" s="2732"/>
      <c r="AI6" s="2732"/>
      <c r="AJ6" s="2733"/>
    </row>
    <row r="7" spans="1:36" ht="24">
      <c r="A7" s="3314" t="str">
        <f>IF(E2="商业",IF(C8="不临58条商业街","",2),"")</f>
        <v/>
      </c>
      <c r="B7" s="2741" t="s">
        <v>2827</v>
      </c>
      <c r="C7" s="918" t="e">
        <f>IF(C8="不临58条商业街",1,ROUND(1+(1.6*E8+1.2*E9+0.8*E10+0.4*E11)*C9,4))</f>
        <v>#DIV/0!</v>
      </c>
      <c r="D7" s="2742" t="s">
        <v>2828</v>
      </c>
      <c r="E7" s="947"/>
      <c r="F7" s="2743"/>
      <c r="G7" s="2744"/>
      <c r="H7" s="2744"/>
      <c r="I7" s="2744"/>
      <c r="J7" s="2745"/>
      <c r="K7" s="1840"/>
      <c r="L7" s="2722" t="s">
        <v>2829</v>
      </c>
      <c r="M7" s="1083">
        <f>SUMPRODUCT((区片价!B158:B205=I2)*(区片价!C3:F3=E2)*(区片价!C158:F205))</f>
        <v>0</v>
      </c>
      <c r="N7" s="1085">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4" t="s">
        <v>2830</v>
      </c>
      <c r="X7" s="1604">
        <f>G2</f>
        <v>0</v>
      </c>
      <c r="Y7" s="1604" t="s">
        <v>2831</v>
      </c>
      <c r="Z7" s="1605">
        <f>G3</f>
        <v>5.63</v>
      </c>
      <c r="AA7" s="1606"/>
      <c r="AB7" s="1606"/>
      <c r="AC7" s="1607"/>
      <c r="AD7" s="1608"/>
      <c r="AE7" s="1608"/>
      <c r="AF7" s="1608"/>
      <c r="AG7" s="1608"/>
      <c r="AH7" s="1608"/>
      <c r="AI7" s="1608"/>
      <c r="AJ7" s="1609"/>
    </row>
    <row r="8" spans="1:36" ht="15">
      <c r="A8" s="3315"/>
      <c r="B8" s="198" t="s">
        <v>2832</v>
      </c>
      <c r="C8" s="2746"/>
      <c r="D8" s="919" t="s">
        <v>139</v>
      </c>
      <c r="E8" s="920" t="e">
        <f>ROUND(C11/E7,4)</f>
        <v>#DIV/0!</v>
      </c>
      <c r="F8" s="2747" t="s">
        <v>2833</v>
      </c>
      <c r="G8" s="2748"/>
      <c r="H8" s="2748"/>
      <c r="I8" s="2748"/>
      <c r="J8" s="2749"/>
      <c r="K8" s="1370"/>
      <c r="L8" s="2722" t="s">
        <v>2834</v>
      </c>
      <c r="M8" s="1083">
        <f>SUMPRODUCT((区片价!B206:B244=I2)*(区片价!C3:F3=E2)*(区片价!C206:F244))</f>
        <v>0</v>
      </c>
      <c r="N8" s="1085">
        <f>SUMPRODUCT((因素修正幅度!B206:B244=I2)*(因素修正幅度!C3:F3=E2)*(因素修正幅度!C206:F244))</f>
        <v>0</v>
      </c>
      <c r="O8" s="1370"/>
      <c r="P8" s="1370"/>
      <c r="Q8" s="1370"/>
      <c r="R8" s="1602">
        <v>7</v>
      </c>
      <c r="S8" s="1603"/>
      <c r="T8" s="1602" t="e">
        <f t="shared" si="0"/>
        <v>#DIV/0!</v>
      </c>
      <c r="U8" s="1603"/>
      <c r="V8" s="1602" t="e">
        <f t="shared" si="1"/>
        <v>#DIV/0!</v>
      </c>
      <c r="W8" s="3325" t="s">
        <v>2835</v>
      </c>
      <c r="X8" s="3326"/>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315"/>
      <c r="B9" s="198" t="s">
        <v>2848</v>
      </c>
      <c r="C9" s="921">
        <f>SUMIF(修正!C59:C119,C8,修正!E59:E119)</f>
        <v>0</v>
      </c>
      <c r="D9" s="200" t="s">
        <v>140</v>
      </c>
      <c r="E9" s="200" t="e">
        <f>ROUND(C11/E7,4)</f>
        <v>#DIV/0!</v>
      </c>
      <c r="F9" s="2747" t="s">
        <v>2849</v>
      </c>
      <c r="G9" s="2748"/>
      <c r="H9" s="2748"/>
      <c r="I9" s="2748"/>
      <c r="J9" s="2749"/>
      <c r="K9" s="1370"/>
      <c r="L9" s="2722" t="s">
        <v>2850</v>
      </c>
      <c r="M9" s="1083">
        <f>SUMPRODUCT((区片价!B245:B289=I2)*(区片价!C3:F3=E2)*(区片价!C245:F289))</f>
        <v>0</v>
      </c>
      <c r="N9" s="1085">
        <f>SUMPRODUCT((因素修正幅度!B245:B289=I2)*(因素修正幅度!C3:F3=E2)*(因素修正幅度!C245:F289))</f>
        <v>0</v>
      </c>
      <c r="O9" s="1370"/>
      <c r="P9" s="1370"/>
      <c r="Q9" s="1370"/>
      <c r="R9" s="1602">
        <v>8</v>
      </c>
      <c r="S9" s="1603"/>
      <c r="T9" s="1602" t="e">
        <f t="shared" si="0"/>
        <v>#DIV/0!</v>
      </c>
      <c r="U9" s="1603"/>
      <c r="V9" s="1602" t="e">
        <f t="shared" si="1"/>
        <v>#DIV/0!</v>
      </c>
      <c r="W9" s="3327" t="s">
        <v>2851</v>
      </c>
      <c r="X9" s="1611" t="s">
        <v>2852</v>
      </c>
      <c r="Y9" s="1770"/>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15"/>
      <c r="B10" s="198" t="s">
        <v>2853</v>
      </c>
      <c r="C10" s="200">
        <f>SUMIF(修正!C59:C119,C8,修正!F59:F119)</f>
        <v>0</v>
      </c>
      <c r="D10" s="200" t="s">
        <v>141</v>
      </c>
      <c r="E10" s="200" t="e">
        <f>ROUND(C11/E7,4)</f>
        <v>#DIV/0!</v>
      </c>
      <c r="F10" s="2747" t="s">
        <v>2854</v>
      </c>
      <c r="G10" s="2748"/>
      <c r="H10" s="2748"/>
      <c r="I10" s="2748"/>
      <c r="J10" s="2749"/>
      <c r="K10" s="1370"/>
      <c r="L10" s="2722" t="s">
        <v>2855</v>
      </c>
      <c r="M10" s="1083">
        <f>SUMPRODUCT((区片价!B290:B316=I2)*(区片价!C3:F3=E2)*(区片价!C290:F316))</f>
        <v>0</v>
      </c>
      <c r="N10" s="1085">
        <f>SUMPRODUCT((因素修正幅度!B290:B316=I2)*(因素修正幅度!C3:F3=E2)*(因素修正幅度!C290:F316))</f>
        <v>0</v>
      </c>
      <c r="O10" s="1370"/>
      <c r="P10" s="1370"/>
      <c r="Q10" s="1370"/>
      <c r="R10" s="1602">
        <v>9</v>
      </c>
      <c r="S10" s="1603"/>
      <c r="T10" s="1602" t="e">
        <f t="shared" si="0"/>
        <v>#DIV/0!</v>
      </c>
      <c r="U10" s="1603"/>
      <c r="V10" s="1602" t="e">
        <f t="shared" si="1"/>
        <v>#DIV/0!</v>
      </c>
      <c r="W10" s="332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15"/>
      <c r="B11" s="2750" t="s">
        <v>2856</v>
      </c>
      <c r="C11" s="922">
        <f>C10/4</f>
        <v>0</v>
      </c>
      <c r="D11" s="922" t="s">
        <v>142</v>
      </c>
      <c r="E11" s="922" t="e">
        <f>ROUND(C11/E7,4)</f>
        <v>#DIV/0!</v>
      </c>
      <c r="F11" s="2751" t="s">
        <v>2857</v>
      </c>
      <c r="G11" s="2752"/>
      <c r="H11" s="2752"/>
      <c r="I11" s="2752"/>
      <c r="J11" s="2753"/>
      <c r="K11" s="1370"/>
      <c r="L11" s="2722" t="s">
        <v>2858</v>
      </c>
      <c r="M11" s="1083">
        <f>SUMPRODUCT((区片价!B317:B337=I2)*(区片价!C3:F3=E2)*(区片价!C317:F337))</f>
        <v>0</v>
      </c>
      <c r="N11" s="1085">
        <f>SUMPRODUCT((因素修正幅度!B317:B337=I2)*(因素修正幅度!C3:F3=E2)*(因素修正幅度!C317:F337))</f>
        <v>0</v>
      </c>
      <c r="O11" s="1370"/>
      <c r="P11" s="1370"/>
      <c r="Q11" s="1370"/>
      <c r="R11" s="1602">
        <v>10</v>
      </c>
      <c r="S11" s="1603"/>
      <c r="T11" s="1602" t="e">
        <f t="shared" si="0"/>
        <v>#DIV/0!</v>
      </c>
      <c r="U11" s="1603"/>
      <c r="V11" s="1602" t="e">
        <f t="shared" si="1"/>
        <v>#DIV/0!</v>
      </c>
      <c r="W11" s="3327" t="s">
        <v>2859</v>
      </c>
      <c r="X11" s="1614" t="s">
        <v>2860</v>
      </c>
      <c r="Y11" s="1615">
        <f>$G$3</f>
        <v>5.63</v>
      </c>
      <c r="Z11" s="1615">
        <f t="shared" ref="Z11:AJ11" si="3">$G$3</f>
        <v>5.63</v>
      </c>
      <c r="AA11" s="1615">
        <f t="shared" si="3"/>
        <v>5.63</v>
      </c>
      <c r="AB11" s="1615">
        <f t="shared" si="3"/>
        <v>5.63</v>
      </c>
      <c r="AC11" s="1615">
        <f t="shared" si="3"/>
        <v>5.63</v>
      </c>
      <c r="AD11" s="1615">
        <f t="shared" si="3"/>
        <v>5.63</v>
      </c>
      <c r="AE11" s="1615">
        <f t="shared" si="3"/>
        <v>5.63</v>
      </c>
      <c r="AF11" s="1615">
        <f t="shared" si="3"/>
        <v>5.63</v>
      </c>
      <c r="AG11" s="1615">
        <f t="shared" si="3"/>
        <v>5.63</v>
      </c>
      <c r="AH11" s="1615">
        <f t="shared" si="3"/>
        <v>5.63</v>
      </c>
      <c r="AI11" s="1615">
        <f t="shared" si="3"/>
        <v>5.63</v>
      </c>
      <c r="AJ11" s="1615">
        <f t="shared" si="3"/>
        <v>5.63</v>
      </c>
    </row>
    <row r="12" spans="1:36" ht="25.5" thickBot="1">
      <c r="A12" s="3314" t="s">
        <v>2861</v>
      </c>
      <c r="B12" s="2754" t="s">
        <v>2862</v>
      </c>
      <c r="C12" s="918">
        <f>ROUND(C15*D15*E15*F15*G15*H15*I15*J15,4)</f>
        <v>1</v>
      </c>
      <c r="D12" s="2755" t="s">
        <v>2863</v>
      </c>
      <c r="E12" s="2756"/>
      <c r="F12" s="2756"/>
      <c r="G12" s="2757"/>
      <c r="H12" s="2757"/>
      <c r="I12" s="2757"/>
      <c r="J12" s="2758"/>
      <c r="K12" s="1370"/>
      <c r="L12" s="2759" t="s">
        <v>2864</v>
      </c>
      <c r="M12" s="1084">
        <f>SUMPRODUCT((区片价!B338:B344=I2)*(区片价!C3:F3=E2)*(区片价!C338:F344))</f>
        <v>0</v>
      </c>
      <c r="N12" s="1085">
        <f>SUMPRODUCT((因素修正幅度!B338:B344=I2)*(因素修正幅度!C3:F3=E2)*(因素修正幅度!C338:F344))</f>
        <v>0</v>
      </c>
      <c r="O12" s="1370"/>
      <c r="P12" s="1370"/>
      <c r="Q12" s="1370"/>
      <c r="R12" s="1602">
        <v>11</v>
      </c>
      <c r="S12" s="1603"/>
      <c r="T12" s="1602" t="e">
        <f t="shared" si="0"/>
        <v>#DIV/0!</v>
      </c>
      <c r="U12" s="1603"/>
      <c r="V12" s="1602" t="e">
        <f t="shared" si="1"/>
        <v>#DIV/0!</v>
      </c>
      <c r="W12" s="3327"/>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32"/>
      <c r="B13" s="2760" t="s">
        <v>2866</v>
      </c>
      <c r="C13" s="2761" t="s">
        <v>2867</v>
      </c>
      <c r="D13" s="1806" t="s">
        <v>2868</v>
      </c>
      <c r="E13" s="1806" t="s">
        <v>2869</v>
      </c>
      <c r="F13" s="30" t="s">
        <v>2870</v>
      </c>
      <c r="G13" s="2762" t="s">
        <v>2871</v>
      </c>
      <c r="H13" s="2762" t="s">
        <v>2871</v>
      </c>
      <c r="I13" s="2762" t="s">
        <v>2871</v>
      </c>
      <c r="J13" s="2763" t="s">
        <v>2871</v>
      </c>
      <c r="K13" s="1370"/>
      <c r="L13" s="1370"/>
      <c r="M13" s="1370"/>
      <c r="N13" s="1370"/>
      <c r="O13" s="1370"/>
      <c r="P13" s="1370"/>
      <c r="Q13" s="1370"/>
      <c r="R13" s="1602">
        <v>12</v>
      </c>
      <c r="S13" s="1603"/>
      <c r="T13" s="1602" t="e">
        <f t="shared" si="0"/>
        <v>#DIV/0!</v>
      </c>
      <c r="U13" s="1603"/>
      <c r="V13" s="1602" t="e">
        <f t="shared" si="1"/>
        <v>#DIV/0!</v>
      </c>
      <c r="W13" s="3327"/>
      <c r="X13" s="1616"/>
      <c r="Y13" s="1613">
        <f>(-0.163*(Y12^2)-0.59*Y12+7617)*(10^(-4))/Y11</f>
        <v>0.13529307282415631</v>
      </c>
      <c r="Z13" s="1613">
        <f t="shared" ref="Z13:AJ13" si="5">(-0.163*(Z12^2)-0.59*Z12+7617)*(10^(-4))/Z11</f>
        <v>0.13529307282415631</v>
      </c>
      <c r="AA13" s="1613">
        <f t="shared" si="5"/>
        <v>0.13529307282415631</v>
      </c>
      <c r="AB13" s="1613">
        <f t="shared" si="5"/>
        <v>0.13529307282415631</v>
      </c>
      <c r="AC13" s="1613">
        <f t="shared" si="5"/>
        <v>0.13529307282415631</v>
      </c>
      <c r="AD13" s="1613">
        <f t="shared" si="5"/>
        <v>0.13529307282415631</v>
      </c>
      <c r="AE13" s="1613">
        <f t="shared" si="5"/>
        <v>0.13529307282415631</v>
      </c>
      <c r="AF13" s="1613">
        <f t="shared" si="5"/>
        <v>0.13529307282415631</v>
      </c>
      <c r="AG13" s="1613">
        <f t="shared" si="5"/>
        <v>0.13529307282415631</v>
      </c>
      <c r="AH13" s="1613">
        <f t="shared" si="5"/>
        <v>0.13529307282415631</v>
      </c>
      <c r="AI13" s="1613">
        <f t="shared" si="5"/>
        <v>0.13529307282415631</v>
      </c>
      <c r="AJ13" s="1613">
        <f t="shared" si="5"/>
        <v>0.13529307282415631</v>
      </c>
    </row>
    <row r="14" spans="1:36" ht="15">
      <c r="A14" s="3332"/>
      <c r="B14" s="2764"/>
      <c r="C14" s="2765"/>
      <c r="D14" s="2766"/>
      <c r="E14" s="2766"/>
      <c r="F14" s="2767"/>
      <c r="G14" s="2768" t="s">
        <v>2872</v>
      </c>
      <c r="H14" s="2769"/>
      <c r="I14" s="2770"/>
      <c r="J14" s="2771"/>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33"/>
      <c r="B15" s="2772" t="s">
        <v>2873</v>
      </c>
      <c r="C15" s="229">
        <f>IF(C14="有",1.1,1)</f>
        <v>1</v>
      </c>
      <c r="D15" s="229">
        <f>IF(D14="有",1.1,1)</f>
        <v>1</v>
      </c>
      <c r="E15" s="229">
        <f>IF(E14="有",1.1,1)</f>
        <v>1</v>
      </c>
      <c r="F15" s="229">
        <f>IF(F14="500米范围内",1.2,IF(F14="500-1000米",1.1,1))</f>
        <v>1</v>
      </c>
      <c r="G15" s="948">
        <v>1</v>
      </c>
      <c r="H15" s="948">
        <v>1</v>
      </c>
      <c r="I15" s="948">
        <v>1</v>
      </c>
      <c r="J15" s="949">
        <v>1</v>
      </c>
      <c r="K15" s="1370"/>
      <c r="L15" s="2773" t="s">
        <v>2809</v>
      </c>
      <c r="M15" s="919" t="s">
        <v>2874</v>
      </c>
      <c r="N15" s="919" t="s">
        <v>2875</v>
      </c>
      <c r="O15" s="919" t="s">
        <v>2876</v>
      </c>
      <c r="P15" s="2774" t="s">
        <v>2877</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14" t="s">
        <v>2878</v>
      </c>
      <c r="B16" s="2741" t="s">
        <v>2879</v>
      </c>
      <c r="C16" s="1799" t="e">
        <f>ROUND(SUM(G17:J17)/C17,0)</f>
        <v>#DIV/0!</v>
      </c>
      <c r="D16" s="2775" t="s">
        <v>2880</v>
      </c>
      <c r="E16" s="2776"/>
      <c r="F16" s="2777"/>
      <c r="G16" s="2778"/>
      <c r="H16" s="2778"/>
      <c r="I16" s="2778"/>
      <c r="J16" s="2779"/>
      <c r="K16" s="1370"/>
      <c r="L16" s="2780" t="s">
        <v>2881</v>
      </c>
      <c r="M16" s="921">
        <v>0.25</v>
      </c>
      <c r="N16" s="921">
        <v>0.2</v>
      </c>
      <c r="O16" s="921">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15"/>
      <c r="B17" s="2781" t="s">
        <v>2882</v>
      </c>
      <c r="C17" s="923">
        <f>SUMPRODUCT((修正!A2:A5=E2)*(修正!B1:M1=G2)*(修正!B2:M5))</f>
        <v>0</v>
      </c>
      <c r="D17" s="2782" t="s">
        <v>2883</v>
      </c>
      <c r="E17" s="922" t="str">
        <f>IF(OR(G2="八级",G2="九级",G2="十级",G2="十一级",G2="十二级"),"五通一平","七通一平")</f>
        <v>七通一平</v>
      </c>
      <c r="F17" s="923" t="s">
        <v>2884</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0"/>
      <c r="L17" s="2783" t="s">
        <v>2885</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4"/>
      <c r="AF17" s="2784"/>
      <c r="AG17" s="2716"/>
      <c r="AH17" s="2716"/>
      <c r="AI17" s="2716"/>
      <c r="AJ17" s="2716"/>
    </row>
    <row r="18" spans="1:37" s="2734" customFormat="1" ht="15.75" thickBot="1">
      <c r="A18" s="2785" t="s">
        <v>808</v>
      </c>
      <c r="B18" s="2786" t="s">
        <v>2886</v>
      </c>
      <c r="C18" s="925">
        <f>SUMIF(修正!C18:C39,E3,修正!E18:E39)</f>
        <v>0</v>
      </c>
      <c r="D18" s="2787"/>
      <c r="E18" s="2788"/>
      <c r="F18" s="2789"/>
      <c r="G18" s="2790"/>
      <c r="H18" s="2790"/>
      <c r="I18" s="2790"/>
      <c r="J18" s="2791"/>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34" customFormat="1" ht="27.75" thickBot="1">
      <c r="A19" s="2785" t="s">
        <v>809</v>
      </c>
      <c r="B19" s="2786" t="s">
        <v>2887</v>
      </c>
      <c r="C19" s="926" t="e">
        <f>ROUND(IF(H19="按公示增长率计算",SUMPRODUCT((地价!A3:A23=YEAR(G19)&amp;"-"&amp;ROUNDUP(MONTH(G19)/3,0))*(地价!X2:AB2=E2)*(地价!X3:AB23)),IF(H19="地价指数",M20/M19,(1+I19)^O19)),4)</f>
        <v>#DIV/0!</v>
      </c>
      <c r="D19" s="2793" t="s">
        <v>2888</v>
      </c>
      <c r="E19" s="927">
        <v>41640</v>
      </c>
      <c r="F19" s="2793" t="s">
        <v>2889</v>
      </c>
      <c r="G19" s="928">
        <f>'数据-取费表'!B2</f>
        <v>43279</v>
      </c>
      <c r="H19" s="2794" t="s">
        <v>2890</v>
      </c>
      <c r="I19" s="929" t="str">
        <f>IF(H19="季度增幅（自定义）",SUMIF(N21:N24,E2,O21:O24),"")</f>
        <v/>
      </c>
      <c r="J19" s="2791"/>
      <c r="K19" s="1377"/>
      <c r="L19" s="2795" t="s">
        <v>2891</v>
      </c>
      <c r="M19" s="1733">
        <f>ROUND(SUMIF(地价!B2:F2,E2,地价!B23:F23),0)</f>
        <v>0</v>
      </c>
      <c r="N19" s="2796" t="s">
        <v>2892</v>
      </c>
      <c r="O19" s="930">
        <f>ROUNDDOWN(DATEDIF(E19,G19,"M")/3,0)</f>
        <v>17</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34" customFormat="1" ht="27.75" thickBot="1">
      <c r="A20" s="2800" t="s">
        <v>810</v>
      </c>
      <c r="B20" s="2801" t="s">
        <v>2893</v>
      </c>
      <c r="C20" s="931" t="e">
        <f>ROUND(POWER(1+G20,J20-I20)*(POWER(1+G20,I20)-1)/(POWER(1+G20,J20)-1),4)</f>
        <v>#DIV/0!</v>
      </c>
      <c r="D20" s="2802" t="s">
        <v>2894</v>
      </c>
      <c r="E20" s="1767">
        <f ca="1">存贷款利率!D4/100</f>
        <v>4.3499999999999997E-2</v>
      </c>
      <c r="F20" s="2802" t="s">
        <v>2885</v>
      </c>
      <c r="G20" s="936">
        <f>SUMIF(M15:P15,E2,M17:P17)</f>
        <v>0</v>
      </c>
      <c r="H20" s="2802" t="s">
        <v>2895</v>
      </c>
      <c r="I20" s="937" t="e">
        <f>SUMIF('数据-取费表'!C6:C15,E2,'数据-取费表'!F6:F15)/COUNTIF('数据-取费表'!C6:C15,E2)</f>
        <v>#DIV/0!</v>
      </c>
      <c r="J20" s="938">
        <f>IF(E2="住宅",70,IF(E2="商业",40,50))</f>
        <v>50</v>
      </c>
      <c r="K20" s="1377"/>
      <c r="L20" s="2803" t="s">
        <v>2896</v>
      </c>
      <c r="M20" s="1734">
        <f>ROUND(SUMPRODUCT((地价!A4:A23=YEAR(G19)&amp;"-"&amp;ROUNDUP(MONTH(G19)/3,0))*(地价!B2:F2=E2)*(地价!B4:F23)),0)</f>
        <v>0</v>
      </c>
      <c r="N20" s="2804" t="s">
        <v>2897</v>
      </c>
      <c r="O20" s="2805" t="s">
        <v>2898</v>
      </c>
      <c r="P20" s="2806" t="s">
        <v>2899</v>
      </c>
      <c r="R20" s="1376"/>
      <c r="S20" s="1376"/>
      <c r="T20" s="1371"/>
      <c r="U20" s="1371"/>
      <c r="V20" s="1371"/>
      <c r="W20" s="1370"/>
      <c r="X20" s="1370"/>
      <c r="Y20" s="1370"/>
      <c r="Z20" s="1377"/>
      <c r="AA20" s="1378"/>
      <c r="AB20" s="1378"/>
      <c r="AC20" s="1378"/>
      <c r="AD20" s="1378"/>
      <c r="AE20" s="1378"/>
      <c r="AF20" s="1378"/>
    </row>
    <row r="21" spans="1:37" s="2734" customFormat="1" ht="15">
      <c r="A21" s="2807" t="s">
        <v>811</v>
      </c>
      <c r="B21" s="2808" t="s">
        <v>2900</v>
      </c>
      <c r="C21" s="939">
        <f>IF(B21="容积率修正",IF(G3&lt;=10,D22,J22),C23)</f>
        <v>0</v>
      </c>
      <c r="D21" s="2809"/>
      <c r="E21" s="2809"/>
      <c r="F21" s="2809"/>
      <c r="G21" s="2809"/>
      <c r="H21" s="2809"/>
      <c r="I21" s="2809"/>
      <c r="J21" s="2810"/>
      <c r="K21" s="1377"/>
      <c r="N21" s="2811" t="s">
        <v>2901</v>
      </c>
      <c r="O21" s="1561"/>
      <c r="P21" s="1562">
        <f>SUMPRODUCT((地价!A3:A23=YEAR(G19)&amp;"-"&amp;ROUNDUP(MONTH(G19)/3,0))*(地价!AD2:AH2=N21)*(地价!AD3:AH23))</f>
        <v>1.5699999999999999E-2</v>
      </c>
      <c r="R21" s="1376"/>
      <c r="S21" s="1376"/>
      <c r="T21" s="1371"/>
      <c r="U21" s="1371"/>
      <c r="V21" s="1371"/>
      <c r="W21" s="1370"/>
      <c r="X21" s="1370"/>
      <c r="Y21" s="1370"/>
      <c r="Z21" s="1377"/>
      <c r="AA21" s="1378"/>
      <c r="AB21" s="1378"/>
      <c r="AC21" s="1378"/>
      <c r="AD21" s="1378"/>
      <c r="AE21" s="1378"/>
      <c r="AF21" s="1378"/>
    </row>
    <row r="22" spans="1:37" s="2734" customFormat="1" ht="14.25">
      <c r="A22" s="2660" t="s">
        <v>2902</v>
      </c>
      <c r="B22" s="2812" t="s">
        <v>2903</v>
      </c>
      <c r="C22" s="1808" t="s">
        <v>2904</v>
      </c>
      <c r="D22" s="1808">
        <f>IF(E22=G22,F22,IF(G3&lt;=10,ROUND(F22+(H22-F22)*(G3-E22)/(G22-E22),4),"——"))</f>
        <v>0</v>
      </c>
      <c r="E22" s="915">
        <f>ROUNDDOWN(G3,1)</f>
        <v>5.6</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5.6999999999999993</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40" t="str">
        <f>IF(G3&gt;10,D113,"——")</f>
        <v>——</v>
      </c>
      <c r="K22" s="1377"/>
      <c r="N22" s="2811" t="s">
        <v>2905</v>
      </c>
      <c r="O22" s="1561"/>
      <c r="P22" s="1562">
        <f>SUMPRODUCT((地价!A3:A23=YEAR(G19)&amp;"-"&amp;ROUNDUP(MONTH(G19)/3,0))*(地价!AD2:AH2=N22)*(地价!AD3:AH23))</f>
        <v>1.5699999999999999E-2</v>
      </c>
      <c r="R22" s="1376"/>
      <c r="S22" s="1376"/>
      <c r="T22" s="1371"/>
      <c r="U22" s="1371"/>
      <c r="V22" s="1371"/>
      <c r="W22" s="1370"/>
      <c r="X22" s="1370"/>
      <c r="Y22" s="1370"/>
      <c r="Z22" s="1377"/>
      <c r="AA22" s="1378"/>
      <c r="AB22" s="1378"/>
      <c r="AC22" s="1378"/>
      <c r="AD22" s="1378"/>
      <c r="AE22" s="1378"/>
      <c r="AF22" s="1378"/>
    </row>
    <row r="23" spans="1:37" ht="27.75" thickBot="1">
      <c r="A23" s="2660" t="s">
        <v>2906</v>
      </c>
      <c r="B23" s="2813" t="s">
        <v>2907</v>
      </c>
      <c r="C23" s="1015">
        <f>ROUND(IF(G3&gt;1,IF(I3&lt;7,SUMPRODUCT((B93:B98=I3)*(C92:N92=G2)*(C93:N98)),SUMIF(C92:N92,G2,C100:N100)),IF(I3&lt;7,SUMPRODUCT((B102:B107=I3)*(C92:N92=G2)*(C102:N107)),SUMIF(C92:N92,G2,C109:N109))),4)</f>
        <v>0</v>
      </c>
      <c r="D23" s="2769"/>
      <c r="E23" s="2769"/>
      <c r="F23" s="2814"/>
      <c r="G23" s="2815"/>
      <c r="H23" s="2816"/>
      <c r="I23" s="2817"/>
      <c r="J23" s="2818"/>
      <c r="K23" s="1370"/>
      <c r="N23" s="2811" t="s">
        <v>2908</v>
      </c>
      <c r="O23" s="1561"/>
      <c r="P23" s="1562">
        <f>SUMPRODUCT((地价!A3:A23=YEAR(G19)&amp;"-"&amp;ROUNDUP(MONTH(G19)/3,0))*(地价!AD2:AH2=N23)*(地价!AD3:AH23))</f>
        <v>2.5000000000000001E-2</v>
      </c>
      <c r="R23" s="1376"/>
      <c r="S23" s="1376"/>
      <c r="T23" s="1371"/>
      <c r="U23" s="1371"/>
      <c r="V23" s="1371"/>
      <c r="W23" s="1370"/>
      <c r="X23" s="1370"/>
      <c r="Y23" s="1370"/>
      <c r="Z23" s="1377"/>
      <c r="AA23" s="1378"/>
      <c r="AB23" s="1378"/>
      <c r="AC23" s="1378"/>
      <c r="AD23" s="1378"/>
      <c r="AK23" s="2792"/>
    </row>
    <row r="24" spans="1:37" s="2734" customFormat="1" ht="15.75" thickBot="1">
      <c r="A24" s="2800" t="s">
        <v>812</v>
      </c>
      <c r="B24" s="2786" t="s">
        <v>2909</v>
      </c>
      <c r="C24" s="926">
        <f>SUMIF(A45:A88,E2,B45:B88)</f>
        <v>0</v>
      </c>
      <c r="D24" s="2789"/>
      <c r="E24" s="2819"/>
      <c r="F24" s="2819"/>
      <c r="G24" s="2819"/>
      <c r="H24" s="2819"/>
      <c r="I24" s="2819"/>
      <c r="J24" s="2820"/>
      <c r="K24" s="1377"/>
      <c r="N24" s="2821" t="s">
        <v>2910</v>
      </c>
      <c r="O24" s="1563"/>
      <c r="P24" s="1564">
        <f>SUMPRODUCT((地价!A3:A23=YEAR(G19)&amp;"-"&amp;ROUNDUP(MONTH(G19)/3,0))*(地价!AD2:AH2=N24)*(地价!AD3:AH23))</f>
        <v>1.35E-2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2911</v>
      </c>
      <c r="C25" s="932"/>
      <c r="D25" s="2744"/>
      <c r="E25" s="2744"/>
      <c r="F25" s="2823"/>
      <c r="G25" s="2744"/>
      <c r="H25" s="2744"/>
      <c r="I25" s="2744"/>
      <c r="J25" s="2745"/>
      <c r="K25" s="1370"/>
      <c r="N25" s="2824" t="s">
        <v>2912</v>
      </c>
      <c r="O25" s="1565"/>
      <c r="P25" s="1564">
        <f>SUMPRODUCT((地价!A3:A23=YEAR(G19)&amp;"-"&amp;ROUNDUP(MONTH(G19)/3,0))*(地价!AD2:AH2=N25)*(地价!AD3:AH23))</f>
        <v>2.2700000000000001E-2</v>
      </c>
      <c r="R25" s="1376"/>
      <c r="S25" s="1376"/>
      <c r="T25" s="1371"/>
      <c r="U25" s="1371"/>
      <c r="V25" s="1371"/>
      <c r="W25" s="1370"/>
      <c r="X25" s="1370"/>
      <c r="Y25" s="1370"/>
      <c r="Z25" s="1377"/>
      <c r="AA25" s="1378"/>
      <c r="AB25" s="1378"/>
      <c r="AC25" s="1378"/>
      <c r="AD25" s="1378"/>
    </row>
    <row r="26" spans="1:37" ht="15">
      <c r="A26" s="2825"/>
      <c r="B26" s="2812" t="s">
        <v>2913</v>
      </c>
      <c r="C26" s="206" t="e">
        <f>E29+SUM(E33:E39)</f>
        <v>#DIV/0!</v>
      </c>
      <c r="D26" s="2826"/>
      <c r="E26" s="2769"/>
      <c r="F26" s="2827"/>
      <c r="G26" s="2769"/>
      <c r="H26" s="2769"/>
      <c r="I26" s="2769"/>
      <c r="J26" s="2828"/>
      <c r="K26" s="1370"/>
      <c r="R26" s="1376"/>
      <c r="S26" s="1376"/>
      <c r="T26" s="1371"/>
      <c r="U26" s="1371"/>
      <c r="V26" s="1371"/>
      <c r="W26" s="1370"/>
      <c r="X26" s="1370"/>
      <c r="Y26" s="1370"/>
      <c r="Z26" s="1377"/>
      <c r="AA26" s="1378"/>
      <c r="AB26" s="1378"/>
      <c r="AC26" s="1378"/>
      <c r="AD26" s="1378"/>
    </row>
    <row r="27" spans="1:37" ht="15.75" thickBot="1">
      <c r="A27" s="2825"/>
      <c r="B27" s="2829" t="s">
        <v>2914</v>
      </c>
      <c r="C27" s="933" t="e">
        <f>E30+SUM(I33:I39)</f>
        <v>#DIV/0!</v>
      </c>
      <c r="D27" s="2830"/>
      <c r="E27" s="2831"/>
      <c r="F27" s="2832"/>
      <c r="G27" s="2831"/>
      <c r="H27" s="2831"/>
      <c r="I27" s="2831"/>
      <c r="J27" s="2833"/>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4"/>
      <c r="B28" s="2835" t="s">
        <v>2915</v>
      </c>
      <c r="C28" s="2836" t="s">
        <v>2916</v>
      </c>
      <c r="D28" s="2836" t="s">
        <v>2917</v>
      </c>
      <c r="E28" s="2837" t="s">
        <v>2918</v>
      </c>
      <c r="F28" s="2838"/>
      <c r="G28" s="2757"/>
      <c r="H28" s="2757"/>
      <c r="I28" s="2757"/>
      <c r="J28" s="2758"/>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9"/>
      <c r="B29" s="2840" t="s">
        <v>2919</v>
      </c>
      <c r="C29" s="206" t="e">
        <f>ROUND(C5*C18*C19*C20*C21*C24,0)</f>
        <v>#DIV/0!</v>
      </c>
      <c r="D29" s="2841"/>
      <c r="E29" s="944" t="e">
        <f>ROUND(C29*D29/10000,0)</f>
        <v>#DIV/0!</v>
      </c>
      <c r="F29" s="2842" t="s">
        <v>2920</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16"/>
      <c r="AH29" s="2716"/>
      <c r="AI29" s="2716"/>
      <c r="AJ29" s="2716"/>
    </row>
    <row r="30" spans="1:37" ht="25.5" thickBot="1">
      <c r="A30" s="2845"/>
      <c r="B30" s="2846" t="s">
        <v>2921</v>
      </c>
      <c r="C30" s="229" t="e">
        <f>ROUND(IF(E2="工业",C29*M39,C29*M38),0)</f>
        <v>#DIV/0!</v>
      </c>
      <c r="D30" s="2847"/>
      <c r="E30" s="944" t="e">
        <f>ROUND(C30*D30/10000,0)</f>
        <v>#DIV/0!</v>
      </c>
      <c r="F30" s="2848" t="s">
        <v>2922</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16"/>
      <c r="AH30" s="2716"/>
      <c r="AI30" s="2716"/>
      <c r="AJ30" s="2716"/>
    </row>
    <row r="31" spans="1:37" ht="14.25">
      <c r="A31" s="2851"/>
      <c r="B31" s="2852" t="s">
        <v>2923</v>
      </c>
      <c r="C31" s="2853" t="s">
        <v>2924</v>
      </c>
      <c r="D31" s="2757"/>
      <c r="E31" s="2853"/>
      <c r="F31" s="2853"/>
      <c r="G31" s="2755" t="s">
        <v>2925</v>
      </c>
      <c r="H31" s="2757"/>
      <c r="I31" s="2854"/>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16"/>
      <c r="AH31" s="2716"/>
      <c r="AI31" s="2716"/>
      <c r="AJ31" s="2716"/>
    </row>
    <row r="32" spans="1:37" ht="24">
      <c r="A32" s="2839"/>
      <c r="B32" s="2855"/>
      <c r="C32" s="501" t="s">
        <v>2916</v>
      </c>
      <c r="D32" s="498" t="s">
        <v>2917</v>
      </c>
      <c r="E32" s="498" t="s">
        <v>2918</v>
      </c>
      <c r="F32" s="388" t="s">
        <v>2926</v>
      </c>
      <c r="G32" s="2856" t="s">
        <v>2916</v>
      </c>
      <c r="H32" s="2856" t="s">
        <v>2917</v>
      </c>
      <c r="I32" s="2856"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16"/>
      <c r="AH32" s="2716"/>
      <c r="AI32" s="2716"/>
      <c r="AJ32" s="2716"/>
    </row>
    <row r="33" spans="1:37" ht="36" customHeight="1">
      <c r="A33" s="3322" t="s">
        <v>2927</v>
      </c>
      <c r="B33" s="2857" t="s">
        <v>2928</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23"/>
      <c r="B34" s="2761" t="s">
        <v>2929</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23"/>
      <c r="B35" s="2761" t="s">
        <v>2930</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0"/>
      <c r="L35" s="1370"/>
      <c r="M35" s="1370"/>
      <c r="N35" s="1370"/>
      <c r="O35" s="1370"/>
      <c r="P35" s="1370"/>
      <c r="Q35" s="1370"/>
      <c r="R35" s="1370"/>
      <c r="S35" s="1370"/>
      <c r="T35" s="1370"/>
      <c r="U35" s="1370"/>
      <c r="V35" s="1370"/>
      <c r="W35" s="1370"/>
      <c r="X35" s="1370"/>
      <c r="Y35" s="1370"/>
      <c r="Z35" s="1371"/>
    </row>
    <row r="36" spans="1:37" ht="13.5" thickBot="1">
      <c r="A36" s="3324"/>
      <c r="B36" s="2761" t="s">
        <v>2931</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0"/>
      <c r="L36" s="2715"/>
      <c r="M36" s="2715"/>
      <c r="N36" s="1370"/>
      <c r="O36" s="1370"/>
      <c r="P36" s="1370"/>
      <c r="Q36" s="1370"/>
      <c r="R36" s="1370"/>
      <c r="S36" s="1370"/>
      <c r="T36" s="1370"/>
      <c r="U36" s="1370"/>
      <c r="V36" s="1370"/>
      <c r="W36" s="1370"/>
      <c r="X36" s="1370"/>
      <c r="Y36" s="1370"/>
      <c r="Z36" s="1371"/>
    </row>
    <row r="37" spans="1:37">
      <c r="A37" s="2859"/>
      <c r="B37" s="2761" t="s">
        <v>2932</v>
      </c>
      <c r="C37" s="200" t="e">
        <f>ROUND(C5*C19*C20*C24*F37,0)</f>
        <v>#DIV/0!</v>
      </c>
      <c r="D37" s="2841"/>
      <c r="E37" s="200" t="e">
        <f t="shared" si="7"/>
        <v>#DIV/0!</v>
      </c>
      <c r="F37" s="206">
        <f>SUMIF(修正!A45:A56,G2,修正!F45:F56)</f>
        <v>0</v>
      </c>
      <c r="G37" s="200" t="e">
        <f>ROUND(IF(E2="工业",C37*$M$39,C37*$M$38),0)</f>
        <v>#DIV/0!</v>
      </c>
      <c r="H37" s="200">
        <f t="shared" si="8"/>
        <v>0</v>
      </c>
      <c r="I37" s="200" t="e">
        <f t="shared" si="9"/>
        <v>#DIV/0!</v>
      </c>
      <c r="J37" s="2858"/>
      <c r="K37" s="1370"/>
      <c r="L37" s="2860" t="s">
        <v>2933</v>
      </c>
      <c r="M37" s="2861"/>
      <c r="N37" s="1370"/>
      <c r="O37" s="1370"/>
      <c r="P37" s="1370"/>
      <c r="Q37" s="1370"/>
      <c r="R37" s="1370"/>
      <c r="S37" s="1370"/>
      <c r="T37" s="1370"/>
      <c r="U37" s="1370"/>
      <c r="V37" s="1370"/>
      <c r="W37" s="1370"/>
      <c r="X37" s="1370"/>
      <c r="Y37" s="1370"/>
      <c r="Z37" s="1371"/>
    </row>
    <row r="38" spans="1:37">
      <c r="A38" s="2859"/>
      <c r="B38" s="2761" t="s">
        <v>2934</v>
      </c>
      <c r="C38" s="200" t="e">
        <f>ROUND(C5*C19*C20*C24*F38,0)</f>
        <v>#DIV/0!</v>
      </c>
      <c r="D38" s="2841"/>
      <c r="E38" s="200" t="e">
        <f t="shared" si="7"/>
        <v>#DIV/0!</v>
      </c>
      <c r="F38" s="206">
        <f>SUMIF(修正!A45:A56,G2,修正!G45:G56)</f>
        <v>0</v>
      </c>
      <c r="G38" s="200" t="e">
        <f>ROUND(IF(E2="工业",C38*$M$39,C38*$M$38),0)</f>
        <v>#DIV/0!</v>
      </c>
      <c r="H38" s="200">
        <f t="shared" si="8"/>
        <v>0</v>
      </c>
      <c r="I38" s="200" t="e">
        <f t="shared" si="9"/>
        <v>#DIV/0!</v>
      </c>
      <c r="J38" s="2858"/>
      <c r="K38" s="1370"/>
      <c r="L38" s="1885" t="s">
        <v>2935</v>
      </c>
      <c r="M38" s="2862">
        <v>0.25</v>
      </c>
      <c r="N38" s="1370"/>
      <c r="O38" s="1370"/>
      <c r="P38" s="1370"/>
      <c r="Q38" s="1370"/>
      <c r="R38" s="1370"/>
      <c r="S38" s="1370"/>
      <c r="T38" s="1370"/>
      <c r="U38" s="1370"/>
      <c r="V38" s="1370"/>
      <c r="W38" s="1370"/>
      <c r="X38" s="1370"/>
      <c r="Y38" s="1370"/>
      <c r="Z38" s="1371"/>
    </row>
    <row r="39" spans="1:37" ht="13.5" thickBot="1">
      <c r="A39" s="2845"/>
      <c r="B39" s="2863" t="s">
        <v>2936</v>
      </c>
      <c r="C39" s="229" t="e">
        <f>ROUND(C5*C19*C20*C24*F39,0)</f>
        <v>#DIV/0!</v>
      </c>
      <c r="D39" s="2847"/>
      <c r="E39" s="229" t="e">
        <f t="shared" si="7"/>
        <v>#DIV/0!</v>
      </c>
      <c r="F39" s="934">
        <f>SUMIF(修正!A45:A56,G2,修正!H45:H56)</f>
        <v>0</v>
      </c>
      <c r="G39" s="229" t="e">
        <f>ROUND(IF(E2="工业",C39*$M$39,C39*$M$38),0)</f>
        <v>#DIV/0!</v>
      </c>
      <c r="H39" s="229">
        <f t="shared" si="8"/>
        <v>0</v>
      </c>
      <c r="I39" s="229" t="e">
        <f t="shared" si="9"/>
        <v>#DIV/0!</v>
      </c>
      <c r="J39" s="2864"/>
      <c r="K39" s="1370"/>
      <c r="L39" s="2865" t="s">
        <v>2877</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7"/>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2937</v>
      </c>
      <c r="B45" s="2869"/>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70" t="s">
        <v>2938</v>
      </c>
      <c r="B46" s="2871">
        <f>1+E48</f>
        <v>1</v>
      </c>
      <c r="C46" s="2872"/>
      <c r="D46" s="813"/>
      <c r="E46" s="814"/>
      <c r="F46" s="2873"/>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4" t="s">
        <v>2939</v>
      </c>
      <c r="B47" s="1807" t="s">
        <v>2940</v>
      </c>
      <c r="C47" s="1807" t="s">
        <v>2941</v>
      </c>
      <c r="D47" s="1807" t="s">
        <v>2942</v>
      </c>
      <c r="E47" s="818" t="s">
        <v>2943</v>
      </c>
      <c r="F47" s="2875" t="s">
        <v>2944</v>
      </c>
      <c r="G47" s="1807" t="s">
        <v>754</v>
      </c>
      <c r="H47" s="2876" t="s">
        <v>2945</v>
      </c>
      <c r="I47" s="1807" t="s">
        <v>2946</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38.25">
      <c r="A48" s="2874" t="s">
        <v>2947</v>
      </c>
      <c r="B48" s="2877" t="str">
        <f>估价对象房地状况!C4</f>
        <v>估价对象位于江东新城，周边商业氛围一般，人流量一般，商业繁华度一般</v>
      </c>
      <c r="C48" s="2766"/>
      <c r="D48" s="1286">
        <f t="shared" ref="D48:D56" si="10">SUMIF($J$47:$N$47,C48,J48:N48)</f>
        <v>0</v>
      </c>
      <c r="E48" s="820">
        <f>ROUND(SUM(D48:D56),4)</f>
        <v>0</v>
      </c>
      <c r="F48" s="2497" t="str">
        <f>IF(E2="商业",SUMIF(L1:L12,G2,N1:N12),"——")</f>
        <v>——</v>
      </c>
      <c r="G48" s="1284"/>
      <c r="H48" s="1288" t="str">
        <f t="shared" ref="H48:H56" si="11">IFERROR(ROUNDDOWN($F$48*I48/2,4),"——")</f>
        <v>——</v>
      </c>
      <c r="I48" s="819">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4" t="s">
        <v>2948</v>
      </c>
      <c r="B49" s="2878" t="str">
        <f>估价对象房地状况!C18</f>
        <v>估价对象周边道路状况较好、公共交通通达情况较好、停车便捷程度较好，综合评价交通便捷度较好</v>
      </c>
      <c r="C49" s="2766"/>
      <c r="D49" s="1286">
        <f t="shared" si="10"/>
        <v>0</v>
      </c>
      <c r="E49" s="821"/>
      <c r="F49" s="2497"/>
      <c r="G49" s="1284"/>
      <c r="H49" s="1288" t="str">
        <f t="shared" si="11"/>
        <v>——</v>
      </c>
      <c r="I49" s="819">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2949</v>
      </c>
      <c r="B50" s="2878">
        <f>估价对象房地状况!C19</f>
        <v>0</v>
      </c>
      <c r="C50" s="2766"/>
      <c r="D50" s="1286">
        <f t="shared" si="10"/>
        <v>0</v>
      </c>
      <c r="E50" s="821"/>
      <c r="F50" s="2497"/>
      <c r="G50" s="1284"/>
      <c r="H50" s="1288" t="str">
        <f t="shared" si="11"/>
        <v>——</v>
      </c>
      <c r="I50" s="819">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2950</v>
      </c>
      <c r="B51" s="2879" t="s">
        <v>2951</v>
      </c>
      <c r="C51" s="2766"/>
      <c r="D51" s="1286">
        <f t="shared" si="10"/>
        <v>0</v>
      </c>
      <c r="E51" s="821"/>
      <c r="F51" s="2497"/>
      <c r="G51" s="1284"/>
      <c r="H51" s="1288" t="str">
        <f t="shared" si="11"/>
        <v>——</v>
      </c>
      <c r="I51" s="819">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2952</v>
      </c>
      <c r="B52" s="2878" t="str">
        <f>估价对象房地状况!C24</f>
        <v>城市主干道—世纪大道</v>
      </c>
      <c r="C52" s="2766"/>
      <c r="D52" s="1286">
        <f t="shared" si="10"/>
        <v>0</v>
      </c>
      <c r="E52" s="821"/>
      <c r="F52" s="2497"/>
      <c r="G52" s="1284"/>
      <c r="H52" s="1288" t="str">
        <f t="shared" si="11"/>
        <v>——</v>
      </c>
      <c r="I52" s="819">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2953</v>
      </c>
      <c r="B53" s="2880" t="s">
        <v>2954</v>
      </c>
      <c r="C53" s="2766"/>
      <c r="D53" s="1286">
        <f t="shared" si="10"/>
        <v>0</v>
      </c>
      <c r="E53" s="821"/>
      <c r="F53" s="2497"/>
      <c r="G53" s="1284"/>
      <c r="H53" s="1288" t="str">
        <f t="shared" si="11"/>
        <v>——</v>
      </c>
      <c r="I53" s="819">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2955</v>
      </c>
      <c r="B54" s="1724" t="str">
        <f>估价对象房地状况!C21</f>
        <v>估价对象所在区域公共配套设施齐备情况较好</v>
      </c>
      <c r="C54" s="2766"/>
      <c r="D54" s="1286">
        <f t="shared" si="10"/>
        <v>0</v>
      </c>
      <c r="E54" s="821"/>
      <c r="F54" s="2497"/>
      <c r="G54" s="1284"/>
      <c r="H54" s="1288" t="str">
        <f t="shared" si="11"/>
        <v>——</v>
      </c>
      <c r="I54" s="819">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2956</v>
      </c>
      <c r="B55" s="2878" t="str">
        <f>估价对象房地状况!C22</f>
        <v>估价对象所在区域基础设施水平为六通</v>
      </c>
      <c r="C55" s="2766"/>
      <c r="D55" s="1286">
        <f t="shared" si="10"/>
        <v>0</v>
      </c>
      <c r="E55" s="821"/>
      <c r="F55" s="2497"/>
      <c r="G55" s="1284"/>
      <c r="H55" s="1288" t="str">
        <f t="shared" si="11"/>
        <v>——</v>
      </c>
      <c r="I55" s="819">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2" t="s">
        <v>2957</v>
      </c>
      <c r="B56" s="2883" t="str">
        <f>估价对象房地状况!C20</f>
        <v>区域：江东公园，自然环境一般：；人文环境一般；综合评价环境状况一般</v>
      </c>
      <c r="C56" s="2766"/>
      <c r="D56" s="1286">
        <f t="shared" si="10"/>
        <v>0</v>
      </c>
      <c r="E56" s="824"/>
      <c r="F56" s="2497"/>
      <c r="G56" s="1284"/>
      <c r="H56" s="1288" t="str">
        <f t="shared" si="11"/>
        <v>——</v>
      </c>
      <c r="I56" s="823">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2958</v>
      </c>
      <c r="B57" s="2871">
        <f>1+E59</f>
        <v>1</v>
      </c>
      <c r="C57" s="813"/>
      <c r="D57" s="813"/>
      <c r="E57" s="814"/>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2939</v>
      </c>
      <c r="B58" s="1807"/>
      <c r="C58" s="1807" t="s">
        <v>2941</v>
      </c>
      <c r="D58" s="1807" t="s">
        <v>2942</v>
      </c>
      <c r="E58" s="818" t="s">
        <v>2943</v>
      </c>
      <c r="F58" s="2875" t="s">
        <v>2959</v>
      </c>
      <c r="G58" s="1807" t="s">
        <v>754</v>
      </c>
      <c r="H58" s="2876" t="s">
        <v>2945</v>
      </c>
      <c r="I58" s="1807" t="s">
        <v>2946</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38.25">
      <c r="A59" s="2874" t="s">
        <v>2960</v>
      </c>
      <c r="B59" s="2877" t="str">
        <f>估价对象房地状况!C17</f>
        <v>估价对象位于XX商圈，周边办公楼项目较多，入驻率高，办公集聚程度较好</v>
      </c>
      <c r="C59" s="2766"/>
      <c r="D59" s="1286">
        <f t="shared" ref="D59:D67" si="15">SUMIF($J$58:$N$58,C59,J59:N59)</f>
        <v>0</v>
      </c>
      <c r="E59" s="820">
        <f>ROUND(SUM(D59:D67),4)</f>
        <v>0</v>
      </c>
      <c r="F59" s="2497" t="str">
        <f>IF(E2="办公",SUMIF(L1:L12,G2,N1:N12),"——")</f>
        <v>——</v>
      </c>
      <c r="G59" s="1284"/>
      <c r="H59" s="1288" t="str">
        <f t="shared" ref="H59:H67" si="16">IFERROR(ROUNDDOWN($F$59*I59/2,4),"——")</f>
        <v>——</v>
      </c>
      <c r="I59" s="819">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4" t="s">
        <v>2948</v>
      </c>
      <c r="B60" s="2878" t="str">
        <f>估价对象房地状况!C18</f>
        <v>估价对象周边道路状况较好、公共交通通达情况较好、停车便捷程度较好，综合评价交通便捷度较好</v>
      </c>
      <c r="C60" s="2766"/>
      <c r="D60" s="1286">
        <f t="shared" si="15"/>
        <v>0</v>
      </c>
      <c r="E60" s="821"/>
      <c r="F60" s="2497"/>
      <c r="G60" s="1284"/>
      <c r="H60" s="1288" t="str">
        <f t="shared" si="16"/>
        <v>——</v>
      </c>
      <c r="I60" s="819">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2949</v>
      </c>
      <c r="B61" s="2878">
        <f>估价对象房地状况!C19</f>
        <v>0</v>
      </c>
      <c r="C61" s="2766"/>
      <c r="D61" s="1286">
        <f t="shared" si="15"/>
        <v>0</v>
      </c>
      <c r="E61" s="821"/>
      <c r="F61" s="2497"/>
      <c r="G61" s="1284"/>
      <c r="H61" s="1288" t="str">
        <f t="shared" si="16"/>
        <v>——</v>
      </c>
      <c r="I61" s="819">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2950</v>
      </c>
      <c r="B62" s="2879" t="s">
        <v>2951</v>
      </c>
      <c r="C62" s="2766"/>
      <c r="D62" s="1286">
        <f t="shared" si="15"/>
        <v>0</v>
      </c>
      <c r="E62" s="821"/>
      <c r="F62" s="2497"/>
      <c r="G62" s="1284"/>
      <c r="H62" s="1288" t="str">
        <f t="shared" si="16"/>
        <v>——</v>
      </c>
      <c r="I62" s="819">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2952</v>
      </c>
      <c r="B63" s="2878" t="str">
        <f>估价对象房地状况!C24</f>
        <v>城市主干道—世纪大道</v>
      </c>
      <c r="C63" s="2766"/>
      <c r="D63" s="1286">
        <f t="shared" si="15"/>
        <v>0</v>
      </c>
      <c r="E63" s="821"/>
      <c r="F63" s="2497"/>
      <c r="G63" s="1284"/>
      <c r="H63" s="1288" t="str">
        <f t="shared" si="16"/>
        <v>——</v>
      </c>
      <c r="I63" s="819">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2953</v>
      </c>
      <c r="B64" s="2880" t="s">
        <v>2954</v>
      </c>
      <c r="C64" s="2766"/>
      <c r="D64" s="1286">
        <f t="shared" si="15"/>
        <v>0</v>
      </c>
      <c r="E64" s="821"/>
      <c r="F64" s="2497"/>
      <c r="G64" s="1284"/>
      <c r="H64" s="1288" t="str">
        <f t="shared" si="16"/>
        <v>——</v>
      </c>
      <c r="I64" s="819">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4" t="s">
        <v>2955</v>
      </c>
      <c r="B65" s="1724" t="str">
        <f>估价对象房地状况!C21</f>
        <v>估价对象所在区域公共配套设施齐备情况较好</v>
      </c>
      <c r="C65" s="2766"/>
      <c r="D65" s="1286">
        <f t="shared" si="15"/>
        <v>0</v>
      </c>
      <c r="E65" s="821"/>
      <c r="F65" s="2497"/>
      <c r="G65" s="1284"/>
      <c r="H65" s="1288" t="str">
        <f t="shared" si="16"/>
        <v>——</v>
      </c>
      <c r="I65" s="819">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2956</v>
      </c>
      <c r="B66" s="1724" t="str">
        <f>估价对象房地状况!C22</f>
        <v>估价对象所在区域基础设施水平为六通</v>
      </c>
      <c r="C66" s="2766"/>
      <c r="D66" s="1286">
        <f t="shared" si="15"/>
        <v>0</v>
      </c>
      <c r="E66" s="821"/>
      <c r="F66" s="2497"/>
      <c r="G66" s="1284"/>
      <c r="H66" s="1288" t="str">
        <f t="shared" si="16"/>
        <v>——</v>
      </c>
      <c r="I66" s="819">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82" t="s">
        <v>2957</v>
      </c>
      <c r="B67" s="2884" t="str">
        <f>估价对象房地状况!C20</f>
        <v>区域：江东公园，自然环境一般：；人文环境一般；综合评价环境状况一般</v>
      </c>
      <c r="C67" s="2766"/>
      <c r="D67" s="1286">
        <f t="shared" si="15"/>
        <v>0</v>
      </c>
      <c r="E67" s="824"/>
      <c r="F67" s="2497"/>
      <c r="G67" s="1284"/>
      <c r="H67" s="1288" t="str">
        <f t="shared" si="16"/>
        <v>——</v>
      </c>
      <c r="I67" s="823">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2961</v>
      </c>
      <c r="B68" s="2871">
        <f>1+E70</f>
        <v>1</v>
      </c>
      <c r="C68" s="813"/>
      <c r="D68" s="813"/>
      <c r="E68" s="814"/>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2939</v>
      </c>
      <c r="B69" s="1807"/>
      <c r="C69" s="1807" t="s">
        <v>2941</v>
      </c>
      <c r="D69" s="1807" t="s">
        <v>2942</v>
      </c>
      <c r="E69" s="818" t="s">
        <v>2943</v>
      </c>
      <c r="F69" s="2875" t="s">
        <v>2959</v>
      </c>
      <c r="G69" s="1807" t="s">
        <v>754</v>
      </c>
      <c r="H69" s="2876" t="s">
        <v>2945</v>
      </c>
      <c r="I69" s="1807" t="s">
        <v>2946</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51">
      <c r="A70" s="2874" t="s">
        <v>2962</v>
      </c>
      <c r="B70" s="2877" t="str">
        <f>估价对象房地状况!C15</f>
        <v>估价对象周边居住用地比例、居住小区规模和社区发展完善程度，综合评价居住社区成熟度一般</v>
      </c>
      <c r="C70" s="2766"/>
      <c r="D70" s="1286">
        <f t="shared" ref="D70:D78" si="20">SUMIF($J$69:$N$69,C70,J70:N70)</f>
        <v>0</v>
      </c>
      <c r="E70" s="820">
        <f>ROUND(SUM(D70:D78),4)</f>
        <v>0</v>
      </c>
      <c r="F70" s="2497" t="str">
        <f>IF(E2="住宅",SUMIF(L1:L12,G2,N1:N12),"——")</f>
        <v>——</v>
      </c>
      <c r="G70" s="1284"/>
      <c r="H70" s="1288" t="str">
        <f t="shared" ref="H70:H78" si="21">IFERROR(ROUNDDOWN($F$70*I70/2,4),"——")</f>
        <v>——</v>
      </c>
      <c r="I70" s="819">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4" t="s">
        <v>2948</v>
      </c>
      <c r="B71" s="2878" t="str">
        <f>估价对象房地状况!C18</f>
        <v>估价对象周边道路状况较好、公共交通通达情况较好、停车便捷程度较好，综合评价交通便捷度较好</v>
      </c>
      <c r="C71" s="2766"/>
      <c r="D71" s="1286">
        <f t="shared" si="20"/>
        <v>0</v>
      </c>
      <c r="E71" s="825"/>
      <c r="F71" s="2497"/>
      <c r="G71" s="1284"/>
      <c r="H71" s="1288" t="str">
        <f t="shared" si="21"/>
        <v>——</v>
      </c>
      <c r="I71" s="819">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2949</v>
      </c>
      <c r="B72" s="2878">
        <f>估价对象房地状况!C19</f>
        <v>0</v>
      </c>
      <c r="C72" s="2766"/>
      <c r="D72" s="1286">
        <f t="shared" si="20"/>
        <v>0</v>
      </c>
      <c r="E72" s="825"/>
      <c r="F72" s="2497"/>
      <c r="G72" s="1284"/>
      <c r="H72" s="1288" t="str">
        <f t="shared" si="21"/>
        <v>——</v>
      </c>
      <c r="I72" s="819">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2963</v>
      </c>
      <c r="B73" s="2878" t="str">
        <f>估价对象房地状况!C24</f>
        <v>城市主干道—世纪大道</v>
      </c>
      <c r="C73" s="2766"/>
      <c r="D73" s="1286">
        <f t="shared" si="20"/>
        <v>0</v>
      </c>
      <c r="E73" s="825"/>
      <c r="F73" s="2497"/>
      <c r="G73" s="1284"/>
      <c r="H73" s="1288" t="str">
        <f t="shared" si="21"/>
        <v>——</v>
      </c>
      <c r="I73" s="819">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2955</v>
      </c>
      <c r="B74" s="1724" t="str">
        <f>估价对象房地状况!C21</f>
        <v>估价对象所在区域公共配套设施齐备情况较好</v>
      </c>
      <c r="C74" s="2766"/>
      <c r="D74" s="1286">
        <f t="shared" si="20"/>
        <v>0</v>
      </c>
      <c r="E74" s="825"/>
      <c r="F74" s="2497"/>
      <c r="G74" s="1284"/>
      <c r="H74" s="1288" t="str">
        <f t="shared" si="21"/>
        <v>——</v>
      </c>
      <c r="I74" s="819">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2956</v>
      </c>
      <c r="B75" s="1724" t="str">
        <f>估价对象房地状况!C22</f>
        <v>估价对象所在区域基础设施水平为六通</v>
      </c>
      <c r="C75" s="2766"/>
      <c r="D75" s="1286">
        <f t="shared" si="20"/>
        <v>0</v>
      </c>
      <c r="E75" s="825"/>
      <c r="F75" s="2497"/>
      <c r="G75" s="1284"/>
      <c r="H75" s="1288" t="str">
        <f t="shared" si="21"/>
        <v>——</v>
      </c>
      <c r="I75" s="819">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c r="A76" s="2874" t="s">
        <v>2953</v>
      </c>
      <c r="B76" s="2880" t="s">
        <v>2954</v>
      </c>
      <c r="C76" s="2766"/>
      <c r="D76" s="1286">
        <f t="shared" si="20"/>
        <v>0</v>
      </c>
      <c r="E76" s="825"/>
      <c r="F76" s="2497"/>
      <c r="G76" s="1284"/>
      <c r="H76" s="1288" t="str">
        <f t="shared" si="21"/>
        <v>——</v>
      </c>
      <c r="I76" s="819">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51">
      <c r="A77" s="2874" t="s">
        <v>2957</v>
      </c>
      <c r="B77" s="2877" t="str">
        <f>估价对象房地状况!C20</f>
        <v>区域：江东公园，自然环境一般：；人文环境一般；综合评价环境状况一般</v>
      </c>
      <c r="C77" s="2766"/>
      <c r="D77" s="1286">
        <f t="shared" si="20"/>
        <v>0</v>
      </c>
      <c r="E77" s="825"/>
      <c r="F77" s="2497"/>
      <c r="G77" s="1284"/>
      <c r="H77" s="1288" t="str">
        <f t="shared" si="21"/>
        <v>——</v>
      </c>
      <c r="I77" s="819">
        <v>0.15</v>
      </c>
      <c r="J77" s="1285">
        <f t="shared" si="22"/>
        <v>0</v>
      </c>
      <c r="K77" s="1285">
        <f t="shared" si="23"/>
        <v>0</v>
      </c>
      <c r="L77" s="1285">
        <v>0</v>
      </c>
      <c r="M77" s="1285">
        <f t="shared" si="24"/>
        <v>0</v>
      </c>
      <c r="N77" s="1285">
        <f t="shared" si="24"/>
        <v>0</v>
      </c>
      <c r="Z77" s="2716"/>
      <c r="AA77" s="2792"/>
      <c r="AG77" s="1372"/>
      <c r="AK77" s="2792"/>
    </row>
    <row r="78" spans="1:37" ht="24.75" thickBot="1">
      <c r="A78" s="2882" t="s">
        <v>2964</v>
      </c>
      <c r="B78" s="2886"/>
      <c r="C78" s="2766"/>
      <c r="D78" s="1286">
        <f t="shared" si="20"/>
        <v>0</v>
      </c>
      <c r="E78" s="826"/>
      <c r="F78" s="2497"/>
      <c r="G78" s="1284"/>
      <c r="H78" s="1288" t="str">
        <f t="shared" si="21"/>
        <v>——</v>
      </c>
      <c r="I78" s="823">
        <v>0.04</v>
      </c>
      <c r="J78" s="1285">
        <f t="shared" si="22"/>
        <v>0</v>
      </c>
      <c r="K78" s="1285">
        <f t="shared" si="23"/>
        <v>0</v>
      </c>
      <c r="L78" s="1285">
        <v>0</v>
      </c>
      <c r="M78" s="1285">
        <f t="shared" si="24"/>
        <v>0</v>
      </c>
      <c r="N78" s="1285">
        <f t="shared" si="24"/>
        <v>0</v>
      </c>
      <c r="Z78" s="2716"/>
      <c r="AA78" s="2792"/>
      <c r="AG78" s="1372"/>
      <c r="AK78" s="2792"/>
    </row>
    <row r="79" spans="1:37" ht="15">
      <c r="A79" s="2870" t="s">
        <v>2965</v>
      </c>
      <c r="B79" s="2871">
        <f>1+E81</f>
        <v>1</v>
      </c>
      <c r="C79" s="813"/>
      <c r="D79" s="813"/>
      <c r="E79" s="814"/>
      <c r="F79" s="2873"/>
      <c r="G79" s="6"/>
      <c r="H79" s="6"/>
      <c r="I79" s="6"/>
      <c r="J79" s="7"/>
      <c r="K79" s="7"/>
      <c r="L79" s="7"/>
      <c r="M79" s="7"/>
      <c r="N79" s="7"/>
      <c r="Z79" s="2716"/>
      <c r="AA79" s="2792"/>
      <c r="AG79" s="1372"/>
      <c r="AK79" s="2792"/>
    </row>
    <row r="80" spans="1:37" ht="24.75">
      <c r="A80" s="2874" t="s">
        <v>2939</v>
      </c>
      <c r="B80" s="1807"/>
      <c r="C80" s="1807" t="s">
        <v>2941</v>
      </c>
      <c r="D80" s="1807" t="s">
        <v>2942</v>
      </c>
      <c r="E80" s="818" t="s">
        <v>2943</v>
      </c>
      <c r="F80" s="2875" t="s">
        <v>2959</v>
      </c>
      <c r="G80" s="1807" t="s">
        <v>754</v>
      </c>
      <c r="H80" s="2876" t="s">
        <v>2945</v>
      </c>
      <c r="I80" s="1807" t="s">
        <v>2946</v>
      </c>
      <c r="J80" s="603" t="s">
        <v>2592</v>
      </c>
      <c r="K80" s="603" t="s">
        <v>2593</v>
      </c>
      <c r="L80" s="603" t="s">
        <v>2594</v>
      </c>
      <c r="M80" s="603" t="s">
        <v>2595</v>
      </c>
      <c r="N80" s="603" t="s">
        <v>2596</v>
      </c>
      <c r="Z80" s="2716"/>
      <c r="AA80" s="2792"/>
      <c r="AG80" s="1372"/>
      <c r="AK80" s="2792"/>
    </row>
    <row r="81" spans="1:37" ht="38.25">
      <c r="A81" s="2874" t="s">
        <v>2966</v>
      </c>
      <c r="B81" s="2878" t="str">
        <f>估价对象房地状况!G15</f>
        <v>估价对象位于XX开发区，园区建设成熟度XX，产业集聚程度XX</v>
      </c>
      <c r="C81" s="2766"/>
      <c r="D81" s="1286">
        <f t="shared" ref="D81:D88" si="25">SUMIF($J$80:$N$80,C81,J81:N81)</f>
        <v>0</v>
      </c>
      <c r="E81" s="820">
        <f>ROUND(SUM(D81:D88),4)</f>
        <v>0</v>
      </c>
      <c r="F81" s="2497" t="str">
        <f>IF(E2="工业",SUMIF(L1:L12,G2,N1:N12),"——")</f>
        <v>——</v>
      </c>
      <c r="G81" s="1284"/>
      <c r="H81" s="1288" t="str">
        <f t="shared" ref="H81:H88" si="26">IFERROR(ROUNDDOWN($F$81*I81/2,4),"——")</f>
        <v>——</v>
      </c>
      <c r="I81" s="819">
        <v>0.26</v>
      </c>
      <c r="J81" s="1285">
        <f t="shared" ref="J81:J88" si="27">K81+$G81</f>
        <v>0</v>
      </c>
      <c r="K81" s="1285">
        <f t="shared" ref="K81:K88" si="28">$L81+$G81</f>
        <v>0</v>
      </c>
      <c r="L81" s="1285">
        <v>0</v>
      </c>
      <c r="M81" s="1285">
        <f t="shared" ref="M81:N88" si="29">L81-$G81</f>
        <v>0</v>
      </c>
      <c r="N81" s="1285">
        <f t="shared" si="29"/>
        <v>0</v>
      </c>
      <c r="Z81" s="2716"/>
      <c r="AA81" s="2792"/>
      <c r="AG81" s="1372"/>
      <c r="AK81" s="2792"/>
    </row>
    <row r="82" spans="1:37" ht="51">
      <c r="A82" s="2874" t="s">
        <v>2948</v>
      </c>
      <c r="B82" s="2878" t="str">
        <f>估价对象房地状况!G16</f>
        <v>估价对象周边道路状况、公共交通通达情况、停车便捷程度，综合评价交通便捷度较好</v>
      </c>
      <c r="C82" s="2766"/>
      <c r="D82" s="1286">
        <f t="shared" si="25"/>
        <v>0</v>
      </c>
      <c r="E82" s="825"/>
      <c r="F82" s="2497"/>
      <c r="G82" s="1284"/>
      <c r="H82" s="1288" t="str">
        <f t="shared" si="26"/>
        <v>——</v>
      </c>
      <c r="I82" s="819">
        <v>0.33</v>
      </c>
      <c r="J82" s="1285">
        <f t="shared" si="27"/>
        <v>0</v>
      </c>
      <c r="K82" s="1285">
        <f t="shared" si="28"/>
        <v>0</v>
      </c>
      <c r="L82" s="1285">
        <v>0</v>
      </c>
      <c r="M82" s="1285">
        <f t="shared" si="29"/>
        <v>0</v>
      </c>
      <c r="N82" s="1285">
        <f t="shared" si="29"/>
        <v>0</v>
      </c>
      <c r="Z82" s="2716"/>
      <c r="AA82" s="2792"/>
      <c r="AG82" s="1372"/>
      <c r="AK82" s="2792"/>
    </row>
    <row r="83" spans="1:37" ht="24">
      <c r="A83" s="2874" t="s">
        <v>2949</v>
      </c>
      <c r="B83" s="2878">
        <f>估价对象房地状况!G17</f>
        <v>0</v>
      </c>
      <c r="C83" s="2766"/>
      <c r="D83" s="1286">
        <f t="shared" si="25"/>
        <v>0</v>
      </c>
      <c r="E83" s="825"/>
      <c r="F83" s="2497"/>
      <c r="G83" s="1284"/>
      <c r="H83" s="1288" t="str">
        <f t="shared" si="26"/>
        <v>——</v>
      </c>
      <c r="I83" s="819">
        <v>0.05</v>
      </c>
      <c r="J83" s="1285">
        <f t="shared" si="27"/>
        <v>0</v>
      </c>
      <c r="K83" s="1285">
        <f t="shared" si="28"/>
        <v>0</v>
      </c>
      <c r="L83" s="1285">
        <v>0</v>
      </c>
      <c r="M83" s="1285">
        <f t="shared" si="29"/>
        <v>0</v>
      </c>
      <c r="N83" s="1285">
        <f t="shared" si="29"/>
        <v>0</v>
      </c>
      <c r="Z83" s="2716"/>
      <c r="AA83" s="2792"/>
      <c r="AG83" s="1372"/>
      <c r="AK83" s="2792"/>
    </row>
    <row r="84" spans="1:37" ht="14.25">
      <c r="A84" s="2874" t="s">
        <v>2963</v>
      </c>
      <c r="B84" s="2878">
        <f>估价对象房地状况!G22</f>
        <v>0</v>
      </c>
      <c r="C84" s="2766"/>
      <c r="D84" s="1286">
        <f t="shared" si="25"/>
        <v>0</v>
      </c>
      <c r="E84" s="825"/>
      <c r="F84" s="2497"/>
      <c r="G84" s="1284"/>
      <c r="H84" s="1288" t="str">
        <f t="shared" si="26"/>
        <v>——</v>
      </c>
      <c r="I84" s="819">
        <v>0.04</v>
      </c>
      <c r="J84" s="1285">
        <f t="shared" si="27"/>
        <v>0</v>
      </c>
      <c r="K84" s="1285">
        <f t="shared" si="28"/>
        <v>0</v>
      </c>
      <c r="L84" s="1285">
        <v>0</v>
      </c>
      <c r="M84" s="1285">
        <f t="shared" si="29"/>
        <v>0</v>
      </c>
      <c r="N84" s="1285">
        <f t="shared" si="29"/>
        <v>0</v>
      </c>
      <c r="Z84" s="2716"/>
      <c r="AA84" s="2792"/>
      <c r="AG84" s="1372"/>
      <c r="AK84" s="2792"/>
    </row>
    <row r="85" spans="1:37" ht="25.5">
      <c r="A85" s="2874" t="s">
        <v>2955</v>
      </c>
      <c r="B85" s="1724" t="str">
        <f>估价对象房地状况!G19</f>
        <v>估价对象所在区域公共配套设施齐备情况</v>
      </c>
      <c r="C85" s="2766"/>
      <c r="D85" s="1286">
        <f t="shared" si="25"/>
        <v>0</v>
      </c>
      <c r="E85" s="825"/>
      <c r="F85" s="2497"/>
      <c r="G85" s="1284"/>
      <c r="H85" s="1288" t="str">
        <f t="shared" si="26"/>
        <v>——</v>
      </c>
      <c r="I85" s="819">
        <v>0.06</v>
      </c>
      <c r="J85" s="1285">
        <f t="shared" si="27"/>
        <v>0</v>
      </c>
      <c r="K85" s="1285">
        <f t="shared" si="28"/>
        <v>0</v>
      </c>
      <c r="L85" s="1285">
        <v>0</v>
      </c>
      <c r="M85" s="1285">
        <f t="shared" si="29"/>
        <v>0</v>
      </c>
      <c r="N85" s="1285">
        <f t="shared" si="29"/>
        <v>0</v>
      </c>
      <c r="Z85" s="2716"/>
      <c r="AA85" s="2792"/>
      <c r="AG85" s="1372"/>
      <c r="AK85" s="2792"/>
    </row>
    <row r="86" spans="1:37" ht="25.5">
      <c r="A86" s="2874" t="s">
        <v>2956</v>
      </c>
      <c r="B86" s="1724" t="str">
        <f>估价对象房地状况!G20</f>
        <v>估价对象所在区域基础设施水平</v>
      </c>
      <c r="C86" s="2766"/>
      <c r="D86" s="1286">
        <f t="shared" si="25"/>
        <v>0</v>
      </c>
      <c r="E86" s="825"/>
      <c r="F86" s="2497"/>
      <c r="G86" s="1284"/>
      <c r="H86" s="1288" t="str">
        <f t="shared" si="26"/>
        <v>——</v>
      </c>
      <c r="I86" s="819">
        <v>0.15</v>
      </c>
      <c r="J86" s="1285">
        <f t="shared" si="27"/>
        <v>0</v>
      </c>
      <c r="K86" s="1285">
        <f t="shared" si="28"/>
        <v>0</v>
      </c>
      <c r="L86" s="1285">
        <v>0</v>
      </c>
      <c r="M86" s="1285">
        <f t="shared" si="29"/>
        <v>0</v>
      </c>
      <c r="N86" s="1285">
        <f t="shared" si="29"/>
        <v>0</v>
      </c>
      <c r="Z86" s="2716"/>
      <c r="AA86" s="2792"/>
      <c r="AG86" s="1372"/>
      <c r="AK86" s="2792"/>
    </row>
    <row r="87" spans="1:37" ht="24">
      <c r="A87" s="2874" t="s">
        <v>2953</v>
      </c>
      <c r="B87" s="2880" t="s">
        <v>2967</v>
      </c>
      <c r="C87" s="2766"/>
      <c r="D87" s="1286">
        <f t="shared" si="25"/>
        <v>0</v>
      </c>
      <c r="E87" s="825"/>
      <c r="F87" s="2497"/>
      <c r="G87" s="1284"/>
      <c r="H87" s="1288" t="str">
        <f t="shared" si="26"/>
        <v>——</v>
      </c>
      <c r="I87" s="819">
        <v>0.05</v>
      </c>
      <c r="J87" s="1285">
        <f t="shared" si="27"/>
        <v>0</v>
      </c>
      <c r="K87" s="1285">
        <f t="shared" si="28"/>
        <v>0</v>
      </c>
      <c r="L87" s="1285">
        <v>0</v>
      </c>
      <c r="M87" s="1285">
        <f t="shared" si="29"/>
        <v>0</v>
      </c>
      <c r="N87" s="1285">
        <f t="shared" si="29"/>
        <v>0</v>
      </c>
      <c r="Z87" s="2716"/>
      <c r="AA87" s="2792"/>
      <c r="AG87" s="1372"/>
      <c r="AK87" s="2792"/>
    </row>
    <row r="88" spans="1:37" ht="39" thickBot="1">
      <c r="A88" s="2882" t="s">
        <v>2968</v>
      </c>
      <c r="B88" s="2887" t="str">
        <f>估价对象房地状况!G18</f>
        <v>该园区内是否有污染型企业，绿化情况，卫生条件，整体环境状况判断</v>
      </c>
      <c r="C88" s="2766"/>
      <c r="D88" s="1286">
        <f t="shared" si="25"/>
        <v>0</v>
      </c>
      <c r="E88" s="826"/>
      <c r="F88" s="2497"/>
      <c r="G88" s="1284"/>
      <c r="H88" s="1288" t="str">
        <f t="shared" si="26"/>
        <v>——</v>
      </c>
      <c r="I88" s="823">
        <v>0.06</v>
      </c>
      <c r="J88" s="1285">
        <f t="shared" si="27"/>
        <v>0</v>
      </c>
      <c r="K88" s="1285">
        <f t="shared" si="28"/>
        <v>0</v>
      </c>
      <c r="L88" s="1285">
        <v>0</v>
      </c>
      <c r="M88" s="1285">
        <f t="shared" si="29"/>
        <v>0</v>
      </c>
      <c r="N88" s="1285">
        <f t="shared" si="29"/>
        <v>0</v>
      </c>
      <c r="Z88" s="2716"/>
      <c r="AA88" s="2792"/>
      <c r="AG88" s="1372"/>
      <c r="AK88" s="2792"/>
    </row>
    <row r="90" spans="1:37">
      <c r="A90" s="3316" t="s">
        <v>2969</v>
      </c>
      <c r="B90" s="3316"/>
      <c r="C90" s="3316"/>
      <c r="D90" s="3316"/>
      <c r="E90" s="3316"/>
      <c r="F90" s="3316"/>
      <c r="G90" s="3316"/>
      <c r="H90" s="3316"/>
      <c r="I90" s="3316"/>
      <c r="J90" s="3316"/>
      <c r="K90" s="2888"/>
      <c r="L90" s="2888"/>
      <c r="M90" s="2888"/>
      <c r="N90" s="2888"/>
    </row>
    <row r="91" spans="1:37">
      <c r="A91" s="3318" t="s">
        <v>2970</v>
      </c>
      <c r="B91" s="3318" t="s">
        <v>2971</v>
      </c>
      <c r="C91" s="2842" t="s">
        <v>2972</v>
      </c>
      <c r="D91" s="2843"/>
      <c r="E91" s="2843"/>
      <c r="F91" s="2843"/>
      <c r="G91" s="2843"/>
      <c r="H91" s="2843"/>
      <c r="I91" s="2843"/>
      <c r="J91" s="2889"/>
      <c r="K91" s="2890"/>
      <c r="L91" s="2890"/>
      <c r="M91" s="2890"/>
      <c r="N91" s="2890"/>
    </row>
    <row r="92" spans="1:37">
      <c r="A92" s="3318"/>
      <c r="B92" s="3318"/>
      <c r="C92" s="944" t="s">
        <v>2836</v>
      </c>
      <c r="D92" s="944" t="s">
        <v>2837</v>
      </c>
      <c r="E92" s="944" t="s">
        <v>2838</v>
      </c>
      <c r="F92" s="944" t="s">
        <v>2839</v>
      </c>
      <c r="G92" s="944" t="s">
        <v>2840</v>
      </c>
      <c r="H92" s="944" t="s">
        <v>2841</v>
      </c>
      <c r="I92" s="944" t="s">
        <v>2842</v>
      </c>
      <c r="J92" s="944" t="s">
        <v>2843</v>
      </c>
      <c r="K92" s="944" t="s">
        <v>2844</v>
      </c>
      <c r="L92" s="944" t="s">
        <v>2845</v>
      </c>
      <c r="M92" s="944" t="s">
        <v>2846</v>
      </c>
      <c r="N92" s="944" t="s">
        <v>2847</v>
      </c>
    </row>
    <row r="93" spans="1:37">
      <c r="A93" s="3319" t="s">
        <v>2973</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320"/>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320"/>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320"/>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320"/>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320"/>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320"/>
      <c r="B99" s="2891" t="s">
        <v>2852</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321"/>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319" t="s">
        <v>2974</v>
      </c>
      <c r="B101" s="2895" t="s">
        <v>2975</v>
      </c>
      <c r="C101" s="2896">
        <f>$G$3</f>
        <v>5.63</v>
      </c>
      <c r="D101" s="2896">
        <f t="shared" ref="D101:N101" si="31">$G$3</f>
        <v>5.63</v>
      </c>
      <c r="E101" s="2896">
        <f t="shared" si="31"/>
        <v>5.63</v>
      </c>
      <c r="F101" s="2896">
        <f t="shared" si="31"/>
        <v>5.63</v>
      </c>
      <c r="G101" s="2896">
        <f t="shared" si="31"/>
        <v>5.63</v>
      </c>
      <c r="H101" s="2896">
        <f t="shared" si="31"/>
        <v>5.63</v>
      </c>
      <c r="I101" s="2896">
        <f t="shared" si="31"/>
        <v>5.63</v>
      </c>
      <c r="J101" s="2896">
        <f t="shared" si="31"/>
        <v>5.63</v>
      </c>
      <c r="K101" s="2896">
        <f t="shared" si="31"/>
        <v>5.63</v>
      </c>
      <c r="L101" s="2896">
        <f t="shared" si="31"/>
        <v>5.63</v>
      </c>
      <c r="M101" s="2896">
        <f t="shared" si="31"/>
        <v>5.63</v>
      </c>
      <c r="N101" s="2896">
        <f t="shared" si="31"/>
        <v>5.63</v>
      </c>
    </row>
    <row r="102" spans="1:14">
      <c r="A102" s="3320"/>
      <c r="B102" s="2891">
        <v>1</v>
      </c>
      <c r="C102" s="2892">
        <f>1.9362/C101</f>
        <v>0.34390763765541738</v>
      </c>
      <c r="D102" s="2892">
        <f>1.9362/D101</f>
        <v>0.34390763765541738</v>
      </c>
      <c r="E102" s="2892">
        <f>1.8629/E101</f>
        <v>0.33088809946714032</v>
      </c>
      <c r="F102" s="2892">
        <f>1.8629/F101</f>
        <v>0.33088809946714032</v>
      </c>
      <c r="G102" s="2892">
        <f>1.8629/G101</f>
        <v>0.33088809946714032</v>
      </c>
      <c r="H102" s="2892">
        <f>1.8629/H101</f>
        <v>0.33088809946714032</v>
      </c>
      <c r="I102" s="2892">
        <f>1.8629/I101</f>
        <v>0.33088809946714032</v>
      </c>
      <c r="J102" s="2892">
        <f>1.942/J101</f>
        <v>0.34493783303730019</v>
      </c>
      <c r="K102" s="2892">
        <f>1.942/K101</f>
        <v>0.34493783303730019</v>
      </c>
      <c r="L102" s="2892">
        <f>1.942/L101</f>
        <v>0.34493783303730019</v>
      </c>
      <c r="M102" s="2892">
        <f>1.942/M101</f>
        <v>0.34493783303730019</v>
      </c>
      <c r="N102" s="2892">
        <f>1.942/N101</f>
        <v>0.34493783303730019</v>
      </c>
    </row>
    <row r="103" spans="1:14">
      <c r="A103" s="3320"/>
      <c r="B103" s="2891">
        <v>2</v>
      </c>
      <c r="C103" s="2892">
        <f>1.4198/C101</f>
        <v>0.2521847246891652</v>
      </c>
      <c r="D103" s="2892">
        <f>1.4198/D101</f>
        <v>0.2521847246891652</v>
      </c>
      <c r="E103" s="2892">
        <f>1.3372/E101</f>
        <v>0.2375133214920071</v>
      </c>
      <c r="F103" s="2892">
        <f>1.3372/F101</f>
        <v>0.2375133214920071</v>
      </c>
      <c r="G103" s="2892">
        <f>1.3372/G101</f>
        <v>0.2375133214920071</v>
      </c>
      <c r="H103" s="2892">
        <f>1.3372/H101</f>
        <v>0.2375133214920071</v>
      </c>
      <c r="I103" s="2892">
        <f>1.3372/I101</f>
        <v>0.2375133214920071</v>
      </c>
      <c r="J103" s="2892">
        <f>1.2799/J101</f>
        <v>0.22733570159857905</v>
      </c>
      <c r="K103" s="2892">
        <f>1.2799/K101</f>
        <v>0.22733570159857905</v>
      </c>
      <c r="L103" s="2892">
        <f>1.2799/L101</f>
        <v>0.22733570159857905</v>
      </c>
      <c r="M103" s="2892">
        <f>1.2799/M101</f>
        <v>0.22733570159857905</v>
      </c>
      <c r="N103" s="2892">
        <f>1.2799/N101</f>
        <v>0.22733570159857905</v>
      </c>
    </row>
    <row r="104" spans="1:14">
      <c r="A104" s="3320"/>
      <c r="B104" s="2891">
        <v>3</v>
      </c>
      <c r="C104" s="2892">
        <f>1.1594/C101</f>
        <v>0.20593250444049735</v>
      </c>
      <c r="D104" s="2892">
        <f>1.1594/D101</f>
        <v>0.20593250444049735</v>
      </c>
      <c r="E104" s="2892">
        <f>1.0788/E101</f>
        <v>0.19161634103019537</v>
      </c>
      <c r="F104" s="2892">
        <f>1.0788/F101</f>
        <v>0.19161634103019537</v>
      </c>
      <c r="G104" s="2892">
        <f>1.0788/G101</f>
        <v>0.19161634103019537</v>
      </c>
      <c r="H104" s="2892">
        <f>1.0788/H101</f>
        <v>0.19161634103019537</v>
      </c>
      <c r="I104" s="2892">
        <f>1.0788/I101</f>
        <v>0.19161634103019537</v>
      </c>
      <c r="J104" s="2892">
        <f>1.0072/J101</f>
        <v>0.17889875666074603</v>
      </c>
      <c r="K104" s="2892">
        <f>1.0072/K101</f>
        <v>0.17889875666074603</v>
      </c>
      <c r="L104" s="2892">
        <f>1.0072/L101</f>
        <v>0.17889875666074603</v>
      </c>
      <c r="M104" s="2892">
        <f>1.0072/M101</f>
        <v>0.17889875666074603</v>
      </c>
      <c r="N104" s="2892">
        <f>1.0072/N101</f>
        <v>0.17889875666074603</v>
      </c>
    </row>
    <row r="105" spans="1:14">
      <c r="A105" s="3320"/>
      <c r="B105" s="2891">
        <v>4</v>
      </c>
      <c r="C105" s="2892">
        <f>0.9622/C101</f>
        <v>0.17090586145648315</v>
      </c>
      <c r="D105" s="2892">
        <f>0.9622/D101</f>
        <v>0.17090586145648315</v>
      </c>
      <c r="E105" s="2892">
        <f>0.8656/E101</f>
        <v>0.15374777975133216</v>
      </c>
      <c r="F105" s="2892">
        <f>0.8656/F101</f>
        <v>0.15374777975133216</v>
      </c>
      <c r="G105" s="2892">
        <f>0.8656/G101</f>
        <v>0.15374777975133216</v>
      </c>
      <c r="H105" s="2892">
        <f>0.8656/H101</f>
        <v>0.15374777975133216</v>
      </c>
      <c r="I105" s="2892">
        <f>0.8656/I101</f>
        <v>0.15374777975133216</v>
      </c>
      <c r="J105" s="2892">
        <f>0.7525/J101</f>
        <v>0.13365896980461811</v>
      </c>
      <c r="K105" s="2892">
        <f>0.7525/K101</f>
        <v>0.13365896980461811</v>
      </c>
      <c r="L105" s="2892">
        <f>0.7525/L101</f>
        <v>0.13365896980461811</v>
      </c>
      <c r="M105" s="2892">
        <f>0.7525/M101</f>
        <v>0.13365896980461811</v>
      </c>
      <c r="N105" s="2892">
        <f>0.7525/N101</f>
        <v>0.13365896980461811</v>
      </c>
    </row>
    <row r="106" spans="1:14">
      <c r="A106" s="3320"/>
      <c r="B106" s="2891">
        <v>5</v>
      </c>
      <c r="C106" s="2892">
        <f>0.8417/C101</f>
        <v>0.14950266429840142</v>
      </c>
      <c r="D106" s="2892">
        <f>0.8417/D101</f>
        <v>0.14950266429840142</v>
      </c>
      <c r="E106" s="2892">
        <f>0.7371/E101</f>
        <v>0.13092362344582592</v>
      </c>
      <c r="F106" s="2892">
        <f>0.7371/F101</f>
        <v>0.13092362344582592</v>
      </c>
      <c r="G106" s="2892">
        <f>0.7371/G101</f>
        <v>0.13092362344582592</v>
      </c>
      <c r="H106" s="2892">
        <f>0.7371/H101</f>
        <v>0.13092362344582592</v>
      </c>
      <c r="I106" s="2892">
        <f>0.7371/I101</f>
        <v>0.13092362344582592</v>
      </c>
      <c r="J106" s="2892">
        <f>0.5659/J101</f>
        <v>0.10051509769094139</v>
      </c>
      <c r="K106" s="2892">
        <f>0.5659/K101</f>
        <v>0.10051509769094139</v>
      </c>
      <c r="L106" s="2892">
        <f>0.5659/L101</f>
        <v>0.10051509769094139</v>
      </c>
      <c r="M106" s="2892">
        <f>0.5659/M101</f>
        <v>0.10051509769094139</v>
      </c>
      <c r="N106" s="2892">
        <f>0.5659/N101</f>
        <v>0.10051509769094139</v>
      </c>
    </row>
    <row r="107" spans="1:14">
      <c r="A107" s="3320"/>
      <c r="B107" s="2891">
        <v>6</v>
      </c>
      <c r="C107" s="2892">
        <f>0.7608/C101</f>
        <v>0.13513321492007105</v>
      </c>
      <c r="D107" s="2892">
        <f>0.7608/D101</f>
        <v>0.13513321492007105</v>
      </c>
      <c r="E107" s="2892">
        <f>0.6482/E101</f>
        <v>0.11513321492007104</v>
      </c>
      <c r="F107" s="2892">
        <f>0.6482/F101</f>
        <v>0.11513321492007104</v>
      </c>
      <c r="G107" s="2892">
        <f>0.6482/G101</f>
        <v>0.11513321492007104</v>
      </c>
      <c r="H107" s="2892">
        <f>0.6482/H101</f>
        <v>0.11513321492007104</v>
      </c>
      <c r="I107" s="2892">
        <f>0.6482/I101</f>
        <v>0.11513321492007104</v>
      </c>
      <c r="J107" s="2892">
        <f>0.4525/J101</f>
        <v>8.0373001776198938E-2</v>
      </c>
      <c r="K107" s="2892">
        <f>0.4525/K101</f>
        <v>8.0373001776198938E-2</v>
      </c>
      <c r="L107" s="2892">
        <f>0.4525/L101</f>
        <v>8.0373001776198938E-2</v>
      </c>
      <c r="M107" s="2892">
        <f>0.4525/M101</f>
        <v>8.0373001776198938E-2</v>
      </c>
      <c r="N107" s="2892">
        <f>0.4525/N101</f>
        <v>8.0373001776198938E-2</v>
      </c>
    </row>
    <row r="108" spans="1:14">
      <c r="A108" s="3320"/>
      <c r="B108" s="3144" t="s">
        <v>2976</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321"/>
      <c r="B109" s="3145"/>
      <c r="C109" s="2894">
        <f>(-0.163*(C108^2)-0.59*C108+7617)*(10^(-4))/C101</f>
        <v>0.13529307282415631</v>
      </c>
      <c r="D109" s="2894">
        <f>(-0.163*(D108^2)-0.59*D108+7617)*(10^(-4))/D101</f>
        <v>0.13529307282415631</v>
      </c>
      <c r="E109" s="2894">
        <f>(-0.161*(E108^2)-7.509*E108+6533)*(10^(-4))/E101</f>
        <v>0.11603907637655418</v>
      </c>
      <c r="F109" s="2894">
        <f>(-0.161*(F108^2)-7.509*F108+6533)*(10^(-4))/F101</f>
        <v>0.11603907637655418</v>
      </c>
      <c r="G109" s="2894">
        <f>(-0.161*(G108^2)-7.509*G108+6533)*(10^(-4))/G101</f>
        <v>0.11603907637655418</v>
      </c>
      <c r="H109" s="2894">
        <f>(-0.161*(H108^2)-7.509*H108+6533)*(10^(-4))/H101</f>
        <v>0.11603907637655418</v>
      </c>
      <c r="I109" s="2894">
        <f>(-0.161*(I108^2)-7.509*I108+6533)*(10^(-4))/I101</f>
        <v>0.11603907637655418</v>
      </c>
      <c r="J109" s="2894">
        <f>(-0.214*(J108^2)-21.991*J108+4665)*(10^(-4))/J101</f>
        <v>8.2859680284191842E-2</v>
      </c>
      <c r="K109" s="2894">
        <f>(-0.214*(K108^2)-21.991*K108+4665)*(10^(-4))/K101</f>
        <v>8.2859680284191842E-2</v>
      </c>
      <c r="L109" s="2894">
        <f>(-0.214*(L108^2)-21.991*L108+4665)*(10^(-4))/L101</f>
        <v>8.2859680284191842E-2</v>
      </c>
      <c r="M109" s="2894">
        <f>(-0.214*(M108^2)-21.991*M108+4665)*(10^(-4))/M101</f>
        <v>8.2859680284191842E-2</v>
      </c>
      <c r="N109" s="2894">
        <f>(-0.214*(N108^2)-21.991*N108+4665)*(10^(-4))/N101</f>
        <v>8.2859680284191842E-2</v>
      </c>
    </row>
    <row r="110" spans="1:14">
      <c r="A110" s="3317" t="s">
        <v>2977</v>
      </c>
      <c r="B110" s="3317"/>
      <c r="C110" s="3317"/>
      <c r="D110" s="3317"/>
      <c r="E110" s="3317"/>
      <c r="F110" s="3317"/>
      <c r="G110" s="3317"/>
      <c r="H110" s="3317"/>
      <c r="I110" s="3317"/>
      <c r="J110" s="3317"/>
      <c r="K110" s="2897"/>
      <c r="L110" s="2897"/>
      <c r="M110" s="2897"/>
      <c r="N110" s="2897"/>
    </row>
    <row r="112" spans="1:14" ht="13.5" thickBot="1"/>
    <row r="113" spans="1:13" ht="25.5" thickBot="1">
      <c r="A113" s="902" t="s">
        <v>2978</v>
      </c>
      <c r="B113" s="1287">
        <f>G3</f>
        <v>5.63</v>
      </c>
      <c r="C113" s="903" t="s">
        <v>2979</v>
      </c>
      <c r="D113" s="904">
        <f>SUMPRODUCT((A115:A118=F113)*(B114:M114=H113)*B115:M118)</f>
        <v>0</v>
      </c>
      <c r="E113" s="2720" t="s">
        <v>2809</v>
      </c>
      <c r="F113" s="2899">
        <f>E2</f>
        <v>0</v>
      </c>
      <c r="G113" s="2720" t="s">
        <v>2810</v>
      </c>
      <c r="H113" s="2899">
        <f>G2</f>
        <v>0</v>
      </c>
      <c r="I113" s="2720"/>
      <c r="J113" s="2900"/>
      <c r="K113" s="2900"/>
      <c r="L113" s="2900"/>
      <c r="M113" s="2900"/>
    </row>
    <row r="114" spans="1:13">
      <c r="A114" s="907"/>
      <c r="B114" s="2901" t="s">
        <v>2980</v>
      </c>
      <c r="C114" s="2901" t="s">
        <v>2981</v>
      </c>
      <c r="D114" s="2901" t="s">
        <v>2982</v>
      </c>
      <c r="E114" s="2902" t="s">
        <v>2983</v>
      </c>
      <c r="F114" s="2902" t="s">
        <v>2984</v>
      </c>
      <c r="G114" s="2902" t="s">
        <v>2985</v>
      </c>
      <c r="H114" s="2903" t="s">
        <v>2986</v>
      </c>
      <c r="I114" s="2903" t="s">
        <v>2987</v>
      </c>
      <c r="J114" s="2904" t="s">
        <v>2988</v>
      </c>
      <c r="K114" s="2904" t="s">
        <v>2989</v>
      </c>
      <c r="L114" s="2904" t="s">
        <v>2990</v>
      </c>
      <c r="M114" s="2905" t="s">
        <v>2991</v>
      </c>
    </row>
    <row r="115" spans="1:13">
      <c r="A115" s="908" t="s">
        <v>2874</v>
      </c>
      <c r="B115" s="909">
        <f>ROUND(0.9335-0.0094*B113,4)</f>
        <v>0.88060000000000005</v>
      </c>
      <c r="C115" s="909">
        <f>B115</f>
        <v>0.88060000000000005</v>
      </c>
      <c r="D115" s="909">
        <f>ROUND(0.8331-0.0109*B113,4)</f>
        <v>0.77170000000000005</v>
      </c>
      <c r="E115" s="909">
        <f>D115</f>
        <v>0.77170000000000005</v>
      </c>
      <c r="F115" s="909">
        <f>E115</f>
        <v>0.77170000000000005</v>
      </c>
      <c r="G115" s="909">
        <f>F115</f>
        <v>0.77170000000000005</v>
      </c>
      <c r="H115" s="909">
        <f>G115</f>
        <v>0.77170000000000005</v>
      </c>
      <c r="I115" s="909">
        <f>ROUND(0.689-0.0155*B113,4)</f>
        <v>0.60170000000000001</v>
      </c>
      <c r="J115" s="909">
        <f t="shared" ref="J115:M118" si="33">I115</f>
        <v>0.60170000000000001</v>
      </c>
      <c r="K115" s="909">
        <f t="shared" si="33"/>
        <v>0.60170000000000001</v>
      </c>
      <c r="L115" s="909">
        <f t="shared" si="33"/>
        <v>0.60170000000000001</v>
      </c>
      <c r="M115" s="910">
        <f t="shared" si="33"/>
        <v>0.60170000000000001</v>
      </c>
    </row>
    <row r="116" spans="1:13">
      <c r="A116" s="908" t="s">
        <v>2875</v>
      </c>
      <c r="B116" s="909">
        <f>ROUND(0.949-0.012*B113,4)</f>
        <v>0.88139999999999996</v>
      </c>
      <c r="C116" s="909">
        <f>B116</f>
        <v>0.88139999999999996</v>
      </c>
      <c r="D116" s="909">
        <f>ROUND(0.8567-0.013*B113,4)</f>
        <v>0.78349999999999997</v>
      </c>
      <c r="E116" s="909">
        <f t="shared" ref="E116:H117" si="34">D116</f>
        <v>0.78349999999999997</v>
      </c>
      <c r="F116" s="909">
        <f t="shared" si="34"/>
        <v>0.78349999999999997</v>
      </c>
      <c r="G116" s="909">
        <f t="shared" si="34"/>
        <v>0.78349999999999997</v>
      </c>
      <c r="H116" s="909">
        <f t="shared" si="34"/>
        <v>0.78349999999999997</v>
      </c>
      <c r="I116" s="909">
        <f>ROUND(0.7694-0.014*B113,4)</f>
        <v>0.69059999999999999</v>
      </c>
      <c r="J116" s="909">
        <f t="shared" si="33"/>
        <v>0.69059999999999999</v>
      </c>
      <c r="K116" s="909">
        <f t="shared" si="33"/>
        <v>0.69059999999999999</v>
      </c>
      <c r="L116" s="909">
        <f t="shared" si="33"/>
        <v>0.69059999999999999</v>
      </c>
      <c r="M116" s="910">
        <f t="shared" si="33"/>
        <v>0.69059999999999999</v>
      </c>
    </row>
    <row r="117" spans="1:13">
      <c r="A117" s="908" t="s">
        <v>2876</v>
      </c>
      <c r="B117" s="909">
        <f>ROUND(0.8808-0.006*B113,4)</f>
        <v>0.84699999999999998</v>
      </c>
      <c r="C117" s="909">
        <f>B117</f>
        <v>0.84699999999999998</v>
      </c>
      <c r="D117" s="909">
        <f>ROUND(0.8748-0.008*B113,4)</f>
        <v>0.82979999999999998</v>
      </c>
      <c r="E117" s="909">
        <f t="shared" si="34"/>
        <v>0.82979999999999998</v>
      </c>
      <c r="F117" s="909">
        <f t="shared" si="34"/>
        <v>0.82979999999999998</v>
      </c>
      <c r="G117" s="909">
        <f t="shared" si="34"/>
        <v>0.82979999999999998</v>
      </c>
      <c r="H117" s="909">
        <f t="shared" si="34"/>
        <v>0.82979999999999998</v>
      </c>
      <c r="I117" s="909">
        <f>ROUND(0.7412-0.0095*B113,4)</f>
        <v>0.68769999999999998</v>
      </c>
      <c r="J117" s="909">
        <f t="shared" si="33"/>
        <v>0.68769999999999998</v>
      </c>
      <c r="K117" s="909">
        <f t="shared" si="33"/>
        <v>0.68769999999999998</v>
      </c>
      <c r="L117" s="909">
        <f t="shared" si="33"/>
        <v>0.68769999999999998</v>
      </c>
      <c r="M117" s="910">
        <f t="shared" si="33"/>
        <v>0.68769999999999998</v>
      </c>
    </row>
    <row r="118" spans="1:13" ht="13.5" thickBot="1">
      <c r="A118" s="713" t="s">
        <v>2877</v>
      </c>
      <c r="B118" s="911">
        <f>ROUND(0.7275-0.01*B113,4)</f>
        <v>0.67120000000000002</v>
      </c>
      <c r="C118" s="911">
        <f>B118</f>
        <v>0.67120000000000002</v>
      </c>
      <c r="D118" s="911">
        <f>ROUND(0.7043-0.012*B113,4)</f>
        <v>0.63670000000000004</v>
      </c>
      <c r="E118" s="911">
        <f>D118</f>
        <v>0.63670000000000004</v>
      </c>
      <c r="F118" s="911">
        <f>E118</f>
        <v>0.63670000000000004</v>
      </c>
      <c r="G118" s="911">
        <f>ROUND(0.6299-0.0122*B113,4)</f>
        <v>0.56120000000000003</v>
      </c>
      <c r="H118" s="911">
        <f>G118</f>
        <v>0.56120000000000003</v>
      </c>
      <c r="I118" s="911">
        <f>ROUND(0.5667-0.0136*B113,4)</f>
        <v>0.49009999999999998</v>
      </c>
      <c r="J118" s="911">
        <f t="shared" si="33"/>
        <v>0.49009999999999998</v>
      </c>
      <c r="K118" s="911">
        <f t="shared" si="33"/>
        <v>0.49009999999999998</v>
      </c>
      <c r="L118" s="911">
        <f t="shared" si="33"/>
        <v>0.49009999999999998</v>
      </c>
      <c r="M118" s="912">
        <f t="shared" si="33"/>
        <v>0.49009999999999998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34" t="s">
        <v>183</v>
      </c>
      <c r="B18" s="881" t="s">
        <v>560</v>
      </c>
      <c r="C18" s="882" t="s">
        <v>561</v>
      </c>
      <c r="D18" s="883"/>
      <c r="E18" s="881">
        <v>1</v>
      </c>
      <c r="F18" s="884" t="s">
        <v>562</v>
      </c>
      <c r="G18" s="885"/>
      <c r="H18" s="877"/>
      <c r="I18" s="877"/>
    </row>
    <row r="19" spans="1:9" s="886" customFormat="1" ht="19.5" customHeight="1">
      <c r="A19" s="3334"/>
      <c r="B19" s="3334" t="s">
        <v>563</v>
      </c>
      <c r="C19" s="882" t="s">
        <v>564</v>
      </c>
      <c r="D19" s="883"/>
      <c r="E19" s="881">
        <v>0.9</v>
      </c>
      <c r="F19" s="884" t="s">
        <v>565</v>
      </c>
      <c r="G19" s="885"/>
      <c r="H19" s="877"/>
      <c r="I19" s="877"/>
    </row>
    <row r="20" spans="1:9" s="886" customFormat="1" ht="19.5" customHeight="1">
      <c r="A20" s="3334"/>
      <c r="B20" s="3334"/>
      <c r="C20" s="882" t="s">
        <v>566</v>
      </c>
      <c r="D20" s="883"/>
      <c r="E20" s="881">
        <v>1.1000000000000001</v>
      </c>
      <c r="F20" s="884" t="s">
        <v>567</v>
      </c>
      <c r="G20" s="885"/>
      <c r="H20" s="877"/>
      <c r="I20" s="877"/>
    </row>
    <row r="21" spans="1:9" s="886" customFormat="1" ht="19.5" customHeight="1">
      <c r="A21" s="3334"/>
      <c r="B21" s="3334"/>
      <c r="C21" s="882" t="s">
        <v>568</v>
      </c>
      <c r="D21" s="883"/>
      <c r="E21" s="881">
        <v>0.8</v>
      </c>
      <c r="F21" s="884" t="s">
        <v>569</v>
      </c>
      <c r="G21" s="885"/>
      <c r="H21" s="877"/>
      <c r="I21" s="877"/>
    </row>
    <row r="22" spans="1:9" s="886" customFormat="1" ht="19.5" customHeight="1">
      <c r="A22" s="3334"/>
      <c r="B22" s="3334"/>
      <c r="C22" s="882" t="s">
        <v>570</v>
      </c>
      <c r="D22" s="883"/>
      <c r="E22" s="881">
        <v>0.5</v>
      </c>
      <c r="F22" s="884"/>
      <c r="G22" s="885"/>
      <c r="H22" s="877"/>
      <c r="I22" s="877"/>
    </row>
    <row r="23" spans="1:9" s="886" customFormat="1" ht="19.5" customHeight="1">
      <c r="A23" s="3334" t="s">
        <v>184</v>
      </c>
      <c r="B23" s="881" t="s">
        <v>560</v>
      </c>
      <c r="C23" s="882" t="s">
        <v>571</v>
      </c>
      <c r="D23" s="883"/>
      <c r="E23" s="881">
        <v>1</v>
      </c>
      <c r="F23" s="884" t="s">
        <v>572</v>
      </c>
      <c r="G23" s="885"/>
      <c r="H23" s="877"/>
      <c r="I23" s="877"/>
    </row>
    <row r="24" spans="1:9" s="886" customFormat="1" ht="19.5" customHeight="1">
      <c r="A24" s="3334"/>
      <c r="B24" s="3334" t="s">
        <v>563</v>
      </c>
      <c r="C24" s="882" t="s">
        <v>573</v>
      </c>
      <c r="D24" s="883"/>
      <c r="E24" s="881">
        <v>0.5</v>
      </c>
      <c r="F24" s="884"/>
      <c r="G24" s="885"/>
      <c r="H24" s="877"/>
      <c r="I24" s="877"/>
    </row>
    <row r="25" spans="1:9" s="886" customFormat="1" ht="19.5" customHeight="1">
      <c r="A25" s="3334"/>
      <c r="B25" s="3334"/>
      <c r="C25" s="882" t="s">
        <v>574</v>
      </c>
      <c r="D25" s="883"/>
      <c r="E25" s="881">
        <v>1.1000000000000001</v>
      </c>
      <c r="F25" s="884"/>
      <c r="G25" s="885"/>
      <c r="H25" s="877"/>
      <c r="I25" s="877"/>
    </row>
    <row r="26" spans="1:9" s="886" customFormat="1" ht="19.5" customHeight="1">
      <c r="A26" s="3334"/>
      <c r="B26" s="3334"/>
      <c r="C26" s="882" t="s">
        <v>575</v>
      </c>
      <c r="D26" s="883"/>
      <c r="E26" s="881">
        <v>1.1000000000000001</v>
      </c>
      <c r="F26" s="884"/>
      <c r="G26" s="885"/>
      <c r="H26" s="877"/>
      <c r="I26" s="877"/>
    </row>
    <row r="27" spans="1:9" s="886" customFormat="1" ht="19.5" customHeight="1">
      <c r="A27" s="3334"/>
      <c r="B27" s="3334"/>
      <c r="C27" s="882" t="s">
        <v>576</v>
      </c>
      <c r="D27" s="883"/>
      <c r="E27" s="881">
        <v>0.9</v>
      </c>
      <c r="F27" s="884" t="s">
        <v>577</v>
      </c>
      <c r="G27" s="885"/>
      <c r="H27" s="877"/>
      <c r="I27" s="877"/>
    </row>
    <row r="28" spans="1:9" s="886" customFormat="1" ht="19.5" customHeight="1">
      <c r="A28" s="3334"/>
      <c r="B28" s="3334"/>
      <c r="C28" s="882" t="s">
        <v>578</v>
      </c>
      <c r="D28" s="883"/>
      <c r="E28" s="881">
        <v>0.9</v>
      </c>
      <c r="F28" s="884" t="s">
        <v>579</v>
      </c>
      <c r="G28" s="885"/>
      <c r="H28" s="877"/>
      <c r="I28" s="877"/>
    </row>
    <row r="29" spans="1:9" s="886" customFormat="1" ht="19.5" customHeight="1">
      <c r="A29" s="3334"/>
      <c r="B29" s="3334"/>
      <c r="C29" s="882" t="s">
        <v>580</v>
      </c>
      <c r="D29" s="883"/>
      <c r="E29" s="881">
        <v>0.9</v>
      </c>
      <c r="F29" s="884" t="s">
        <v>581</v>
      </c>
      <c r="G29" s="885"/>
      <c r="H29" s="877"/>
      <c r="I29" s="877"/>
    </row>
    <row r="30" spans="1:9" s="886" customFormat="1" ht="19.5" customHeight="1">
      <c r="A30" s="3334"/>
      <c r="B30" s="3334"/>
      <c r="C30" s="882" t="s">
        <v>582</v>
      </c>
      <c r="D30" s="883"/>
      <c r="E30" s="881">
        <v>0.9</v>
      </c>
      <c r="F30" s="884" t="s">
        <v>583</v>
      </c>
      <c r="G30" s="885"/>
      <c r="H30" s="877"/>
      <c r="I30" s="877"/>
    </row>
    <row r="31" spans="1:9" s="886" customFormat="1" ht="19.5" customHeight="1">
      <c r="A31" s="3334"/>
      <c r="B31" s="3334"/>
      <c r="C31" s="882" t="s">
        <v>584</v>
      </c>
      <c r="D31" s="883"/>
      <c r="E31" s="881">
        <v>0.8</v>
      </c>
      <c r="F31" s="884" t="s">
        <v>585</v>
      </c>
      <c r="G31" s="885"/>
      <c r="H31" s="877"/>
      <c r="I31" s="877"/>
    </row>
    <row r="32" spans="1:9" s="886" customFormat="1" ht="19.5" customHeight="1">
      <c r="A32" s="3334"/>
      <c r="B32" s="3334"/>
      <c r="C32" s="882" t="s">
        <v>586</v>
      </c>
      <c r="D32" s="883"/>
      <c r="E32" s="881">
        <v>0.8</v>
      </c>
      <c r="F32" s="884" t="s">
        <v>587</v>
      </c>
      <c r="G32" s="885"/>
      <c r="H32" s="877"/>
      <c r="I32" s="877"/>
    </row>
    <row r="33" spans="1:9" s="886" customFormat="1" ht="19.5" customHeight="1">
      <c r="A33" s="3334" t="s">
        <v>185</v>
      </c>
      <c r="B33" s="881" t="s">
        <v>560</v>
      </c>
      <c r="C33" s="882" t="s">
        <v>588</v>
      </c>
      <c r="D33" s="883"/>
      <c r="E33" s="881">
        <v>1</v>
      </c>
      <c r="F33" s="884" t="s">
        <v>589</v>
      </c>
      <c r="G33" s="885"/>
      <c r="H33" s="877"/>
      <c r="I33" s="877"/>
    </row>
    <row r="34" spans="1:9" s="886" customFormat="1" ht="19.5" customHeight="1">
      <c r="A34" s="3334"/>
      <c r="B34" s="881" t="s">
        <v>563</v>
      </c>
      <c r="C34" s="882" t="s">
        <v>590</v>
      </c>
      <c r="D34" s="883"/>
      <c r="E34" s="881">
        <v>1.5</v>
      </c>
      <c r="F34" s="884" t="s">
        <v>591</v>
      </c>
      <c r="G34" s="885"/>
      <c r="H34" s="877"/>
      <c r="I34" s="877"/>
    </row>
    <row r="35" spans="1:9" s="886" customFormat="1" ht="19.5" customHeight="1">
      <c r="A35" s="3334" t="s">
        <v>186</v>
      </c>
      <c r="B35" s="881" t="s">
        <v>560</v>
      </c>
      <c r="C35" s="882" t="s">
        <v>592</v>
      </c>
      <c r="D35" s="883"/>
      <c r="E35" s="881">
        <v>1</v>
      </c>
      <c r="F35" s="884" t="s">
        <v>593</v>
      </c>
      <c r="G35" s="885"/>
      <c r="H35" s="877"/>
      <c r="I35" s="877"/>
    </row>
    <row r="36" spans="1:9" s="886" customFormat="1" ht="19.5" customHeight="1">
      <c r="A36" s="3334"/>
      <c r="B36" s="3334" t="s">
        <v>563</v>
      </c>
      <c r="C36" s="882" t="s">
        <v>594</v>
      </c>
      <c r="D36" s="883"/>
      <c r="E36" s="881">
        <v>1</v>
      </c>
      <c r="F36" s="884" t="s">
        <v>595</v>
      </c>
      <c r="G36" s="885"/>
      <c r="H36" s="877"/>
      <c r="I36" s="877"/>
    </row>
    <row r="37" spans="1:9" s="886" customFormat="1" ht="19.5" customHeight="1">
      <c r="A37" s="3334"/>
      <c r="B37" s="3334"/>
      <c r="C37" s="882" t="s">
        <v>596</v>
      </c>
      <c r="D37" s="883"/>
      <c r="E37" s="881">
        <v>1.5</v>
      </c>
      <c r="F37" s="884" t="s">
        <v>597</v>
      </c>
      <c r="G37" s="885"/>
      <c r="H37" s="877"/>
      <c r="I37" s="877"/>
    </row>
    <row r="38" spans="1:9" s="886" customFormat="1" ht="19.5" customHeight="1">
      <c r="A38" s="3334"/>
      <c r="B38" s="3334"/>
      <c r="C38" s="882" t="s">
        <v>598</v>
      </c>
      <c r="D38" s="883"/>
      <c r="E38" s="881">
        <v>1</v>
      </c>
      <c r="F38" s="884" t="s">
        <v>599</v>
      </c>
      <c r="G38" s="885"/>
      <c r="H38" s="877"/>
      <c r="I38" s="877"/>
    </row>
    <row r="39" spans="1:9" s="886" customFormat="1" ht="19.5" customHeight="1">
      <c r="A39" s="3334"/>
      <c r="B39" s="333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34" t="s">
        <v>614</v>
      </c>
      <c r="C61" s="817" t="s">
        <v>615</v>
      </c>
      <c r="D61" s="817" t="s">
        <v>616</v>
      </c>
      <c r="E61" s="894">
        <v>0.5</v>
      </c>
      <c r="F61" s="881">
        <v>80</v>
      </c>
    </row>
    <row r="62" spans="1:8" s="877" customFormat="1" ht="24">
      <c r="A62" s="881">
        <v>2</v>
      </c>
      <c r="B62" s="3334"/>
      <c r="C62" s="817" t="s">
        <v>617</v>
      </c>
      <c r="D62" s="817" t="s">
        <v>618</v>
      </c>
      <c r="E62" s="894">
        <v>0.5</v>
      </c>
      <c r="F62" s="881">
        <v>80</v>
      </c>
    </row>
    <row r="63" spans="1:8" s="877" customFormat="1" ht="36">
      <c r="A63" s="881">
        <v>3</v>
      </c>
      <c r="B63" s="3334"/>
      <c r="C63" s="817" t="s">
        <v>619</v>
      </c>
      <c r="D63" s="817" t="s">
        <v>620</v>
      </c>
      <c r="E63" s="894">
        <v>0.5</v>
      </c>
      <c r="F63" s="881">
        <v>80</v>
      </c>
    </row>
    <row r="64" spans="1:8" s="877" customFormat="1" ht="36">
      <c r="A64" s="881">
        <v>4</v>
      </c>
      <c r="B64" s="3334"/>
      <c r="C64" s="817" t="s">
        <v>621</v>
      </c>
      <c r="D64" s="817" t="s">
        <v>622</v>
      </c>
      <c r="E64" s="894">
        <v>0.4</v>
      </c>
      <c r="F64" s="881">
        <v>60</v>
      </c>
    </row>
    <row r="65" spans="1:6" s="877" customFormat="1" ht="36">
      <c r="A65" s="881">
        <v>5</v>
      </c>
      <c r="B65" s="3334"/>
      <c r="C65" s="817" t="s">
        <v>623</v>
      </c>
      <c r="D65" s="817" t="s">
        <v>624</v>
      </c>
      <c r="E65" s="894">
        <v>0.2</v>
      </c>
      <c r="F65" s="881">
        <v>30</v>
      </c>
    </row>
    <row r="66" spans="1:6" s="877" customFormat="1" ht="36">
      <c r="A66" s="881">
        <v>6</v>
      </c>
      <c r="B66" s="3334"/>
      <c r="C66" s="817" t="s">
        <v>625</v>
      </c>
      <c r="D66" s="817" t="s">
        <v>626</v>
      </c>
      <c r="E66" s="894">
        <v>0.3</v>
      </c>
      <c r="F66" s="881">
        <v>50</v>
      </c>
    </row>
    <row r="67" spans="1:6" s="877" customFormat="1" ht="36">
      <c r="A67" s="881">
        <v>7</v>
      </c>
      <c r="B67" s="3334"/>
      <c r="C67" s="817" t="s">
        <v>627</v>
      </c>
      <c r="D67" s="817" t="s">
        <v>628</v>
      </c>
      <c r="E67" s="894">
        <v>0.2</v>
      </c>
      <c r="F67" s="881">
        <v>30</v>
      </c>
    </row>
    <row r="68" spans="1:6" s="877" customFormat="1" ht="36">
      <c r="A68" s="881">
        <v>8</v>
      </c>
      <c r="B68" s="3334"/>
      <c r="C68" s="817" t="s">
        <v>629</v>
      </c>
      <c r="D68" s="817" t="s">
        <v>630</v>
      </c>
      <c r="E68" s="894">
        <v>0.2</v>
      </c>
      <c r="F68" s="881">
        <v>30</v>
      </c>
    </row>
    <row r="69" spans="1:6" s="877" customFormat="1" ht="36">
      <c r="A69" s="881">
        <v>9</v>
      </c>
      <c r="B69" s="3334"/>
      <c r="C69" s="817" t="s">
        <v>631</v>
      </c>
      <c r="D69" s="817" t="s">
        <v>632</v>
      </c>
      <c r="E69" s="894">
        <v>0.2</v>
      </c>
      <c r="F69" s="881">
        <v>30</v>
      </c>
    </row>
    <row r="70" spans="1:6" s="877" customFormat="1" ht="48">
      <c r="A70" s="881">
        <v>10</v>
      </c>
      <c r="B70" s="3334"/>
      <c r="C70" s="817" t="s">
        <v>633</v>
      </c>
      <c r="D70" s="817" t="s">
        <v>634</v>
      </c>
      <c r="E70" s="894">
        <v>0.2</v>
      </c>
      <c r="F70" s="881">
        <v>30</v>
      </c>
    </row>
    <row r="71" spans="1:6" s="877" customFormat="1" ht="48">
      <c r="A71" s="881">
        <v>11</v>
      </c>
      <c r="B71" s="3334"/>
      <c r="C71" s="817" t="s">
        <v>635</v>
      </c>
      <c r="D71" s="817" t="s">
        <v>636</v>
      </c>
      <c r="E71" s="894">
        <v>0.2</v>
      </c>
      <c r="F71" s="881">
        <v>30</v>
      </c>
    </row>
    <row r="72" spans="1:6" s="877" customFormat="1" ht="36">
      <c r="A72" s="881">
        <v>12</v>
      </c>
      <c r="B72" s="3334"/>
      <c r="C72" s="817" t="s">
        <v>637</v>
      </c>
      <c r="D72" s="817" t="s">
        <v>638</v>
      </c>
      <c r="E72" s="894">
        <v>0.5</v>
      </c>
      <c r="F72" s="881">
        <v>80</v>
      </c>
    </row>
    <row r="73" spans="1:6" s="877" customFormat="1" ht="24">
      <c r="A73" s="881">
        <v>13</v>
      </c>
      <c r="B73" s="3334"/>
      <c r="C73" s="817" t="s">
        <v>639</v>
      </c>
      <c r="D73" s="817" t="s">
        <v>640</v>
      </c>
      <c r="E73" s="894">
        <v>0.4</v>
      </c>
      <c r="F73" s="881">
        <v>60</v>
      </c>
    </row>
    <row r="74" spans="1:6" s="877" customFormat="1" ht="24">
      <c r="A74" s="881">
        <v>14</v>
      </c>
      <c r="B74" s="3334"/>
      <c r="C74" s="817" t="s">
        <v>641</v>
      </c>
      <c r="D74" s="817" t="s">
        <v>642</v>
      </c>
      <c r="E74" s="894">
        <v>0.2</v>
      </c>
      <c r="F74" s="881">
        <v>30</v>
      </c>
    </row>
    <row r="75" spans="1:6" s="877" customFormat="1" ht="24">
      <c r="A75" s="881">
        <v>15</v>
      </c>
      <c r="B75" s="3334"/>
      <c r="C75" s="817" t="s">
        <v>643</v>
      </c>
      <c r="D75" s="817" t="s">
        <v>644</v>
      </c>
      <c r="E75" s="894">
        <v>0.2</v>
      </c>
      <c r="F75" s="881">
        <v>30</v>
      </c>
    </row>
    <row r="76" spans="1:6" s="877" customFormat="1" ht="24">
      <c r="A76" s="881">
        <v>16</v>
      </c>
      <c r="B76" s="3334" t="s">
        <v>645</v>
      </c>
      <c r="C76" s="817" t="s">
        <v>646</v>
      </c>
      <c r="D76" s="817" t="s">
        <v>647</v>
      </c>
      <c r="E76" s="894">
        <v>0.5</v>
      </c>
      <c r="F76" s="881">
        <v>80</v>
      </c>
    </row>
    <row r="77" spans="1:6" s="877" customFormat="1" ht="24">
      <c r="A77" s="881">
        <v>17</v>
      </c>
      <c r="B77" s="3334"/>
      <c r="C77" s="817" t="s">
        <v>648</v>
      </c>
      <c r="D77" s="817" t="s">
        <v>649</v>
      </c>
      <c r="E77" s="894">
        <v>0.5</v>
      </c>
      <c r="F77" s="881">
        <v>80</v>
      </c>
    </row>
    <row r="78" spans="1:6" s="877" customFormat="1" ht="24">
      <c r="A78" s="881">
        <v>18</v>
      </c>
      <c r="B78" s="3334"/>
      <c r="C78" s="817" t="s">
        <v>650</v>
      </c>
      <c r="D78" s="817" t="s">
        <v>651</v>
      </c>
      <c r="E78" s="894">
        <v>0.2</v>
      </c>
      <c r="F78" s="881">
        <v>30</v>
      </c>
    </row>
    <row r="79" spans="1:6" s="877" customFormat="1" ht="24">
      <c r="A79" s="881">
        <v>19</v>
      </c>
      <c r="B79" s="3334"/>
      <c r="C79" s="817" t="s">
        <v>652</v>
      </c>
      <c r="D79" s="817" t="s">
        <v>653</v>
      </c>
      <c r="E79" s="894">
        <v>0.5</v>
      </c>
      <c r="F79" s="881">
        <v>80</v>
      </c>
    </row>
    <row r="80" spans="1:6" s="877" customFormat="1" ht="36">
      <c r="A80" s="881">
        <v>20</v>
      </c>
      <c r="B80" s="3334"/>
      <c r="C80" s="817" t="s">
        <v>654</v>
      </c>
      <c r="D80" s="817" t="s">
        <v>655</v>
      </c>
      <c r="E80" s="894">
        <v>0.2</v>
      </c>
      <c r="F80" s="881">
        <v>30</v>
      </c>
    </row>
    <row r="81" spans="1:6" s="877" customFormat="1" ht="36">
      <c r="A81" s="881">
        <v>21</v>
      </c>
      <c r="B81" s="3334"/>
      <c r="C81" s="817" t="s">
        <v>656</v>
      </c>
      <c r="D81" s="817" t="s">
        <v>657</v>
      </c>
      <c r="E81" s="894">
        <v>0.2</v>
      </c>
      <c r="F81" s="881">
        <v>30</v>
      </c>
    </row>
    <row r="82" spans="1:6" s="877" customFormat="1" ht="48">
      <c r="A82" s="881">
        <v>22</v>
      </c>
      <c r="B82" s="3334"/>
      <c r="C82" s="817" t="s">
        <v>658</v>
      </c>
      <c r="D82" s="817" t="s">
        <v>659</v>
      </c>
      <c r="E82" s="894">
        <v>0.2</v>
      </c>
      <c r="F82" s="881">
        <v>30</v>
      </c>
    </row>
    <row r="83" spans="1:6" s="877" customFormat="1" ht="48">
      <c r="A83" s="881">
        <v>23</v>
      </c>
      <c r="B83" s="3334"/>
      <c r="C83" s="817" t="s">
        <v>660</v>
      </c>
      <c r="D83" s="817" t="s">
        <v>661</v>
      </c>
      <c r="E83" s="894">
        <v>0.2</v>
      </c>
      <c r="F83" s="881">
        <v>30</v>
      </c>
    </row>
    <row r="84" spans="1:6" s="877" customFormat="1" ht="36">
      <c r="A84" s="881">
        <v>24</v>
      </c>
      <c r="B84" s="3334"/>
      <c r="C84" s="817" t="s">
        <v>662</v>
      </c>
      <c r="D84" s="817" t="s">
        <v>663</v>
      </c>
      <c r="E84" s="894">
        <v>0.2</v>
      </c>
      <c r="F84" s="881">
        <v>30</v>
      </c>
    </row>
    <row r="85" spans="1:6" s="877" customFormat="1" ht="36">
      <c r="A85" s="881">
        <v>25</v>
      </c>
      <c r="B85" s="3334"/>
      <c r="C85" s="817" t="s">
        <v>664</v>
      </c>
      <c r="D85" s="817" t="s">
        <v>665</v>
      </c>
      <c r="E85" s="894">
        <v>0.5</v>
      </c>
      <c r="F85" s="881">
        <v>80</v>
      </c>
    </row>
    <row r="86" spans="1:6" s="877" customFormat="1" ht="36">
      <c r="A86" s="881">
        <v>26</v>
      </c>
      <c r="B86" s="3334"/>
      <c r="C86" s="817" t="s">
        <v>666</v>
      </c>
      <c r="D86" s="817" t="s">
        <v>667</v>
      </c>
      <c r="E86" s="894">
        <v>0.2</v>
      </c>
      <c r="F86" s="881">
        <v>30</v>
      </c>
    </row>
    <row r="87" spans="1:6" s="877" customFormat="1" ht="36">
      <c r="A87" s="881">
        <v>27</v>
      </c>
      <c r="B87" s="3334"/>
      <c r="C87" s="817" t="s">
        <v>668</v>
      </c>
      <c r="D87" s="817" t="s">
        <v>669</v>
      </c>
      <c r="E87" s="894">
        <v>0.2</v>
      </c>
      <c r="F87" s="881">
        <v>30</v>
      </c>
    </row>
    <row r="88" spans="1:6" s="877" customFormat="1" ht="36">
      <c r="A88" s="881">
        <v>28</v>
      </c>
      <c r="B88" s="3334"/>
      <c r="C88" s="817" t="s">
        <v>670</v>
      </c>
      <c r="D88" s="817" t="s">
        <v>671</v>
      </c>
      <c r="E88" s="894">
        <v>0.2</v>
      </c>
      <c r="F88" s="881">
        <v>30</v>
      </c>
    </row>
    <row r="89" spans="1:6" s="877" customFormat="1" ht="24">
      <c r="A89" s="881">
        <v>29</v>
      </c>
      <c r="B89" s="3334"/>
      <c r="C89" s="817" t="s">
        <v>672</v>
      </c>
      <c r="D89" s="817" t="s">
        <v>673</v>
      </c>
      <c r="E89" s="894">
        <v>0.2</v>
      </c>
      <c r="F89" s="881">
        <v>30</v>
      </c>
    </row>
    <row r="90" spans="1:6" s="877" customFormat="1" ht="24">
      <c r="A90" s="881">
        <v>30</v>
      </c>
      <c r="B90" s="3334"/>
      <c r="C90" s="817" t="s">
        <v>674</v>
      </c>
      <c r="D90" s="817" t="s">
        <v>675</v>
      </c>
      <c r="E90" s="894">
        <v>0.2</v>
      </c>
      <c r="F90" s="881">
        <v>30</v>
      </c>
    </row>
    <row r="91" spans="1:6" s="877" customFormat="1" ht="36">
      <c r="A91" s="881">
        <v>31</v>
      </c>
      <c r="B91" s="3334"/>
      <c r="C91" s="817" t="s">
        <v>676</v>
      </c>
      <c r="D91" s="817" t="s">
        <v>677</v>
      </c>
      <c r="E91" s="894">
        <v>0.2</v>
      </c>
      <c r="F91" s="881">
        <v>30</v>
      </c>
    </row>
    <row r="92" spans="1:6" s="877" customFormat="1" ht="24">
      <c r="A92" s="881">
        <v>32</v>
      </c>
      <c r="B92" s="3334" t="s">
        <v>678</v>
      </c>
      <c r="C92" s="881" t="s">
        <v>679</v>
      </c>
      <c r="D92" s="817" t="s">
        <v>680</v>
      </c>
      <c r="E92" s="894">
        <v>0.2</v>
      </c>
      <c r="F92" s="881">
        <v>30</v>
      </c>
    </row>
    <row r="93" spans="1:6" s="877" customFormat="1" ht="36">
      <c r="A93" s="881">
        <v>33</v>
      </c>
      <c r="B93" s="3334"/>
      <c r="C93" s="881" t="s">
        <v>681</v>
      </c>
      <c r="D93" s="817" t="s">
        <v>682</v>
      </c>
      <c r="E93" s="894">
        <v>0.2</v>
      </c>
      <c r="F93" s="881">
        <v>30</v>
      </c>
    </row>
    <row r="94" spans="1:6" s="877" customFormat="1" ht="48">
      <c r="A94" s="881">
        <v>34</v>
      </c>
      <c r="B94" s="3334"/>
      <c r="C94" s="881" t="s">
        <v>683</v>
      </c>
      <c r="D94" s="817" t="s">
        <v>684</v>
      </c>
      <c r="E94" s="894">
        <v>0.2</v>
      </c>
      <c r="F94" s="881">
        <v>30</v>
      </c>
    </row>
    <row r="95" spans="1:6" s="877" customFormat="1" ht="36">
      <c r="A95" s="881">
        <v>35</v>
      </c>
      <c r="B95" s="3334"/>
      <c r="C95" s="881" t="s">
        <v>685</v>
      </c>
      <c r="D95" s="817" t="s">
        <v>686</v>
      </c>
      <c r="E95" s="894">
        <v>0.2</v>
      </c>
      <c r="F95" s="881">
        <v>30</v>
      </c>
    </row>
    <row r="96" spans="1:6" s="877" customFormat="1" ht="48">
      <c r="A96" s="881">
        <v>36</v>
      </c>
      <c r="B96" s="3334"/>
      <c r="C96" s="817" t="s">
        <v>687</v>
      </c>
      <c r="D96" s="817" t="s">
        <v>688</v>
      </c>
      <c r="E96" s="894">
        <v>0.2</v>
      </c>
      <c r="F96" s="881">
        <v>30</v>
      </c>
    </row>
    <row r="97" spans="1:6" s="877" customFormat="1" ht="36">
      <c r="A97" s="881">
        <v>37</v>
      </c>
      <c r="B97" s="3334"/>
      <c r="C97" s="881" t="s">
        <v>689</v>
      </c>
      <c r="D97" s="817" t="s">
        <v>690</v>
      </c>
      <c r="E97" s="894">
        <v>0.2</v>
      </c>
      <c r="F97" s="881">
        <v>30</v>
      </c>
    </row>
    <row r="98" spans="1:6" s="877" customFormat="1" ht="36">
      <c r="A98" s="881">
        <v>38</v>
      </c>
      <c r="B98" s="3334"/>
      <c r="C98" s="881" t="s">
        <v>691</v>
      </c>
      <c r="D98" s="817" t="s">
        <v>692</v>
      </c>
      <c r="E98" s="894">
        <v>0.2</v>
      </c>
      <c r="F98" s="881">
        <v>30</v>
      </c>
    </row>
    <row r="99" spans="1:6" s="877" customFormat="1" ht="36">
      <c r="A99" s="881">
        <v>39</v>
      </c>
      <c r="B99" s="3334" t="s">
        <v>693</v>
      </c>
      <c r="C99" s="881" t="s">
        <v>694</v>
      </c>
      <c r="D99" s="817" t="s">
        <v>695</v>
      </c>
      <c r="E99" s="894">
        <v>0.3</v>
      </c>
      <c r="F99" s="881">
        <v>50</v>
      </c>
    </row>
    <row r="100" spans="1:6" s="877" customFormat="1" ht="24">
      <c r="A100" s="881">
        <v>40</v>
      </c>
      <c r="B100" s="3334"/>
      <c r="C100" s="881" t="s">
        <v>696</v>
      </c>
      <c r="D100" s="817" t="s">
        <v>697</v>
      </c>
      <c r="E100" s="894">
        <v>0.2</v>
      </c>
      <c r="F100" s="881">
        <v>30</v>
      </c>
    </row>
    <row r="101" spans="1:6" s="877" customFormat="1" ht="36">
      <c r="A101" s="881">
        <v>41</v>
      </c>
      <c r="B101" s="333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4" t="s">
        <v>708</v>
      </c>
      <c r="C105" s="881" t="s">
        <v>709</v>
      </c>
      <c r="D105" s="817" t="s">
        <v>710</v>
      </c>
      <c r="E105" s="894">
        <v>0.2</v>
      </c>
      <c r="F105" s="881">
        <v>30</v>
      </c>
    </row>
    <row r="106" spans="1:6" s="877" customFormat="1" ht="36">
      <c r="A106" s="881">
        <v>46</v>
      </c>
      <c r="B106" s="3334"/>
      <c r="C106" s="881" t="s">
        <v>711</v>
      </c>
      <c r="D106" s="817" t="s">
        <v>712</v>
      </c>
      <c r="E106" s="894">
        <v>0.2</v>
      </c>
      <c r="F106" s="881">
        <v>30</v>
      </c>
    </row>
    <row r="107" spans="1:6" s="877" customFormat="1" ht="36">
      <c r="A107" s="881">
        <v>47</v>
      </c>
      <c r="B107" s="3334" t="s">
        <v>713</v>
      </c>
      <c r="C107" s="881" t="s">
        <v>714</v>
      </c>
      <c r="D107" s="817" t="s">
        <v>715</v>
      </c>
      <c r="E107" s="894">
        <v>0.3</v>
      </c>
      <c r="F107" s="881">
        <v>50</v>
      </c>
    </row>
    <row r="108" spans="1:6" s="877" customFormat="1" ht="36">
      <c r="A108" s="881">
        <v>48</v>
      </c>
      <c r="B108" s="333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4" t="s">
        <v>724</v>
      </c>
      <c r="C111" s="881" t="s">
        <v>725</v>
      </c>
      <c r="D111" s="817" t="s">
        <v>726</v>
      </c>
      <c r="E111" s="894">
        <v>0.2</v>
      </c>
      <c r="F111" s="881">
        <v>30</v>
      </c>
    </row>
    <row r="112" spans="1:6" s="877" customFormat="1" ht="24">
      <c r="A112" s="881">
        <v>52</v>
      </c>
      <c r="B112" s="3334"/>
      <c r="C112" s="881" t="s">
        <v>727</v>
      </c>
      <c r="D112" s="817" t="s">
        <v>728</v>
      </c>
      <c r="E112" s="894">
        <v>0.2</v>
      </c>
      <c r="F112" s="881">
        <v>30</v>
      </c>
    </row>
    <row r="113" spans="1:6" s="877" customFormat="1" ht="24">
      <c r="A113" s="881">
        <v>53</v>
      </c>
      <c r="B113" s="333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4" t="s">
        <v>737</v>
      </c>
      <c r="C116" s="881" t="s">
        <v>738</v>
      </c>
      <c r="D116" s="817" t="s">
        <v>739</v>
      </c>
      <c r="E116" s="894">
        <v>0.2</v>
      </c>
      <c r="F116" s="881">
        <v>30</v>
      </c>
    </row>
    <row r="117" spans="1:6" ht="36">
      <c r="A117" s="881">
        <v>57</v>
      </c>
      <c r="B117" s="333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3000</v>
      </c>
    </row>
    <row r="2" spans="1:5" ht="15.75">
      <c r="A2" s="2906" t="s">
        <v>2992</v>
      </c>
      <c r="B2" s="2907" t="e">
        <f ca="1">SUMIF(B6:B13,"&lt;&gt;#ref!",B6:B13)</f>
        <v>#DIV/0!</v>
      </c>
      <c r="C2" s="2906" t="s">
        <v>2993</v>
      </c>
      <c r="D2" s="2906" t="s">
        <v>2994</v>
      </c>
      <c r="E2" s="2907">
        <f ca="1">SUMIF(E6:E13,"&lt;&gt;#ref!",E6:E13)</f>
        <v>0</v>
      </c>
    </row>
    <row r="3" spans="1:5" ht="15.75">
      <c r="A3" s="2906" t="s">
        <v>2995</v>
      </c>
      <c r="B3" s="2907" t="e">
        <f ca="1">ROUND(B2*10000/E2,0)</f>
        <v>#DIV/0!</v>
      </c>
      <c r="C3" s="2906" t="s">
        <v>3001</v>
      </c>
      <c r="D3" s="2908"/>
      <c r="E3" s="2908"/>
    </row>
    <row r="4" spans="1:5" ht="15.75">
      <c r="A4" s="2909"/>
      <c r="B4" s="2908"/>
      <c r="C4" s="2908"/>
      <c r="D4" s="2908"/>
      <c r="E4" s="2908"/>
    </row>
    <row r="5" spans="1:5" ht="28.5">
      <c r="A5" s="2910" t="s">
        <v>2996</v>
      </c>
      <c r="B5" s="2906" t="s">
        <v>2997</v>
      </c>
      <c r="C5" s="2907"/>
      <c r="D5" s="2908"/>
      <c r="E5" s="2906" t="s">
        <v>2998</v>
      </c>
    </row>
    <row r="6" spans="1:5" ht="15.75">
      <c r="A6" s="2911" t="s">
        <v>2999</v>
      </c>
      <c r="B6" s="2907" t="e">
        <f ca="1">SUMIF(INDIRECT("'"&amp;A6&amp;"'"&amp;"!A:A"),"总价",INDIRECT("'"&amp;A6&amp;"'"&amp;"!B:B"))</f>
        <v>#DIV/0!</v>
      </c>
      <c r="C6" s="2906" t="s">
        <v>2993</v>
      </c>
      <c r="D6" s="2908"/>
      <c r="E6" s="2571">
        <f ca="1">SUMIF(INDIRECT("'"&amp;A6&amp;"'"&amp;"!C:C"),"建筑面积",INDIRECT("'"&amp;A6&amp;"'"&amp;"!D:D"))</f>
        <v>0</v>
      </c>
    </row>
    <row r="7" spans="1:5" ht="15.75">
      <c r="A7" s="2911"/>
      <c r="B7" s="2907" t="e">
        <f ca="1">SUMIF(INDIRECT("'"&amp;A7&amp;"'"&amp;"!A:A"),"总价",INDIRECT("'"&amp;A7&amp;"'"&amp;"!B:B"))</f>
        <v>#REF!</v>
      </c>
      <c r="C7" s="2906" t="s">
        <v>2993</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2993</v>
      </c>
      <c r="D8" s="2908"/>
      <c r="E8" s="2571" t="e">
        <f t="shared" ca="1" si="0"/>
        <v>#REF!</v>
      </c>
    </row>
    <row r="9" spans="1:5" ht="15.75">
      <c r="A9" s="2911"/>
      <c r="B9" s="2907" t="e">
        <f t="shared" ca="1" si="1"/>
        <v>#REF!</v>
      </c>
      <c r="C9" s="2906" t="s">
        <v>2993</v>
      </c>
      <c r="D9" s="2908"/>
      <c r="E9" s="2571" t="e">
        <f t="shared" ca="1" si="0"/>
        <v>#REF!</v>
      </c>
    </row>
    <row r="10" spans="1:5" ht="15.75">
      <c r="A10" s="2911"/>
      <c r="B10" s="2907" t="e">
        <f t="shared" ca="1" si="1"/>
        <v>#REF!</v>
      </c>
      <c r="C10" s="2906" t="s">
        <v>2993</v>
      </c>
      <c r="D10" s="2908"/>
      <c r="E10" s="2571" t="e">
        <f t="shared" ca="1" si="0"/>
        <v>#REF!</v>
      </c>
    </row>
    <row r="11" spans="1:5" ht="15.75">
      <c r="A11" s="2911"/>
      <c r="B11" s="2907" t="e">
        <f t="shared" ca="1" si="1"/>
        <v>#REF!</v>
      </c>
      <c r="C11" s="2906" t="s">
        <v>2993</v>
      </c>
      <c r="D11" s="2908"/>
      <c r="E11" s="2571" t="e">
        <f t="shared" ca="1" si="0"/>
        <v>#REF!</v>
      </c>
    </row>
    <row r="12" spans="1:5" ht="15.75">
      <c r="A12" s="2911"/>
      <c r="B12" s="2907" t="e">
        <f t="shared" ca="1" si="1"/>
        <v>#REF!</v>
      </c>
      <c r="C12" s="2906" t="s">
        <v>2993</v>
      </c>
      <c r="D12" s="2908"/>
      <c r="E12" s="2571" t="e">
        <f t="shared" ca="1" si="0"/>
        <v>#REF!</v>
      </c>
    </row>
    <row r="13" spans="1:5" ht="15.75">
      <c r="A13" s="2911"/>
      <c r="B13" s="2907" t="e">
        <f t="shared" ca="1" si="1"/>
        <v>#REF!</v>
      </c>
      <c r="C13" s="2906" t="s">
        <v>2993</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3" sqref="B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40" t="s">
        <v>1150</v>
      </c>
      <c r="C1" s="3340"/>
      <c r="D1" s="3340"/>
      <c r="E1" s="3340"/>
      <c r="F1" s="3340"/>
      <c r="G1" s="3336" t="s">
        <v>1151</v>
      </c>
      <c r="H1" s="3336"/>
      <c r="I1" s="3336"/>
      <c r="J1" s="3336"/>
      <c r="K1" s="3336"/>
      <c r="L1" s="3336"/>
      <c r="N1" s="3336" t="s">
        <v>1152</v>
      </c>
      <c r="O1" s="3336"/>
      <c r="P1" s="3336"/>
      <c r="Q1" s="3336"/>
      <c r="R1" s="1446"/>
      <c r="S1" s="3336" t="s">
        <v>1153</v>
      </c>
      <c r="T1" s="3336"/>
      <c r="U1" s="3336"/>
      <c r="V1" s="3336"/>
      <c r="X1" s="3335" t="s">
        <v>1154</v>
      </c>
      <c r="Y1" s="3336"/>
      <c r="Z1" s="3336"/>
      <c r="AA1" s="3336"/>
      <c r="AB1" s="3336"/>
      <c r="AD1" s="3335" t="s">
        <v>1155</v>
      </c>
      <c r="AE1" s="3336"/>
      <c r="AF1" s="3336"/>
      <c r="AG1" s="3336"/>
      <c r="AH1" s="3336"/>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5" customFormat="1" ht="14.25">
      <c r="A3" s="2934" t="s">
        <v>3030</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1.4517</v>
      </c>
      <c r="Y3" s="2932">
        <f>ROUND(SUMPRODUCT(PRODUCT(1+O3:O$22)),4)</f>
        <v>1.2928999999999999</v>
      </c>
      <c r="Z3" s="2932">
        <f t="shared" ref="Z3:Z20" si="0">Y3</f>
        <v>1.2928999999999999</v>
      </c>
      <c r="AA3" s="2932">
        <f>ROUND(SUMPRODUCT(PRODUCT(1+P3:P$22)),4)</f>
        <v>1.5068999999999999</v>
      </c>
      <c r="AB3" s="2932">
        <f>ROUND(SUMPRODUCT(PRODUCT(1+Q3:Q$22)),4)</f>
        <v>1.2557</v>
      </c>
      <c r="AD3" s="2933">
        <f>ROUND(AVERAGE(I3:I$23)/100,4)</f>
        <v>2.1600000000000001E-2</v>
      </c>
      <c r="AE3" s="2933">
        <f>ROUND(AVERAGE(J3:J$23)/100,4)</f>
        <v>1.4999999999999999E-2</v>
      </c>
      <c r="AF3" s="2933">
        <f t="shared" ref="AF3:AF21" si="1">AE3</f>
        <v>1.4999999999999999E-2</v>
      </c>
      <c r="AG3" s="2933">
        <f>ROUND(AVERAGE(K3:K$23)/100,4)</f>
        <v>2.3900000000000001E-2</v>
      </c>
      <c r="AH3" s="2933">
        <f>ROUND(AVERAGE(L3:L$23)/100,4)</f>
        <v>1.2800000000000001E-2</v>
      </c>
    </row>
    <row r="4" spans="1:34" s="1453" customFormat="1" ht="14.25">
      <c r="B4" s="1454"/>
      <c r="C4" s="1454"/>
      <c r="D4" s="1455"/>
      <c r="E4" s="1455"/>
      <c r="F4" s="1454"/>
      <c r="G4" s="1456"/>
      <c r="H4" s="1457"/>
      <c r="I4" s="2919"/>
      <c r="J4" s="2919"/>
      <c r="K4" s="2919"/>
      <c r="L4" s="2919"/>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3037</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7">
        <v>2018</v>
      </c>
      <c r="H5" s="1729">
        <v>3</v>
      </c>
      <c r="I5" s="2920">
        <v>0</v>
      </c>
      <c r="J5" s="2920">
        <v>0</v>
      </c>
      <c r="K5" s="2920">
        <v>0</v>
      </c>
      <c r="L5" s="2920">
        <v>0</v>
      </c>
      <c r="N5" s="1467">
        <f>I5/100</f>
        <v>0</v>
      </c>
      <c r="O5" s="1467">
        <f t="shared" ref="O5" si="7">J5/100</f>
        <v>0</v>
      </c>
      <c r="P5" s="1467">
        <f t="shared" ref="P5" si="8">K5/100</f>
        <v>0</v>
      </c>
      <c r="Q5" s="1467">
        <f t="shared" ref="Q5" si="9">L5/100</f>
        <v>0</v>
      </c>
      <c r="R5" s="1731"/>
      <c r="S5" s="1732"/>
      <c r="T5" s="1731"/>
      <c r="U5" s="1731"/>
      <c r="V5" s="1731"/>
      <c r="W5" s="2924" t="s">
        <v>3031</v>
      </c>
      <c r="X5" s="1725">
        <f>ROUND(SUMPRODUCT(PRODUCT(1+N5:N$22)),4)</f>
        <v>1.4517</v>
      </c>
      <c r="Y5" s="1725">
        <f>ROUND(SUMPRODUCT(PRODUCT(1+O5:O$22)),4)</f>
        <v>1.2928999999999999</v>
      </c>
      <c r="Z5" s="1725">
        <f t="shared" ref="Z5" si="10">Y5</f>
        <v>1.2928999999999999</v>
      </c>
      <c r="AA5" s="1725">
        <f>ROUND(SUMPRODUCT(PRODUCT(1+P5:P$22)),4)</f>
        <v>1.5068999999999999</v>
      </c>
      <c r="AB5" s="1725">
        <f>ROUND(SUMPRODUCT(PRODUCT(1+Q5:Q$22)),4)</f>
        <v>1.2557</v>
      </c>
      <c r="AD5" s="1468">
        <f>ROUND(AVERAGE(I5:I$23)/100,4)</f>
        <v>2.1499999999999998E-2</v>
      </c>
      <c r="AE5" s="1468">
        <f>ROUND(AVERAGE(J5:J$23)/100,4)</f>
        <v>1.49E-2</v>
      </c>
      <c r="AF5" s="1468">
        <f t="shared" ref="AF5" si="11">AE5</f>
        <v>1.49E-2</v>
      </c>
      <c r="AG5" s="1468">
        <f>ROUND(AVERAGE(K5:K$23)/100,4)</f>
        <v>2.3699999999999999E-2</v>
      </c>
      <c r="AH5" s="1468">
        <f>ROUND(AVERAGE(L5:L$23)/100,4)</f>
        <v>1.2800000000000001E-2</v>
      </c>
    </row>
    <row r="6" spans="1:34" s="1466" customFormat="1" ht="13.5" thickBot="1">
      <c r="A6" s="1461" t="s">
        <v>3038</v>
      </c>
      <c r="B6" s="1477">
        <f t="shared" ref="B6" si="12">B7*(1+N6)</f>
        <v>446.46299999999997</v>
      </c>
      <c r="C6" s="1477">
        <f t="shared" ref="C6" si="13">C7*(1+O6)</f>
        <v>333.27840000000003</v>
      </c>
      <c r="D6" s="1477">
        <f t="shared" ref="D6" si="14">C6</f>
        <v>333.27840000000003</v>
      </c>
      <c r="E6" s="1477">
        <f t="shared" ref="E6" si="15">E7*(1+P6)</f>
        <v>637.28279999999995</v>
      </c>
      <c r="F6" s="1477">
        <f t="shared" ref="F6" si="16">F7*(1+Q6)</f>
        <v>288.68830000000003</v>
      </c>
      <c r="G6" s="2935"/>
      <c r="H6" s="1464">
        <v>2</v>
      </c>
      <c r="I6" s="1464">
        <v>0</v>
      </c>
      <c r="J6" s="1464">
        <v>0</v>
      </c>
      <c r="K6" s="1464">
        <v>0</v>
      </c>
      <c r="L6" s="1478">
        <v>0</v>
      </c>
      <c r="M6" s="1471"/>
      <c r="N6" s="1472">
        <f t="shared" ref="N6" si="17">I6/100</f>
        <v>0</v>
      </c>
      <c r="O6" s="1473">
        <f t="shared" ref="O6" si="18">J6/100</f>
        <v>0</v>
      </c>
      <c r="P6" s="1473">
        <f t="shared" ref="P6" si="19">K6/100</f>
        <v>0</v>
      </c>
      <c r="Q6" s="1473">
        <f t="shared" ref="Q6" si="20">L6/100</f>
        <v>0</v>
      </c>
      <c r="R6" s="1474"/>
      <c r="S6" s="1472"/>
      <c r="T6" s="1473"/>
      <c r="U6" s="1473"/>
      <c r="V6" s="1473"/>
      <c r="W6" s="1788"/>
      <c r="X6" s="1786">
        <f>ROUND(SUMPRODUCT(PRODUCT(1+N6:N$22)),4)</f>
        <v>1.4517</v>
      </c>
      <c r="Y6" s="1786">
        <f>ROUND(SUMPRODUCT(PRODUCT(1+O6:O$22)),4)</f>
        <v>1.2928999999999999</v>
      </c>
      <c r="Z6" s="1786">
        <f t="shared" ref="Z6" si="21">Y6</f>
        <v>1.2928999999999999</v>
      </c>
      <c r="AA6" s="1786">
        <f>ROUND(SUMPRODUCT(PRODUCT(1+P6:P$22)),4)</f>
        <v>1.5068999999999999</v>
      </c>
      <c r="AB6" s="1786">
        <f>ROUND(SUMPRODUCT(PRODUCT(1+Q6:Q$22)),4)</f>
        <v>1.2557</v>
      </c>
      <c r="AC6" s="1788"/>
      <c r="AD6" s="1787">
        <f>ROUND(AVERAGE(I6:I$23)/100,4)</f>
        <v>2.2700000000000001E-2</v>
      </c>
      <c r="AE6" s="1787">
        <f>ROUND(AVERAGE(J6:J$23)/100,4)</f>
        <v>1.5699999999999999E-2</v>
      </c>
      <c r="AF6" s="1787">
        <f t="shared" ref="AF6" si="22">AE6</f>
        <v>1.5699999999999999E-2</v>
      </c>
      <c r="AG6" s="1787">
        <f>ROUND(AVERAGE(K6:K$23)/100,4)</f>
        <v>2.5000000000000001E-2</v>
      </c>
      <c r="AH6" s="1787">
        <f>ROUND(AVERAGE(L6:L$23)/100,4)</f>
        <v>1.35E-2</v>
      </c>
    </row>
    <row r="7" spans="1:34" s="1466" customFormat="1" ht="13.5" thickBot="1">
      <c r="A7" s="1461" t="s">
        <v>3029</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35"/>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61" t="s">
        <v>3026</v>
      </c>
      <c r="B8" s="1469">
        <v>439</v>
      </c>
      <c r="C8" s="1469">
        <v>327</v>
      </c>
      <c r="D8" s="1469">
        <f>C8</f>
        <v>327</v>
      </c>
      <c r="E8" s="1469">
        <v>627</v>
      </c>
      <c r="F8" s="1470">
        <v>283</v>
      </c>
      <c r="G8" s="2922">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3027</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18"/>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30"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17"/>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3"/>
      <c r="AD10" s="1787">
        <f>ROUND(AVERAGE(I10:I$23)/100,4)</f>
        <v>2.46E-2</v>
      </c>
      <c r="AE10" s="1787">
        <f>ROUND(AVERAGE(J10:J$23)/100,4)</f>
        <v>1.6E-2</v>
      </c>
      <c r="AF10" s="1787">
        <f t="shared" si="1"/>
        <v>1.6E-2</v>
      </c>
      <c r="AG10" s="1787">
        <f>ROUND(AVERAGE(K10:K$23)/100,4)</f>
        <v>2.75E-2</v>
      </c>
      <c r="AH10" s="1787">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18"/>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61" t="s">
        <v>154</v>
      </c>
      <c r="B12" s="1469">
        <v>392</v>
      </c>
      <c r="C12" s="1469">
        <v>302</v>
      </c>
      <c r="D12" s="1469">
        <f>C12</f>
        <v>302</v>
      </c>
      <c r="E12" s="1469">
        <v>553</v>
      </c>
      <c r="F12" s="1470">
        <v>266</v>
      </c>
      <c r="G12" s="3341">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338"/>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338"/>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339"/>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337">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338"/>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338"/>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339"/>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337">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338"/>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338"/>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339"/>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1" t="s">
        <v>1163</v>
      </c>
      <c r="B24" s="1469">
        <v>299</v>
      </c>
      <c r="C24" s="1469">
        <v>252</v>
      </c>
      <c r="D24" s="1469">
        <f t="shared" si="54"/>
        <v>252</v>
      </c>
      <c r="E24" s="1469">
        <v>409</v>
      </c>
      <c r="F24" s="1470">
        <v>227</v>
      </c>
      <c r="G24" s="3342">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343"/>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343"/>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344"/>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337">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338"/>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338"/>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339"/>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337">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338">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338">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339">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337">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338">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338">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339">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337">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338">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338">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339">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337">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338">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338">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339">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337">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338">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338">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339">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337">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338">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338">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339">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337">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338">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338">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339">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337">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338">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338">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339">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337">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338">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338">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339">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337">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338">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338">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339">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9"/>
      <c r="C2" s="3029"/>
      <c r="D2" s="3029"/>
      <c r="E2" s="3029"/>
    </row>
    <row r="3" spans="1:5" ht="18">
      <c r="A3" s="3030" t="str">
        <f>IF(项目基本情况!B9="房地产市场价值","估价结果一览表（市场价值不需“结果表-1”）","估价结果一览表")</f>
        <v>估价结果一览表</v>
      </c>
      <c r="B3" s="3030"/>
      <c r="C3" s="3030"/>
      <c r="D3" s="3030"/>
      <c r="E3" s="3030"/>
    </row>
    <row r="4" spans="1:5" ht="19.5" thickBot="1">
      <c r="A4" s="1959"/>
      <c r="B4" s="3028" t="s">
        <v>1630</v>
      </c>
      <c r="C4" s="3028"/>
      <c r="D4" s="3028"/>
      <c r="E4" s="1959"/>
    </row>
    <row r="5" spans="1:5" ht="16.5" thickTop="1">
      <c r="A5" s="1957"/>
      <c r="B5" s="3026" t="s">
        <v>1622</v>
      </c>
      <c r="C5" s="1960" t="s">
        <v>1623</v>
      </c>
      <c r="D5" s="1042">
        <f ca="1">结果表!H101</f>
        <v>599</v>
      </c>
      <c r="E5" s="1957"/>
    </row>
    <row r="6" spans="1:5" ht="15.75">
      <c r="A6" s="1957"/>
      <c r="B6" s="3026"/>
      <c r="C6" s="1960" t="s">
        <v>1624</v>
      </c>
      <c r="D6" s="1042" t="str">
        <f ca="1">NUMBERSTRING(INT(D5*10000),2)&amp;"元整"</f>
        <v>伍佰玖拾玖万元整</v>
      </c>
      <c r="E6" s="1957"/>
    </row>
    <row r="7" spans="1:5" ht="15.75">
      <c r="A7" s="1957"/>
      <c r="B7" s="3031"/>
      <c r="C7" s="1961" t="s">
        <v>1625</v>
      </c>
      <c r="D7" s="1043">
        <f ca="1">结果表!H102</f>
        <v>42515</v>
      </c>
      <c r="E7" s="1957"/>
    </row>
    <row r="8" spans="1:5" ht="15.75">
      <c r="A8" s="1957"/>
      <c r="B8" s="3032" t="str">
        <f>结果表!E103</f>
        <v>2.估价师知悉的法定优先受偿款</v>
      </c>
      <c r="C8" s="1962" t="s">
        <v>1626</v>
      </c>
      <c r="D8" s="1043">
        <f>结果表!H103</f>
        <v>0</v>
      </c>
      <c r="E8" s="1957"/>
    </row>
    <row r="9" spans="1:5" ht="15.75">
      <c r="A9" s="1957"/>
      <c r="B9" s="3034"/>
      <c r="C9" s="1960" t="s">
        <v>1624</v>
      </c>
      <c r="D9" s="1042" t="str">
        <f>NUMBERSTRING(INT(D8*10000),2)&amp;"元整"</f>
        <v>零元整</v>
      </c>
      <c r="E9" s="1957"/>
    </row>
    <row r="10" spans="1:5" ht="15">
      <c r="A10" s="1957"/>
      <c r="B10" s="1963" t="s">
        <v>1629</v>
      </c>
      <c r="C10" s="1964" t="s">
        <v>1627</v>
      </c>
      <c r="D10" s="1044">
        <f>结果表!H104</f>
        <v>25000</v>
      </c>
      <c r="E10" s="1957"/>
    </row>
    <row r="11" spans="1:5" ht="15">
      <c r="A11" s="1957"/>
      <c r="B11" s="1963" t="s">
        <v>1631</v>
      </c>
      <c r="C11" s="1964" t="s">
        <v>1632</v>
      </c>
      <c r="D11" s="1044">
        <f>结果表!H105</f>
        <v>0</v>
      </c>
      <c r="E11" s="1957"/>
    </row>
    <row r="12" spans="1:5" ht="15">
      <c r="A12" s="1957"/>
      <c r="B12" s="1963" t="s">
        <v>1633</v>
      </c>
      <c r="C12" s="1964" t="s">
        <v>1632</v>
      </c>
      <c r="D12" s="1044">
        <f>结果表!H106</f>
        <v>0</v>
      </c>
      <c r="E12" s="1957"/>
    </row>
    <row r="13" spans="1:5" ht="15.75">
      <c r="A13" s="1957"/>
      <c r="B13" s="3025" t="str">
        <f>结果表!E107</f>
        <v>——</v>
      </c>
      <c r="C13" s="1965" t="s">
        <v>1623</v>
      </c>
      <c r="D13" s="1045" t="str">
        <f>结果表!H107</f>
        <v>——</v>
      </c>
      <c r="E13" s="1957"/>
    </row>
    <row r="14" spans="1:5" ht="15.75">
      <c r="A14" s="1957"/>
      <c r="B14" s="3026"/>
      <c r="C14" s="1960" t="s">
        <v>1624</v>
      </c>
      <c r="D14" s="1042" t="e">
        <f>NUMBERSTRING(INT(D13*10000),2)&amp;"元整"</f>
        <v>#VALUE!</v>
      </c>
      <c r="E14" s="1957"/>
    </row>
    <row r="15" spans="1:5" ht="15">
      <c r="A15" s="1957"/>
      <c r="B15" s="3031"/>
      <c r="C15" s="1961" t="s">
        <v>1634</v>
      </c>
      <c r="D15" s="1054" t="e">
        <f>结果表!H108</f>
        <v>#VALUE!</v>
      </c>
      <c r="E15" s="1957"/>
    </row>
    <row r="16" spans="1:5" ht="15">
      <c r="A16" s="1957"/>
      <c r="B16" s="3032" t="str">
        <f>结果表!E109</f>
        <v>3.抵押担保权已注销时的房地产抵押价值</v>
      </c>
      <c r="C16" s="1965" t="s">
        <v>1635</v>
      </c>
      <c r="D16" s="1966">
        <f ca="1">结果表!H109</f>
        <v>599</v>
      </c>
      <c r="E16" s="1957"/>
    </row>
    <row r="17" spans="1:5" ht="15.75">
      <c r="A17" s="1957"/>
      <c r="B17" s="3033"/>
      <c r="C17" s="1960" t="s">
        <v>1636</v>
      </c>
      <c r="D17" s="1042" t="str">
        <f ca="1">NUMBERSTRING(INT(D16*10000),2)&amp;"元整"</f>
        <v>伍佰玖拾玖万元整</v>
      </c>
      <c r="E17" s="1957"/>
    </row>
    <row r="18" spans="1:5" ht="15">
      <c r="A18" s="1957"/>
      <c r="B18" s="3034"/>
      <c r="C18" s="1961" t="s">
        <v>1625</v>
      </c>
      <c r="D18" s="1054">
        <f ca="1">结果表!H110</f>
        <v>325</v>
      </c>
      <c r="E18" s="1957"/>
    </row>
    <row r="19" spans="1:5" ht="15.75">
      <c r="A19" s="1957"/>
      <c r="B19" s="3025" t="str">
        <f>结果表!E111</f>
        <v>——</v>
      </c>
      <c r="C19" s="1965" t="s">
        <v>1623</v>
      </c>
      <c r="D19" s="1043" t="str">
        <f>结果表!H111</f>
        <v>——</v>
      </c>
      <c r="E19" s="1957"/>
    </row>
    <row r="20" spans="1:5" ht="15.75">
      <c r="A20" s="1957"/>
      <c r="B20" s="3026"/>
      <c r="C20" s="1960" t="s">
        <v>1636</v>
      </c>
      <c r="D20" s="1042" t="e">
        <f>NUMBERSTRING(INT(D19*10000),2)&amp;"元整"</f>
        <v>#VALUE!</v>
      </c>
      <c r="E20" s="1957"/>
    </row>
    <row r="21" spans="1:5" ht="15.75" thickBot="1">
      <c r="A21" s="1957"/>
      <c r="B21" s="3027"/>
      <c r="C21" s="1967" t="s">
        <v>1634</v>
      </c>
      <c r="D21" s="1055"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39472</v>
      </c>
      <c r="C2" s="2" t="s">
        <v>133</v>
      </c>
      <c r="D2" s="243"/>
      <c r="E2" s="243"/>
      <c r="F2" s="243"/>
      <c r="G2" s="243"/>
    </row>
    <row r="3" spans="1:7" s="244" customFormat="1" ht="18" customHeight="1" thickBot="1">
      <c r="A3" s="247" t="s">
        <v>85</v>
      </c>
      <c r="B3" s="248">
        <f ca="1">ROUND(B2*10000/'数据-汇总表'!E3,0)</f>
        <v>21431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90</v>
      </c>
      <c r="F9" s="265"/>
      <c r="G9" s="270"/>
    </row>
    <row r="10" spans="1:7" s="258" customFormat="1" ht="13.5" customHeight="1">
      <c r="A10" s="952" t="s">
        <v>801</v>
      </c>
      <c r="B10" s="268" t="s">
        <v>94</v>
      </c>
      <c r="C10" s="269">
        <f>ROUND(D10*E10/10000,0)</f>
        <v>258</v>
      </c>
      <c r="D10" s="1034">
        <f>'数据-汇总表'!E6</f>
        <v>18418.460000000006</v>
      </c>
      <c r="E10" s="269">
        <f>'数据-取费表'!B28</f>
        <v>140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368</v>
      </c>
      <c r="D19" s="1038">
        <f>'数据-汇总表'!E3</f>
        <v>18418.460000000006</v>
      </c>
      <c r="E19" s="255">
        <f>'数据-取费表'!B31</f>
        <v>200</v>
      </c>
      <c r="F19" s="275"/>
      <c r="G19" s="1" t="s">
        <v>1074</v>
      </c>
    </row>
    <row r="20" spans="1:7" s="258" customFormat="1" ht="13.5" customHeight="1">
      <c r="A20" s="950" t="s">
        <v>1057</v>
      </c>
      <c r="B20" s="254" t="s">
        <v>104</v>
      </c>
      <c r="C20" s="276">
        <f>ROUND((C5+C19)*F20,0)</f>
        <v>420</v>
      </c>
      <c r="D20" s="276"/>
      <c r="E20" s="276"/>
      <c r="F20" s="277">
        <f>'数据-取费表'!B37</f>
        <v>0.02</v>
      </c>
      <c r="G20" s="1289"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4">
        <f ca="1">ROUND(SUM(C23:C25),0)</f>
        <v>2060</v>
      </c>
      <c r="D22" s="279">
        <f ca="1">C26</f>
        <v>1E-3</v>
      </c>
      <c r="E22" s="280" t="s">
        <v>126</v>
      </c>
      <c r="F22" s="281">
        <f ca="1">'数据-取费表'!B40</f>
        <v>4.7500000000000001E-2</v>
      </c>
      <c r="G22" s="1289" t="str">
        <f>IF('数据-取费表'!B22&lt;=1,"单利计息","复利计息")</f>
        <v>复利计息</v>
      </c>
    </row>
    <row r="23" spans="1:7" s="258" customFormat="1" ht="13.5" customHeight="1">
      <c r="A23" s="953" t="s">
        <v>794</v>
      </c>
      <c r="B23" s="259" t="s">
        <v>1061</v>
      </c>
      <c r="C23" s="1355">
        <f ca="1">ROUND(IF('数据-取费表'!B22&lt;=1,C5*F22*'数据-取费表'!B23,C5*(POWER((1+F22),'数据-取费表'!B23)-1)),0)</f>
        <v>2004</v>
      </c>
      <c r="D23" s="282"/>
      <c r="E23" s="282"/>
      <c r="F23" s="283"/>
      <c r="G23" s="284" t="s">
        <v>108</v>
      </c>
    </row>
    <row r="24" spans="1:7" s="258" customFormat="1" ht="13.5" customHeight="1">
      <c r="A24" s="953" t="s">
        <v>792</v>
      </c>
      <c r="B24" s="259" t="s">
        <v>1056</v>
      </c>
      <c r="C24" s="1355">
        <f ca="1">ROUND(IF('数据-取费表'!B22&lt;=1,C19*F22*('数据-取费表'!B19/2+'数据-取费表'!B21),C19*(POWER((1+F22),('数据-取费表'!B19/2+'数据-取费表'!B21))-1)),0)</f>
        <v>36</v>
      </c>
      <c r="D24" s="282"/>
      <c r="E24" s="282"/>
      <c r="F24" s="283"/>
      <c r="G24" s="284" t="s">
        <v>109</v>
      </c>
    </row>
    <row r="25" spans="1:7" s="258" customFormat="1" ht="24">
      <c r="A25" s="953" t="s">
        <v>793</v>
      </c>
      <c r="B25" s="259" t="s">
        <v>1058</v>
      </c>
      <c r="C25" s="1355">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4.75">
      <c r="A27" s="950" t="s">
        <v>787</v>
      </c>
      <c r="B27" s="288" t="s">
        <v>112</v>
      </c>
      <c r="C27" s="289">
        <f>C28</f>
        <v>5350</v>
      </c>
      <c r="D27" s="279">
        <f>C29</f>
        <v>5.0000000000000001E-3</v>
      </c>
      <c r="E27" s="280" t="s">
        <v>126</v>
      </c>
      <c r="F27" s="290">
        <f>'数据-取费表'!Q16</f>
        <v>0.25</v>
      </c>
      <c r="G27" s="291" t="s">
        <v>1069</v>
      </c>
    </row>
    <row r="28" spans="1:7" s="258" customFormat="1" ht="13.5" customHeight="1">
      <c r="A28" s="953" t="s">
        <v>794</v>
      </c>
      <c r="B28" s="292" t="s">
        <v>1062</v>
      </c>
      <c r="C28" s="293">
        <f>ROUND((C5+C19+C20)*F27*'数据-取费表'!B21/'数据-取费表'!B20,0)</f>
        <v>5350</v>
      </c>
      <c r="D28" s="279"/>
      <c r="E28" s="280"/>
      <c r="F28" s="290"/>
      <c r="G28" s="291"/>
    </row>
    <row r="29" spans="1:7" s="258" customFormat="1" ht="13.5" customHeight="1">
      <c r="A29" s="953" t="s">
        <v>792</v>
      </c>
      <c r="B29" s="292" t="s">
        <v>1063</v>
      </c>
      <c r="C29" s="282">
        <f>ROUND(C21*F27*'数据-取费表'!B21/'数据-取费表'!B20,4)</f>
        <v>5.0000000000000001E-3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31290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5808</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5157</v>
      </c>
      <c r="D34" s="261"/>
      <c r="E34" s="264"/>
      <c r="F34" s="301">
        <f>IF('数据-取费表'!B24=0,1,'数据-取费表'!N16)</f>
        <v>1</v>
      </c>
      <c r="G34" s="263" t="s">
        <v>116</v>
      </c>
    </row>
    <row r="35" spans="1:7" ht="13.5" customHeight="1">
      <c r="A35" s="953" t="s">
        <v>796</v>
      </c>
      <c r="B35" s="259" t="s">
        <v>60</v>
      </c>
      <c r="C35" s="264">
        <f>ROUND(C34*F35,0)</f>
        <v>206</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368</v>
      </c>
      <c r="D37" s="261">
        <f>'数据-汇总表'!E3</f>
        <v>18418.460000000006</v>
      </c>
      <c r="E37" s="293">
        <f>'数据-取费表'!B35</f>
        <v>200</v>
      </c>
      <c r="F37" s="303"/>
      <c r="G37" s="305" t="s">
        <v>119</v>
      </c>
    </row>
    <row r="38" spans="1:7" ht="13.5" customHeight="1">
      <c r="A38" s="953" t="s">
        <v>799</v>
      </c>
      <c r="B38" s="259" t="s">
        <v>63</v>
      </c>
      <c r="C38" s="264">
        <f>ROUND(C34*F38,0)</f>
        <v>77</v>
      </c>
      <c r="D38" s="264"/>
      <c r="E38" s="264"/>
      <c r="F38" s="303">
        <f>'数据-取费表'!B36</f>
        <v>1.4999999999999999E-2</v>
      </c>
      <c r="G38" s="263" t="s">
        <v>117</v>
      </c>
    </row>
    <row r="39" spans="1:7" s="258" customFormat="1" ht="13.5" customHeight="1">
      <c r="A39" s="950" t="s">
        <v>783</v>
      </c>
      <c r="B39" s="254" t="s">
        <v>104</v>
      </c>
      <c r="C39" s="276">
        <f>ROUND(C33*F20,0)</f>
        <v>116</v>
      </c>
      <c r="D39" s="276"/>
      <c r="E39" s="276"/>
      <c r="F39" s="277"/>
      <c r="G39" s="1289"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282</v>
      </c>
      <c r="D41" s="279">
        <f ca="1">C44</f>
        <v>1E-3</v>
      </c>
      <c r="E41" s="280" t="s">
        <v>129</v>
      </c>
      <c r="F41" s="281"/>
      <c r="G41" s="1289" t="str">
        <f>IF('数据-取费表'!B22&lt;=1,"单利计息","复利计息")</f>
        <v>复利计息</v>
      </c>
    </row>
    <row r="42" spans="1:7" ht="13.5" customHeight="1">
      <c r="A42" s="953" t="s">
        <v>794</v>
      </c>
      <c r="B42" s="259" t="s">
        <v>1061</v>
      </c>
      <c r="C42" s="282">
        <f ca="1">ROUND(IF('数据-取费表'!B22&lt;=1,C33*F22*'数据-取费表'!B21/2,C33*(POWER((1+F22),'数据-取费表'!B21/2)-1)),0)</f>
        <v>276</v>
      </c>
      <c r="D42" s="282"/>
      <c r="E42" s="282"/>
      <c r="F42" s="283"/>
      <c r="G42" s="3210" t="s">
        <v>121</v>
      </c>
    </row>
    <row r="43" spans="1:7" ht="13.5" customHeight="1">
      <c r="A43" s="953" t="s">
        <v>792</v>
      </c>
      <c r="B43" s="259" t="s">
        <v>1064</v>
      </c>
      <c r="C43" s="282">
        <f ca="1">ROUND(IF('数据-取费表'!B22&lt;=1,C39*F22*'数据-取费表'!B21/2,C39*(POWER((1+F22),'数据-取费表'!B21/2)-1)),0)</f>
        <v>6</v>
      </c>
      <c r="D43" s="282"/>
      <c r="E43" s="282"/>
      <c r="F43" s="283"/>
      <c r="G43" s="3211"/>
    </row>
    <row r="44" spans="1:7" ht="13.5" customHeight="1">
      <c r="A44" s="953" t="s">
        <v>793</v>
      </c>
      <c r="B44" s="259" t="s">
        <v>1066</v>
      </c>
      <c r="C44" s="282">
        <f ca="1">ROUND(IF('数据-取费表'!B22&lt;=1,C40*F22*'数据-取费表'!B21/2,C40*(POWER((1+F22),'数据-取费表'!B21/2)-1)),4)</f>
        <v>1E-3</v>
      </c>
      <c r="D44" s="282"/>
      <c r="E44" s="282"/>
      <c r="F44" s="283"/>
      <c r="G44" s="3212"/>
    </row>
    <row r="45" spans="1:7" s="258" customFormat="1" ht="13.5" customHeight="1">
      <c r="A45" s="950" t="s">
        <v>786</v>
      </c>
      <c r="B45" s="288" t="s">
        <v>112</v>
      </c>
      <c r="C45" s="289">
        <f>C46</f>
        <v>1481</v>
      </c>
      <c r="D45" s="279">
        <f>C47</f>
        <v>5.0000000000000001E-3</v>
      </c>
      <c r="E45" s="280" t="s">
        <v>129</v>
      </c>
      <c r="F45" s="290"/>
      <c r="G45" s="291" t="s">
        <v>1072</v>
      </c>
    </row>
    <row r="46" spans="1:7" s="258" customFormat="1" ht="13.5" customHeight="1">
      <c r="A46" s="953" t="s">
        <v>794</v>
      </c>
      <c r="B46" s="292" t="s">
        <v>1065</v>
      </c>
      <c r="C46" s="293">
        <f>ROUND((C33+C39)*F27,0)</f>
        <v>1481</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8349</v>
      </c>
      <c r="D49" s="276"/>
      <c r="E49" s="276"/>
      <c r="F49" s="308"/>
      <c r="G49" s="278" t="s">
        <v>1073</v>
      </c>
    </row>
    <row r="50" spans="1:7" s="302" customFormat="1" ht="24">
      <c r="A50" s="950" t="s">
        <v>789</v>
      </c>
      <c r="B50" s="254" t="s">
        <v>124</v>
      </c>
      <c r="C50" s="276"/>
      <c r="D50" s="276"/>
      <c r="E50" s="276"/>
      <c r="F50" s="308">
        <f>IF('数据-取费表'!B24=0,'数据-取费表'!N16,1)</f>
        <v>0.98</v>
      </c>
      <c r="G50" s="291" t="s">
        <v>125</v>
      </c>
    </row>
    <row r="51" spans="1:7" ht="16.5" customHeight="1">
      <c r="A51" s="950" t="s">
        <v>790</v>
      </c>
      <c r="B51" s="254" t="s">
        <v>132</v>
      </c>
      <c r="C51" s="276">
        <f ca="1">ROUND(C49*F50,0)</f>
        <v>8182</v>
      </c>
      <c r="D51" s="276"/>
      <c r="E51" s="276"/>
      <c r="F51" s="308"/>
      <c r="G51" s="278" t="s">
        <v>64</v>
      </c>
    </row>
    <row r="52" spans="1:7" s="252" customFormat="1" ht="16.5" thickBot="1">
      <c r="A52" s="309" t="s">
        <v>65</v>
      </c>
      <c r="B52" s="310"/>
      <c r="C52" s="311">
        <f ca="1">C31+C51</f>
        <v>39472</v>
      </c>
      <c r="D52" s="310"/>
      <c r="E52" s="310"/>
      <c r="F52" s="310"/>
      <c r="G52" s="312"/>
    </row>
    <row r="55" spans="1:7" ht="15">
      <c r="B55" s="314" t="s">
        <v>66</v>
      </c>
      <c r="C55" s="315"/>
    </row>
    <row r="56" spans="1:7">
      <c r="B56" s="317" t="s">
        <v>67</v>
      </c>
      <c r="C56" s="318">
        <f ca="1">ROUND(C51/C52,3)</f>
        <v>0.20699999999999999</v>
      </c>
    </row>
    <row r="57" spans="1:7">
      <c r="B57" s="317" t="s">
        <v>68</v>
      </c>
      <c r="C57" s="319">
        <f ca="1">1-C56</f>
        <v>0.79300000000000004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45" t="s">
        <v>156</v>
      </c>
      <c r="B1" s="3345"/>
      <c r="C1" s="3345"/>
      <c r="D1" s="3345"/>
      <c r="E1" s="3345"/>
      <c r="F1" s="334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6" t="s">
        <v>169</v>
      </c>
      <c r="B2" s="3346"/>
      <c r="C2" s="3346"/>
      <c r="D2" s="3346"/>
      <c r="E2" s="3346"/>
      <c r="F2" s="334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5" t="s">
        <v>871</v>
      </c>
      <c r="B1" s="3345"/>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43279</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23" sqref="T23"/>
    </sheetView>
  </sheetViews>
  <sheetFormatPr defaultRowHeight="12.75"/>
  <cols>
    <col min="1" max="1" width="11.5" style="139" customWidth="1"/>
    <col min="2" max="2" width="9.25" style="27" customWidth="1"/>
    <col min="3" max="3" width="7.5" style="27" customWidth="1"/>
    <col min="4" max="4" width="9" style="27"/>
    <col min="5" max="5" width="8.625" style="27" customWidth="1"/>
    <col min="6" max="6" width="9" style="27"/>
    <col min="7" max="7" width="8.375" style="27" customWidth="1"/>
    <col min="8" max="8" width="10.75" style="27" customWidth="1"/>
    <col min="9" max="9" width="9.75" style="27" customWidth="1"/>
    <col min="10" max="10" width="10.625" style="27" customWidth="1"/>
    <col min="11" max="11" width="10.375" style="27" customWidth="1"/>
    <col min="12" max="12" width="10.125" style="27" customWidth="1"/>
    <col min="13" max="13" width="10.2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4" t="s">
        <v>3002</v>
      </c>
      <c r="C1" s="3350" t="s">
        <v>3003</v>
      </c>
      <c r="D1" s="3351"/>
      <c r="E1" s="3351"/>
      <c r="F1" s="3351"/>
      <c r="G1" s="3351"/>
      <c r="H1" s="3351"/>
      <c r="I1" s="3351"/>
      <c r="J1" s="3351"/>
      <c r="K1" s="3351"/>
      <c r="L1" s="3351"/>
      <c r="M1" s="3351"/>
      <c r="N1" s="3351"/>
      <c r="O1" s="3351"/>
      <c r="P1" s="3351"/>
      <c r="Q1" s="3351"/>
      <c r="R1" s="3351"/>
      <c r="S1" s="3352"/>
      <c r="T1" s="1204" t="s">
        <v>3004</v>
      </c>
    </row>
    <row r="2" spans="1:45" s="706" customFormat="1">
      <c r="A2" s="1205"/>
      <c r="B2" s="702" t="s">
        <v>3005</v>
      </c>
      <c r="C2" s="703" t="str">
        <f t="shared" ref="C2:L2" si="0">C3&amp;"(含)"&amp;"-"&amp;D3</f>
        <v>0(含)-20</v>
      </c>
      <c r="D2" s="704" t="str">
        <f t="shared" si="0"/>
        <v>20(含)-30</v>
      </c>
      <c r="E2" s="704" t="str">
        <f t="shared" si="0"/>
        <v>30(含)-40</v>
      </c>
      <c r="F2" s="704" t="str">
        <f t="shared" si="0"/>
        <v>40(含)-50</v>
      </c>
      <c r="G2" s="704" t="str">
        <f t="shared" si="0"/>
        <v>50(含)-60</v>
      </c>
      <c r="H2" s="704" t="str">
        <f t="shared" si="0"/>
        <v>60(含)-90</v>
      </c>
      <c r="I2" s="704" t="str">
        <f t="shared" si="0"/>
        <v>90(含)-120</v>
      </c>
      <c r="J2" s="704" t="str">
        <f t="shared" si="0"/>
        <v>120(含)-150</v>
      </c>
      <c r="K2" s="704" t="str">
        <f t="shared" si="0"/>
        <v>150(含)-200</v>
      </c>
      <c r="L2" s="704" t="str">
        <f t="shared" si="0"/>
        <v>200(含)-300</v>
      </c>
      <c r="M2" s="704" t="str">
        <f t="shared" ref="M2" si="1">M3&amp;"(含)"&amp;"-"&amp;N3</f>
        <v>300(含)-500</v>
      </c>
      <c r="N2" s="704" t="str">
        <f t="shared" ref="N2" si="2">N3&amp;"(含)"&amp;"-"&amp;O3</f>
        <v>500(含)-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7"/>
      <c r="B3" s="707"/>
      <c r="C3" s="708">
        <v>0</v>
      </c>
      <c r="D3" s="709">
        <v>20</v>
      </c>
      <c r="E3" s="709">
        <v>30</v>
      </c>
      <c r="F3" s="1704">
        <v>40</v>
      </c>
      <c r="G3" s="1704">
        <v>50</v>
      </c>
      <c r="H3" s="1704">
        <v>60</v>
      </c>
      <c r="I3" s="1704">
        <v>90</v>
      </c>
      <c r="J3" s="1704">
        <v>120</v>
      </c>
      <c r="K3" s="1704">
        <v>150</v>
      </c>
      <c r="L3" s="1704">
        <v>200</v>
      </c>
      <c r="M3" s="1705">
        <v>300</v>
      </c>
      <c r="N3" s="1705">
        <v>500</v>
      </c>
      <c r="O3" s="1704"/>
      <c r="P3" s="1704"/>
      <c r="Q3" s="1704"/>
      <c r="R3" s="1704"/>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8"/>
      <c r="B4" s="1209"/>
      <c r="C4" s="1210">
        <v>100</v>
      </c>
      <c r="D4" s="1211">
        <v>98</v>
      </c>
      <c r="E4" s="1211">
        <v>96</v>
      </c>
      <c r="F4" s="1707">
        <v>94</v>
      </c>
      <c r="G4" s="1707">
        <v>92</v>
      </c>
      <c r="H4" s="1707">
        <v>90</v>
      </c>
      <c r="I4" s="1707">
        <v>88</v>
      </c>
      <c r="J4" s="1707">
        <v>86</v>
      </c>
      <c r="K4" s="1707">
        <v>84</v>
      </c>
      <c r="L4" s="1707">
        <v>82</v>
      </c>
      <c r="M4" s="1708">
        <v>80</v>
      </c>
      <c r="N4" s="1708">
        <v>78</v>
      </c>
      <c r="O4" s="1707"/>
      <c r="P4" s="1707"/>
      <c r="Q4" s="1707"/>
      <c r="R4" s="1707"/>
      <c r="S4" s="1709"/>
      <c r="T4" s="1214"/>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5"/>
      <c r="B5" s="2986" t="s">
        <v>3929</v>
      </c>
      <c r="C5" s="2987" t="s">
        <v>3930</v>
      </c>
      <c r="D5" s="2988" t="s">
        <v>3931</v>
      </c>
      <c r="E5" s="2988" t="s">
        <v>3932</v>
      </c>
      <c r="F5" s="2989" t="s">
        <v>3934</v>
      </c>
      <c r="G5" s="2989" t="s">
        <v>3936</v>
      </c>
      <c r="H5" s="1710"/>
      <c r="I5" s="1710"/>
      <c r="J5" s="1710"/>
      <c r="K5" s="1710"/>
      <c r="L5" s="1711"/>
      <c r="M5" s="1712"/>
      <c r="N5" s="1712"/>
      <c r="O5" s="1710"/>
      <c r="P5" s="1710"/>
      <c r="Q5" s="1710"/>
      <c r="R5" s="1710"/>
      <c r="S5" s="1713"/>
      <c r="T5" s="1219">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5"/>
      <c r="B6" s="1117"/>
      <c r="C6" s="1122">
        <v>100</v>
      </c>
      <c r="D6" s="1120">
        <f>C6-$T5</f>
        <v>97</v>
      </c>
      <c r="E6" s="1120">
        <f t="shared" ref="E6:S6" si="7">D6-$T5</f>
        <v>94</v>
      </c>
      <c r="F6" s="1714">
        <f t="shared" si="7"/>
        <v>91</v>
      </c>
      <c r="G6" s="1714">
        <f t="shared" si="7"/>
        <v>88</v>
      </c>
      <c r="H6" s="1714">
        <f t="shared" si="7"/>
        <v>85</v>
      </c>
      <c r="I6" s="1714">
        <f t="shared" si="7"/>
        <v>82</v>
      </c>
      <c r="J6" s="1714">
        <f t="shared" si="7"/>
        <v>79</v>
      </c>
      <c r="K6" s="1714">
        <f t="shared" si="7"/>
        <v>76</v>
      </c>
      <c r="L6" s="1714">
        <f t="shared" si="7"/>
        <v>73</v>
      </c>
      <c r="M6" s="1714">
        <f t="shared" si="7"/>
        <v>70</v>
      </c>
      <c r="N6" s="1714">
        <f t="shared" si="7"/>
        <v>67</v>
      </c>
      <c r="O6" s="1714">
        <f t="shared" si="7"/>
        <v>64</v>
      </c>
      <c r="P6" s="1714">
        <f t="shared" si="7"/>
        <v>61</v>
      </c>
      <c r="Q6" s="1714">
        <f t="shared" si="7"/>
        <v>58</v>
      </c>
      <c r="R6" s="1714">
        <f t="shared" si="7"/>
        <v>55</v>
      </c>
      <c r="S6" s="1714">
        <f t="shared" si="7"/>
        <v>52</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36">
      <c r="A7" s="1215"/>
      <c r="B7" s="2990" t="s">
        <v>3974</v>
      </c>
      <c r="C7" s="2991" t="s">
        <v>3930</v>
      </c>
      <c r="D7" s="2992" t="s">
        <v>3931</v>
      </c>
      <c r="E7" s="2992" t="s">
        <v>3932</v>
      </c>
      <c r="F7" s="2993" t="s">
        <v>3934</v>
      </c>
      <c r="G7" s="2993" t="s">
        <v>3936</v>
      </c>
      <c r="H7" s="1715"/>
      <c r="I7" s="1715"/>
      <c r="J7" s="1715"/>
      <c r="K7" s="1715"/>
      <c r="L7" s="1715"/>
      <c r="M7" s="1716"/>
      <c r="N7" s="1717"/>
      <c r="O7" s="1718"/>
      <c r="P7" s="1719"/>
      <c r="Q7" s="1720"/>
      <c r="R7" s="1721"/>
      <c r="S7" s="1722"/>
      <c r="T7" s="712">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5"/>
      <c r="B8" s="1117"/>
      <c r="C8" s="1122">
        <v>100</v>
      </c>
      <c r="D8" s="1120">
        <f>C8-$T7</f>
        <v>97</v>
      </c>
      <c r="E8" s="1120">
        <f t="shared" ref="E8:S8" si="8">D8-$T7</f>
        <v>94</v>
      </c>
      <c r="F8" s="1714">
        <f t="shared" si="8"/>
        <v>91</v>
      </c>
      <c r="G8" s="1714">
        <f t="shared" si="8"/>
        <v>88</v>
      </c>
      <c r="H8" s="1714">
        <f t="shared" si="8"/>
        <v>85</v>
      </c>
      <c r="I8" s="1714">
        <f t="shared" si="8"/>
        <v>82</v>
      </c>
      <c r="J8" s="1714">
        <f t="shared" si="8"/>
        <v>79</v>
      </c>
      <c r="K8" s="1714">
        <f t="shared" si="8"/>
        <v>76</v>
      </c>
      <c r="L8" s="1714">
        <f t="shared" si="8"/>
        <v>73</v>
      </c>
      <c r="M8" s="1714">
        <f t="shared" si="8"/>
        <v>70</v>
      </c>
      <c r="N8" s="1714">
        <f t="shared" si="8"/>
        <v>67</v>
      </c>
      <c r="O8" s="1714">
        <f t="shared" si="8"/>
        <v>64</v>
      </c>
      <c r="P8" s="1714">
        <f t="shared" si="8"/>
        <v>61</v>
      </c>
      <c r="Q8" s="1714">
        <f t="shared" si="8"/>
        <v>58</v>
      </c>
      <c r="R8" s="1714">
        <f t="shared" si="8"/>
        <v>55</v>
      </c>
      <c r="S8" s="1714">
        <f t="shared" si="8"/>
        <v>52</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7">
      <c r="A9" s="1215"/>
      <c r="B9" s="2990" t="s">
        <v>3975</v>
      </c>
      <c r="C9" s="2981" t="s">
        <v>3863</v>
      </c>
      <c r="D9" s="2981" t="s">
        <v>735</v>
      </c>
      <c r="E9" s="2981" t="s">
        <v>3865</v>
      </c>
      <c r="F9" s="2981" t="s">
        <v>3866</v>
      </c>
      <c r="G9" s="2981" t="s">
        <v>3867</v>
      </c>
      <c r="H9" s="1715"/>
      <c r="I9" s="1715"/>
      <c r="J9" s="1715"/>
      <c r="K9" s="1715"/>
      <c r="L9" s="1723"/>
      <c r="M9" s="1716"/>
      <c r="N9" s="1717"/>
      <c r="O9" s="1718"/>
      <c r="P9" s="1719"/>
      <c r="Q9" s="1720"/>
      <c r="R9" s="1721"/>
      <c r="S9" s="1722"/>
      <c r="T9" s="712">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5"/>
      <c r="B10" s="1209"/>
      <c r="C10" s="1220">
        <v>100</v>
      </c>
      <c r="D10" s="1221">
        <f>C10-$T9</f>
        <v>98</v>
      </c>
      <c r="E10" s="1221">
        <f t="shared" ref="E10:S10" si="9">D10-$T9</f>
        <v>96</v>
      </c>
      <c r="F10" s="1724">
        <f t="shared" si="9"/>
        <v>94</v>
      </c>
      <c r="G10" s="1724">
        <f t="shared" si="9"/>
        <v>92</v>
      </c>
      <c r="H10" s="1724">
        <f t="shared" si="9"/>
        <v>90</v>
      </c>
      <c r="I10" s="1724">
        <f t="shared" si="9"/>
        <v>88</v>
      </c>
      <c r="J10" s="1724">
        <f t="shared" si="9"/>
        <v>86</v>
      </c>
      <c r="K10" s="1724">
        <f t="shared" si="9"/>
        <v>84</v>
      </c>
      <c r="L10" s="1724">
        <f t="shared" si="9"/>
        <v>82</v>
      </c>
      <c r="M10" s="1724">
        <f t="shared" si="9"/>
        <v>80</v>
      </c>
      <c r="N10" s="1724">
        <f t="shared" si="9"/>
        <v>78</v>
      </c>
      <c r="O10" s="1724">
        <f t="shared" si="9"/>
        <v>76</v>
      </c>
      <c r="P10" s="1724">
        <f t="shared" si="9"/>
        <v>74</v>
      </c>
      <c r="Q10" s="1724">
        <f t="shared" si="9"/>
        <v>72</v>
      </c>
      <c r="R10" s="1724">
        <f t="shared" si="9"/>
        <v>70</v>
      </c>
      <c r="S10" s="1724">
        <f t="shared" si="9"/>
        <v>68</v>
      </c>
      <c r="T10" s="1214"/>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idden="1">
      <c r="A11" s="1215"/>
      <c r="B11" s="1768" t="s">
        <v>3006</v>
      </c>
      <c r="C11" s="1216"/>
      <c r="D11" s="1217"/>
      <c r="E11" s="1217"/>
      <c r="F11" s="1217"/>
      <c r="G11" s="1217"/>
      <c r="H11" s="1217"/>
      <c r="I11" s="1217"/>
      <c r="J11" s="1217"/>
      <c r="K11" s="1217"/>
      <c r="L11" s="1217"/>
      <c r="M11" s="1218"/>
      <c r="N11" s="1222"/>
      <c r="O11" s="1223"/>
      <c r="P11" s="1224"/>
      <c r="Q11" s="1225"/>
      <c r="R11" s="1226"/>
      <c r="S11" s="1227"/>
      <c r="T11" s="1219"/>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thickBot="1">
      <c r="A12" s="1215"/>
      <c r="B12" s="1117"/>
      <c r="C12" s="1122">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5"/>
      <c r="B13" s="1768" t="s">
        <v>3007</v>
      </c>
      <c r="C13" s="1216"/>
      <c r="D13" s="1217"/>
      <c r="E13" s="1217"/>
      <c r="F13" s="1217"/>
      <c r="G13" s="1217"/>
      <c r="H13" s="1217"/>
      <c r="I13" s="1217"/>
      <c r="J13" s="1217"/>
      <c r="K13" s="1217"/>
      <c r="L13" s="1217"/>
      <c r="M13" s="1218"/>
      <c r="N13" s="1222"/>
      <c r="O13" s="1223"/>
      <c r="P13" s="1224"/>
      <c r="Q13" s="1225"/>
      <c r="R13" s="1226"/>
      <c r="S13" s="1227"/>
      <c r="T13" s="1228"/>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5"/>
      <c r="B14" s="1117"/>
      <c r="C14" s="1121"/>
      <c r="D14" s="1118"/>
      <c r="E14" s="1118"/>
      <c r="F14" s="1118"/>
      <c r="G14" s="1118"/>
      <c r="H14" s="1118"/>
      <c r="I14" s="1118"/>
      <c r="J14" s="1118"/>
      <c r="K14" s="1118"/>
      <c r="L14" s="1118"/>
      <c r="M14" s="1229"/>
      <c r="N14" s="1229"/>
      <c r="O14" s="1118"/>
      <c r="P14" s="1118"/>
      <c r="Q14" s="1118"/>
      <c r="R14" s="1118"/>
      <c r="S14" s="1230"/>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5"/>
      <c r="B15" s="1768" t="s">
        <v>3008</v>
      </c>
      <c r="C15" s="1216"/>
      <c r="D15" s="1217"/>
      <c r="E15" s="1217"/>
      <c r="F15" s="1217"/>
      <c r="G15" s="1217"/>
      <c r="H15" s="1217"/>
      <c r="I15" s="1217"/>
      <c r="J15" s="1217"/>
      <c r="K15" s="1217"/>
      <c r="L15" s="1217"/>
      <c r="M15" s="1218"/>
      <c r="N15" s="1222"/>
      <c r="O15" s="1223"/>
      <c r="P15" s="1224"/>
      <c r="Q15" s="1225"/>
      <c r="R15" s="1226"/>
      <c r="S15" s="1227"/>
      <c r="T15" s="1228"/>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hidden="1"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2" t="s">
        <v>3009</v>
      </c>
      <c r="B17" s="2913" t="s">
        <v>3010</v>
      </c>
      <c r="C17" s="1231" t="s">
        <v>3922</v>
      </c>
      <c r="D17" s="1232" t="s">
        <v>3923</v>
      </c>
      <c r="E17" s="1232" t="s">
        <v>3924</v>
      </c>
      <c r="F17" s="1232" t="s">
        <v>3925</v>
      </c>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5"/>
      <c r="AS17" s="795"/>
    </row>
    <row r="18" spans="1:45" s="706" customFormat="1" ht="13.5" thickBot="1">
      <c r="A18" s="1241"/>
      <c r="B18" s="1242"/>
      <c r="C18" s="1243">
        <v>100</v>
      </c>
      <c r="D18" s="1244">
        <v>45</v>
      </c>
      <c r="E18" s="1244">
        <v>35</v>
      </c>
      <c r="F18" s="1244">
        <v>30</v>
      </c>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8"/>
      <c r="B19" s="168"/>
      <c r="C19" s="168"/>
      <c r="D19" s="2914" t="s">
        <v>3011</v>
      </c>
      <c r="E19" s="1790"/>
      <c r="F19" s="1790"/>
      <c r="G19" s="1790"/>
      <c r="H19" s="1280"/>
      <c r="I19" s="168"/>
      <c r="J19" s="168"/>
      <c r="K19" s="168"/>
      <c r="L19" s="168"/>
      <c r="M19" s="168"/>
      <c r="N19" s="168"/>
      <c r="O19" s="168"/>
      <c r="P19" s="168"/>
      <c r="Q19" s="168"/>
      <c r="R19" s="787"/>
      <c r="S19" s="138"/>
    </row>
    <row r="20" spans="1:45" ht="16.5" thickBot="1">
      <c r="A20" s="714" t="s">
        <v>3012</v>
      </c>
      <c r="B20" s="338">
        <f ca="1">IF(D20="——",S22,S22-F20)</f>
        <v>40592</v>
      </c>
      <c r="C20" s="168"/>
      <c r="D20" s="2915" t="s">
        <v>70</v>
      </c>
      <c r="E20" s="1791"/>
      <c r="F20" s="1204" t="e">
        <f ca="1">SUMIF(INDIRECT("'"&amp;H20&amp;"'"&amp;"!A:A"),"承租人权益价值",INDIRECT("'"&amp;H20&amp;"'"&amp;"!c:c"))</f>
        <v>#REF!</v>
      </c>
      <c r="G20" s="1204" t="s">
        <v>3013</v>
      </c>
      <c r="H20" s="2916"/>
      <c r="I20" s="168"/>
      <c r="J20" s="168"/>
      <c r="K20" s="168"/>
      <c r="L20" s="168"/>
      <c r="M20" s="168"/>
      <c r="N20" s="168"/>
      <c r="O20" s="168"/>
      <c r="P20" s="168"/>
      <c r="Q20" s="168"/>
      <c r="R20" s="787"/>
      <c r="S20" s="138"/>
    </row>
    <row r="21" spans="1:45" ht="15.75">
      <c r="A21" s="714" t="s">
        <v>3014</v>
      </c>
      <c r="B21" s="338">
        <f ca="1">R22</f>
        <v>22039</v>
      </c>
      <c r="C21" s="168"/>
      <c r="D21" s="168"/>
      <c r="E21" s="168"/>
      <c r="F21" s="168"/>
      <c r="G21" s="168"/>
      <c r="H21" s="168"/>
      <c r="I21" s="168"/>
      <c r="J21" s="168"/>
      <c r="K21" s="168"/>
      <c r="L21" s="168"/>
      <c r="M21" s="168"/>
      <c r="N21" s="168"/>
      <c r="O21" s="168"/>
      <c r="P21" s="168"/>
      <c r="Q21" s="168"/>
      <c r="R21" s="787"/>
      <c r="S21" s="138"/>
    </row>
    <row r="22" spans="1:45">
      <c r="A22" s="361" t="s">
        <v>3015</v>
      </c>
      <c r="B22" s="24">
        <f>SUM(B24:B10000)</f>
        <v>18418.460000000006</v>
      </c>
      <c r="C22" s="3125" t="s">
        <v>33</v>
      </c>
      <c r="D22" s="3126"/>
      <c r="E22" s="3126"/>
      <c r="F22" s="3126"/>
      <c r="G22" s="3126"/>
      <c r="H22" s="3126"/>
      <c r="I22" s="3126"/>
      <c r="J22" s="3126"/>
      <c r="K22" s="3126"/>
      <c r="L22" s="3126"/>
      <c r="M22" s="3126"/>
      <c r="N22" s="3126"/>
      <c r="O22" s="3126"/>
      <c r="P22" s="3126"/>
      <c r="Q22" s="3349"/>
      <c r="R22" s="715">
        <f ca="1">ROUND(S22*10000/B22,0)</f>
        <v>22039</v>
      </c>
      <c r="S22" s="24">
        <f ca="1">SUM(S24:S10000)</f>
        <v>40592</v>
      </c>
    </row>
    <row r="23" spans="1:45" s="12" customFormat="1" ht="39" customHeight="1">
      <c r="A23" s="11" t="s">
        <v>3016</v>
      </c>
      <c r="B23" s="11" t="s">
        <v>3017</v>
      </c>
      <c r="C23" s="11" t="s">
        <v>3018</v>
      </c>
      <c r="D23" s="11" t="str">
        <f>B5</f>
        <v>平面位置、可视性</v>
      </c>
      <c r="E23" s="11" t="s">
        <v>3018</v>
      </c>
      <c r="F23" s="11" t="str">
        <f>B7</f>
        <v>展示效果（面宽、进深比）</v>
      </c>
      <c r="G23" s="11" t="s">
        <v>3018</v>
      </c>
      <c r="H23" s="11" t="str">
        <f>B9</f>
        <v>商业类型</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85" t="str">
        <f>清单!D3</f>
        <v>1-2</v>
      </c>
      <c r="B24" s="717">
        <f>清单!G3</f>
        <v>140.88999999999999</v>
      </c>
      <c r="C24" s="718">
        <v>1</v>
      </c>
      <c r="D24" s="719" t="s">
        <v>3908</v>
      </c>
      <c r="E24" s="718">
        <v>1</v>
      </c>
      <c r="F24" s="719" t="s">
        <v>3844</v>
      </c>
      <c r="G24" s="718">
        <v>1</v>
      </c>
      <c r="H24" s="719" t="s">
        <v>3316</v>
      </c>
      <c r="I24" s="718">
        <v>1</v>
      </c>
      <c r="J24" s="719"/>
      <c r="K24" s="718">
        <v>1</v>
      </c>
      <c r="L24" s="719"/>
      <c r="M24" s="718">
        <v>1</v>
      </c>
      <c r="N24" s="719"/>
      <c r="O24" s="718">
        <v>1</v>
      </c>
      <c r="P24" s="719" t="s">
        <v>3862</v>
      </c>
      <c r="Q24" s="718">
        <v>1</v>
      </c>
      <c r="R24" s="720">
        <f ca="1">结果表!I118</f>
        <v>42515</v>
      </c>
      <c r="S24" s="718">
        <f t="shared" ref="S24:S54" ca="1" si="11">ROUND(R24*B24/10000,0)</f>
        <v>599</v>
      </c>
      <c r="T24" s="799">
        <f>剩余房源售价清单!I3</f>
        <v>53685</v>
      </c>
      <c r="U24" s="799">
        <f ca="1">R24/T24</f>
        <v>0.7919344323367794</v>
      </c>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85" t="str">
        <f>清单!D4</f>
        <v>1-3</v>
      </c>
      <c r="B25" s="717">
        <f>清单!G4</f>
        <v>134.55000000000001</v>
      </c>
      <c r="C25" s="24">
        <f>IF(B25="",1,(LOOKUP(B25,$3:$3,$4:$4)-LOOKUP($B$24,$3:$3,$4:$4)+100)/100)</f>
        <v>1</v>
      </c>
      <c r="D25" s="719" t="s">
        <v>3844</v>
      </c>
      <c r="E25" s="24">
        <f>(SUMIF($5:$5,D25,$6:$6)-SUMIF($5:$5,$D$24,$6:$6)+100)/100</f>
        <v>0.97</v>
      </c>
      <c r="F25" s="719" t="s">
        <v>3844</v>
      </c>
      <c r="G25" s="24">
        <f>(SUMIF($7:$7,F25,$8:$8)-SUMIF($7:$7,$F$24,$8:$8)+100)/100</f>
        <v>1</v>
      </c>
      <c r="H25" s="719" t="s">
        <v>3316</v>
      </c>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3862</v>
      </c>
      <c r="Q25" s="24">
        <f>(SUMIF($17:$17,P25,$18:$18)-SUMIF($17:$17,$P$24,$18:$18)+100)/100</f>
        <v>1</v>
      </c>
      <c r="R25" s="715">
        <f ca="1">IF(B25="",0,ROUND($R$24*C25*E25*G25*I25*K25*M25*O25*Q25,0))</f>
        <v>41240</v>
      </c>
      <c r="S25" s="361">
        <f t="shared" ca="1" si="11"/>
        <v>555</v>
      </c>
      <c r="T25" s="799">
        <f>剩余房源售价清单!I4</f>
        <v>51398</v>
      </c>
      <c r="U25" s="799">
        <f t="shared" ref="U25:U88" ca="1" si="12">R25/T25</f>
        <v>0.80236585081131562</v>
      </c>
    </row>
    <row r="26" spans="1:45">
      <c r="A26" s="2985" t="str">
        <f>清单!D5</f>
        <v>1-4</v>
      </c>
      <c r="B26" s="717">
        <f>清单!G5</f>
        <v>129.5</v>
      </c>
      <c r="C26" s="24">
        <f t="shared" ref="C26:C89" si="13">IF(B26="",1,(LOOKUP(B26,$3:$3,$4:$4)-LOOKUP($B$24,$3:$3,$4:$4)+100)/100)</f>
        <v>1</v>
      </c>
      <c r="D26" s="719" t="s">
        <v>3844</v>
      </c>
      <c r="E26" s="24">
        <f t="shared" ref="E26:E89" si="14">(SUMIF($5:$5,D26,$6:$6)-SUMIF($5:$5,$D$24,$6:$6)+100)/100</f>
        <v>0.97</v>
      </c>
      <c r="F26" s="719" t="s">
        <v>3844</v>
      </c>
      <c r="G26" s="24">
        <f t="shared" ref="G26:G89" si="15">(SUMIF($7:$7,F26,$8:$8)-SUMIF($7:$7,$F$24,$8:$8)+100)/100</f>
        <v>1</v>
      </c>
      <c r="H26" s="719" t="s">
        <v>3316</v>
      </c>
      <c r="I26" s="24">
        <f t="shared" ref="I26:I89" si="16">(SUMIF($9:$9,H26,$10:$10)-SUMIF($9:$9,$H$24,$10:$10)+100)/100</f>
        <v>1</v>
      </c>
      <c r="J26" s="719"/>
      <c r="K26" s="24">
        <f t="shared" ref="K26:K89" si="17">(SUMIF($11:$11,J26,$12:$12)-SUMIF($11:$11,$J$24,$12:$12)+100)/100</f>
        <v>1</v>
      </c>
      <c r="L26" s="719"/>
      <c r="M26" s="24">
        <f t="shared" ref="M26:M89" si="18">(SUMIF($13:$13,L26,$14:$14)-SUMIF($13:$13,$L$24,$14:$14)+100)/100</f>
        <v>1</v>
      </c>
      <c r="N26" s="719"/>
      <c r="O26" s="24">
        <f t="shared" ref="O26:O89" si="19">(SUMIF($15:$15,N26,$16:$16)-SUMIF($15:$15,$N$24,$16:$16)+100)/100</f>
        <v>1</v>
      </c>
      <c r="P26" s="719" t="s">
        <v>3862</v>
      </c>
      <c r="Q26" s="24">
        <f t="shared" ref="Q26:Q89" si="20">(SUMIF($17:$17,P26,$18:$18)-SUMIF($17:$17,$P$24,$18:$18)+100)/100</f>
        <v>1</v>
      </c>
      <c r="R26" s="715">
        <f t="shared" ref="R26:R89" ca="1" si="21">IF(B26="",0,ROUND($R$24*C26*E26*G26*I26*K26*M26*O26*Q26,0))</f>
        <v>41240</v>
      </c>
      <c r="S26" s="361">
        <f t="shared" ca="1" si="11"/>
        <v>534</v>
      </c>
      <c r="T26" s="799">
        <f>剩余房源售价清单!I5</f>
        <v>49683</v>
      </c>
      <c r="U26" s="799">
        <f t="shared" ca="1" si="12"/>
        <v>0.83006259686411854</v>
      </c>
    </row>
    <row r="27" spans="1:45">
      <c r="A27" s="2985" t="str">
        <f>清单!D6</f>
        <v>1-5</v>
      </c>
      <c r="B27" s="717">
        <f>清单!G6</f>
        <v>124.61</v>
      </c>
      <c r="C27" s="24">
        <f t="shared" si="13"/>
        <v>1</v>
      </c>
      <c r="D27" s="719" t="s">
        <v>3844</v>
      </c>
      <c r="E27" s="24">
        <f t="shared" si="14"/>
        <v>0.97</v>
      </c>
      <c r="F27" s="719" t="s">
        <v>3844</v>
      </c>
      <c r="G27" s="24">
        <f t="shared" si="15"/>
        <v>1</v>
      </c>
      <c r="H27" s="719" t="s">
        <v>3316</v>
      </c>
      <c r="I27" s="24">
        <f t="shared" si="16"/>
        <v>1</v>
      </c>
      <c r="J27" s="719"/>
      <c r="K27" s="24">
        <f t="shared" si="17"/>
        <v>1</v>
      </c>
      <c r="L27" s="719"/>
      <c r="M27" s="24">
        <f t="shared" si="18"/>
        <v>1</v>
      </c>
      <c r="N27" s="719"/>
      <c r="O27" s="24">
        <f t="shared" si="19"/>
        <v>1</v>
      </c>
      <c r="P27" s="719" t="s">
        <v>3862</v>
      </c>
      <c r="Q27" s="24">
        <f t="shared" si="20"/>
        <v>1</v>
      </c>
      <c r="R27" s="715">
        <f t="shared" ca="1" si="21"/>
        <v>41240</v>
      </c>
      <c r="S27" s="361">
        <f t="shared" ca="1" si="11"/>
        <v>514</v>
      </c>
      <c r="T27" s="799">
        <f>剩余房源售价清单!I6</f>
        <v>50254</v>
      </c>
      <c r="U27" s="799">
        <f t="shared" ca="1" si="12"/>
        <v>0.82063119353683289</v>
      </c>
    </row>
    <row r="28" spans="1:45">
      <c r="A28" s="2985" t="str">
        <f>清单!D7</f>
        <v>1-6</v>
      </c>
      <c r="B28" s="717">
        <f>清单!G7</f>
        <v>121.4</v>
      </c>
      <c r="C28" s="24">
        <f t="shared" si="13"/>
        <v>1</v>
      </c>
      <c r="D28" s="719" t="s">
        <v>3844</v>
      </c>
      <c r="E28" s="24">
        <f t="shared" si="14"/>
        <v>0.97</v>
      </c>
      <c r="F28" s="719" t="s">
        <v>3844</v>
      </c>
      <c r="G28" s="24">
        <f t="shared" si="15"/>
        <v>1</v>
      </c>
      <c r="H28" s="719" t="s">
        <v>3316</v>
      </c>
      <c r="I28" s="24">
        <f t="shared" si="16"/>
        <v>1</v>
      </c>
      <c r="J28" s="719"/>
      <c r="K28" s="24">
        <f t="shared" si="17"/>
        <v>1</v>
      </c>
      <c r="L28" s="719"/>
      <c r="M28" s="24">
        <f t="shared" si="18"/>
        <v>1</v>
      </c>
      <c r="N28" s="719"/>
      <c r="O28" s="24">
        <f t="shared" si="19"/>
        <v>1</v>
      </c>
      <c r="P28" s="719" t="s">
        <v>3862</v>
      </c>
      <c r="Q28" s="24">
        <f t="shared" si="20"/>
        <v>1</v>
      </c>
      <c r="R28" s="715">
        <f t="shared" ca="1" si="21"/>
        <v>41240</v>
      </c>
      <c r="S28" s="361">
        <f t="shared" ca="1" si="11"/>
        <v>501</v>
      </c>
      <c r="T28" s="799">
        <f>剩余房源售价清单!I7</f>
        <v>51398</v>
      </c>
      <c r="U28" s="799">
        <f t="shared" ca="1" si="12"/>
        <v>0.80236585081131562</v>
      </c>
    </row>
    <row r="29" spans="1:45">
      <c r="A29" s="2985" t="str">
        <f>清单!D8</f>
        <v>1-7</v>
      </c>
      <c r="B29" s="717">
        <f>清单!G8</f>
        <v>114.68</v>
      </c>
      <c r="C29" s="24">
        <f t="shared" si="13"/>
        <v>1.02</v>
      </c>
      <c r="D29" s="719" t="s">
        <v>3844</v>
      </c>
      <c r="E29" s="24">
        <f t="shared" si="14"/>
        <v>0.97</v>
      </c>
      <c r="F29" s="719" t="s">
        <v>3844</v>
      </c>
      <c r="G29" s="24">
        <f t="shared" si="15"/>
        <v>1</v>
      </c>
      <c r="H29" s="719" t="s">
        <v>3316</v>
      </c>
      <c r="I29" s="24">
        <f t="shared" si="16"/>
        <v>1</v>
      </c>
      <c r="J29" s="719"/>
      <c r="K29" s="24">
        <f t="shared" si="17"/>
        <v>1</v>
      </c>
      <c r="L29" s="719"/>
      <c r="M29" s="24">
        <f t="shared" si="18"/>
        <v>1</v>
      </c>
      <c r="N29" s="719"/>
      <c r="O29" s="24">
        <f t="shared" si="19"/>
        <v>1</v>
      </c>
      <c r="P29" s="719" t="s">
        <v>3862</v>
      </c>
      <c r="Q29" s="24">
        <f t="shared" si="20"/>
        <v>1</v>
      </c>
      <c r="R29" s="715">
        <f t="shared" ca="1" si="21"/>
        <v>42064</v>
      </c>
      <c r="S29" s="361">
        <f t="shared" ca="1" si="11"/>
        <v>482</v>
      </c>
      <c r="T29" s="799">
        <f>剩余房源售价清单!I8</f>
        <v>50826</v>
      </c>
      <c r="U29" s="799">
        <f t="shared" ca="1" si="12"/>
        <v>0.82760791720772831</v>
      </c>
    </row>
    <row r="30" spans="1:45">
      <c r="A30" s="2985" t="str">
        <f>清单!D9</f>
        <v>1-8</v>
      </c>
      <c r="B30" s="717">
        <f>清单!G9</f>
        <v>111.38</v>
      </c>
      <c r="C30" s="24">
        <f t="shared" si="13"/>
        <v>1.02</v>
      </c>
      <c r="D30" s="719" t="s">
        <v>3844</v>
      </c>
      <c r="E30" s="24">
        <f t="shared" si="14"/>
        <v>0.97</v>
      </c>
      <c r="F30" s="719" t="s">
        <v>3844</v>
      </c>
      <c r="G30" s="24">
        <f t="shared" si="15"/>
        <v>1</v>
      </c>
      <c r="H30" s="719" t="s">
        <v>3316</v>
      </c>
      <c r="I30" s="24">
        <f t="shared" si="16"/>
        <v>1</v>
      </c>
      <c r="J30" s="719"/>
      <c r="K30" s="24">
        <f t="shared" si="17"/>
        <v>1</v>
      </c>
      <c r="L30" s="719"/>
      <c r="M30" s="24">
        <f t="shared" si="18"/>
        <v>1</v>
      </c>
      <c r="N30" s="719"/>
      <c r="O30" s="24">
        <f t="shared" si="19"/>
        <v>1</v>
      </c>
      <c r="P30" s="719" t="s">
        <v>3862</v>
      </c>
      <c r="Q30" s="24">
        <f t="shared" si="20"/>
        <v>1</v>
      </c>
      <c r="R30" s="715">
        <f t="shared" ca="1" si="21"/>
        <v>42064</v>
      </c>
      <c r="S30" s="361">
        <f t="shared" ca="1" si="11"/>
        <v>469</v>
      </c>
      <c r="T30" s="799">
        <f>剩余房源售价清单!I9</f>
        <v>52827</v>
      </c>
      <c r="U30" s="799">
        <f t="shared" ca="1" si="12"/>
        <v>0.79625948851912842</v>
      </c>
    </row>
    <row r="31" spans="1:45">
      <c r="A31" s="2985" t="str">
        <f>清单!D10</f>
        <v>1-10</v>
      </c>
      <c r="B31" s="717">
        <f>清单!G10</f>
        <v>99.71</v>
      </c>
      <c r="C31" s="24">
        <f t="shared" si="13"/>
        <v>1.02</v>
      </c>
      <c r="D31" s="719" t="s">
        <v>3908</v>
      </c>
      <c r="E31" s="24">
        <f t="shared" si="14"/>
        <v>1</v>
      </c>
      <c r="F31" s="719" t="s">
        <v>3844</v>
      </c>
      <c r="G31" s="24">
        <f t="shared" si="15"/>
        <v>1</v>
      </c>
      <c r="H31" s="719" t="s">
        <v>3316</v>
      </c>
      <c r="I31" s="24">
        <f t="shared" si="16"/>
        <v>1</v>
      </c>
      <c r="J31" s="719"/>
      <c r="K31" s="24">
        <f t="shared" si="17"/>
        <v>1</v>
      </c>
      <c r="L31" s="719"/>
      <c r="M31" s="24">
        <f t="shared" si="18"/>
        <v>1</v>
      </c>
      <c r="N31" s="719"/>
      <c r="O31" s="24">
        <f t="shared" si="19"/>
        <v>1</v>
      </c>
      <c r="P31" s="719" t="s">
        <v>3862</v>
      </c>
      <c r="Q31" s="24">
        <f t="shared" si="20"/>
        <v>1</v>
      </c>
      <c r="R31" s="715">
        <f t="shared" ca="1" si="21"/>
        <v>43365</v>
      </c>
      <c r="S31" s="361">
        <f t="shared" ca="1" si="11"/>
        <v>432</v>
      </c>
      <c r="T31" s="799">
        <f>剩余房源售价清单!I10</f>
        <v>53685</v>
      </c>
      <c r="U31" s="799">
        <f t="shared" ca="1" si="12"/>
        <v>0.80776753283039959</v>
      </c>
    </row>
    <row r="32" spans="1:45">
      <c r="A32" s="2985" t="str">
        <f>清单!D11</f>
        <v>1-12</v>
      </c>
      <c r="B32" s="717">
        <f>清单!G11</f>
        <v>62.41</v>
      </c>
      <c r="C32" s="24">
        <f t="shared" si="13"/>
        <v>1.04</v>
      </c>
      <c r="D32" s="719" t="s">
        <v>3908</v>
      </c>
      <c r="E32" s="24">
        <f t="shared" si="14"/>
        <v>1</v>
      </c>
      <c r="F32" s="719" t="s">
        <v>3844</v>
      </c>
      <c r="G32" s="24">
        <f t="shared" si="15"/>
        <v>1</v>
      </c>
      <c r="H32" s="719" t="s">
        <v>3316</v>
      </c>
      <c r="I32" s="24">
        <f t="shared" si="16"/>
        <v>1</v>
      </c>
      <c r="J32" s="719"/>
      <c r="K32" s="24">
        <f t="shared" si="17"/>
        <v>1</v>
      </c>
      <c r="L32" s="719"/>
      <c r="M32" s="24">
        <f t="shared" si="18"/>
        <v>1</v>
      </c>
      <c r="N32" s="719"/>
      <c r="O32" s="24">
        <f t="shared" si="19"/>
        <v>1</v>
      </c>
      <c r="P32" s="719" t="s">
        <v>3862</v>
      </c>
      <c r="Q32" s="24">
        <f t="shared" si="20"/>
        <v>1</v>
      </c>
      <c r="R32" s="715">
        <f t="shared" ca="1" si="21"/>
        <v>44216</v>
      </c>
      <c r="S32" s="361">
        <f t="shared" ca="1" si="11"/>
        <v>276</v>
      </c>
      <c r="T32" s="799">
        <f>剩余房源售价清单!I11</f>
        <v>57878</v>
      </c>
      <c r="U32" s="799">
        <f t="shared" ca="1" si="12"/>
        <v>0.76395176059988246</v>
      </c>
    </row>
    <row r="33" spans="1:21">
      <c r="A33" s="2985" t="str">
        <f>清单!D12</f>
        <v>1-13</v>
      </c>
      <c r="B33" s="717">
        <f>清单!G12</f>
        <v>33.15</v>
      </c>
      <c r="C33" s="24">
        <f t="shared" si="13"/>
        <v>1.1000000000000001</v>
      </c>
      <c r="D33" s="719" t="s">
        <v>3908</v>
      </c>
      <c r="E33" s="24">
        <f t="shared" si="14"/>
        <v>1</v>
      </c>
      <c r="F33" s="719" t="s">
        <v>3908</v>
      </c>
      <c r="G33" s="24">
        <f t="shared" si="15"/>
        <v>1.03</v>
      </c>
      <c r="H33" s="719" t="s">
        <v>3316</v>
      </c>
      <c r="I33" s="24">
        <f t="shared" si="16"/>
        <v>1</v>
      </c>
      <c r="J33" s="719"/>
      <c r="K33" s="24">
        <f t="shared" si="17"/>
        <v>1</v>
      </c>
      <c r="L33" s="719"/>
      <c r="M33" s="24">
        <f t="shared" si="18"/>
        <v>1</v>
      </c>
      <c r="N33" s="719"/>
      <c r="O33" s="24">
        <f t="shared" si="19"/>
        <v>1</v>
      </c>
      <c r="P33" s="719" t="s">
        <v>3862</v>
      </c>
      <c r="Q33" s="24">
        <f t="shared" si="20"/>
        <v>1</v>
      </c>
      <c r="R33" s="715">
        <f t="shared" ca="1" si="21"/>
        <v>48169</v>
      </c>
      <c r="S33" s="361">
        <f t="shared" ca="1" si="11"/>
        <v>160</v>
      </c>
      <c r="T33" s="799">
        <f>剩余房源售价清单!I12</f>
        <v>58539</v>
      </c>
      <c r="U33" s="799">
        <f t="shared" ca="1" si="12"/>
        <v>0.8228531406412819</v>
      </c>
    </row>
    <row r="34" spans="1:21">
      <c r="A34" s="2985" t="str">
        <f>清单!D13</f>
        <v>1-14</v>
      </c>
      <c r="B34" s="717">
        <f>清单!G13</f>
        <v>65.2</v>
      </c>
      <c r="C34" s="24">
        <f t="shared" si="13"/>
        <v>1.04</v>
      </c>
      <c r="D34" s="719" t="s">
        <v>3908</v>
      </c>
      <c r="E34" s="24">
        <f t="shared" si="14"/>
        <v>1</v>
      </c>
      <c r="F34" s="719" t="s">
        <v>3843</v>
      </c>
      <c r="G34" s="24">
        <f t="shared" si="15"/>
        <v>0.97</v>
      </c>
      <c r="H34" s="719" t="s">
        <v>3316</v>
      </c>
      <c r="I34" s="24">
        <f t="shared" si="16"/>
        <v>1</v>
      </c>
      <c r="J34" s="719"/>
      <c r="K34" s="24">
        <f t="shared" si="17"/>
        <v>1</v>
      </c>
      <c r="L34" s="719"/>
      <c r="M34" s="24">
        <f t="shared" si="18"/>
        <v>1</v>
      </c>
      <c r="N34" s="719"/>
      <c r="O34" s="24">
        <f t="shared" si="19"/>
        <v>1</v>
      </c>
      <c r="P34" s="719" t="s">
        <v>3862</v>
      </c>
      <c r="Q34" s="24">
        <f t="shared" si="20"/>
        <v>1</v>
      </c>
      <c r="R34" s="715">
        <f t="shared" ca="1" si="21"/>
        <v>42889</v>
      </c>
      <c r="S34" s="361">
        <f t="shared" ca="1" si="11"/>
        <v>280</v>
      </c>
      <c r="T34" s="799">
        <f>剩余房源售价清单!I13</f>
        <v>52376</v>
      </c>
      <c r="U34" s="799">
        <f t="shared" ca="1" si="12"/>
        <v>0.81886742019245451</v>
      </c>
    </row>
    <row r="35" spans="1:21">
      <c r="A35" s="2985" t="str">
        <f>清单!D14</f>
        <v>1-15</v>
      </c>
      <c r="B35" s="717">
        <f>清单!G14</f>
        <v>36</v>
      </c>
      <c r="C35" s="24">
        <f t="shared" si="13"/>
        <v>1.1000000000000001</v>
      </c>
      <c r="D35" s="719" t="s">
        <v>3844</v>
      </c>
      <c r="E35" s="24">
        <f t="shared" si="14"/>
        <v>0.97</v>
      </c>
      <c r="F35" s="719" t="s">
        <v>3843</v>
      </c>
      <c r="G35" s="24">
        <f t="shared" si="15"/>
        <v>0.97</v>
      </c>
      <c r="H35" s="719" t="s">
        <v>3316</v>
      </c>
      <c r="I35" s="24">
        <f t="shared" si="16"/>
        <v>1</v>
      </c>
      <c r="J35" s="719"/>
      <c r="K35" s="24">
        <f t="shared" si="17"/>
        <v>1</v>
      </c>
      <c r="L35" s="719"/>
      <c r="M35" s="24">
        <f t="shared" si="18"/>
        <v>1</v>
      </c>
      <c r="N35" s="719"/>
      <c r="O35" s="24">
        <f t="shared" si="19"/>
        <v>1</v>
      </c>
      <c r="P35" s="719" t="s">
        <v>3862</v>
      </c>
      <c r="Q35" s="24">
        <f t="shared" si="20"/>
        <v>1</v>
      </c>
      <c r="R35" s="715">
        <f t="shared" ca="1" si="21"/>
        <v>44003</v>
      </c>
      <c r="S35" s="361">
        <f t="shared" ca="1" si="11"/>
        <v>158</v>
      </c>
      <c r="T35" s="799">
        <f>剩余房源售价清单!I14</f>
        <v>51495</v>
      </c>
      <c r="U35" s="799">
        <f t="shared" ca="1" si="12"/>
        <v>0.8545101466161763</v>
      </c>
    </row>
    <row r="36" spans="1:21">
      <c r="A36" s="2985" t="str">
        <f>清单!D15</f>
        <v>1-16</v>
      </c>
      <c r="B36" s="717">
        <f>清单!G15</f>
        <v>52.73</v>
      </c>
      <c r="C36" s="24">
        <f t="shared" si="13"/>
        <v>1.06</v>
      </c>
      <c r="D36" s="719" t="s">
        <v>3844</v>
      </c>
      <c r="E36" s="24">
        <f t="shared" si="14"/>
        <v>0.97</v>
      </c>
      <c r="F36" s="719" t="s">
        <v>3933</v>
      </c>
      <c r="G36" s="24">
        <f t="shared" si="15"/>
        <v>0.94</v>
      </c>
      <c r="H36" s="719" t="s">
        <v>3316</v>
      </c>
      <c r="I36" s="24">
        <f t="shared" si="16"/>
        <v>1</v>
      </c>
      <c r="J36" s="719"/>
      <c r="K36" s="24">
        <f t="shared" si="17"/>
        <v>1</v>
      </c>
      <c r="L36" s="719"/>
      <c r="M36" s="24">
        <f t="shared" si="18"/>
        <v>1</v>
      </c>
      <c r="N36" s="719"/>
      <c r="O36" s="24">
        <f t="shared" si="19"/>
        <v>1</v>
      </c>
      <c r="P36" s="719" t="s">
        <v>3862</v>
      </c>
      <c r="Q36" s="24">
        <f t="shared" si="20"/>
        <v>1</v>
      </c>
      <c r="R36" s="715">
        <f t="shared" ca="1" si="21"/>
        <v>41091</v>
      </c>
      <c r="S36" s="361">
        <f t="shared" ca="1" si="11"/>
        <v>217</v>
      </c>
      <c r="T36" s="799">
        <f>剩余房源售价清单!I15</f>
        <v>48854</v>
      </c>
      <c r="U36" s="799">
        <f t="shared" ca="1" si="12"/>
        <v>0.84109796536619319</v>
      </c>
    </row>
    <row r="37" spans="1:21">
      <c r="A37" s="2985" t="str">
        <f>清单!D16</f>
        <v>1-17</v>
      </c>
      <c r="B37" s="717">
        <f>清单!G16</f>
        <v>17.78</v>
      </c>
      <c r="C37" s="24">
        <f t="shared" si="13"/>
        <v>1.1399999999999999</v>
      </c>
      <c r="D37" s="719" t="s">
        <v>3844</v>
      </c>
      <c r="E37" s="24">
        <f t="shared" si="14"/>
        <v>0.97</v>
      </c>
      <c r="F37" s="719" t="s">
        <v>3908</v>
      </c>
      <c r="G37" s="24">
        <f t="shared" si="15"/>
        <v>1.03</v>
      </c>
      <c r="H37" s="719" t="s">
        <v>3316</v>
      </c>
      <c r="I37" s="24">
        <f t="shared" si="16"/>
        <v>1</v>
      </c>
      <c r="J37" s="719"/>
      <c r="K37" s="24">
        <f t="shared" si="17"/>
        <v>1</v>
      </c>
      <c r="L37" s="719"/>
      <c r="M37" s="24">
        <f t="shared" si="18"/>
        <v>1</v>
      </c>
      <c r="N37" s="719"/>
      <c r="O37" s="24">
        <f t="shared" si="19"/>
        <v>1</v>
      </c>
      <c r="P37" s="719" t="s">
        <v>3862</v>
      </c>
      <c r="Q37" s="24">
        <f t="shared" si="20"/>
        <v>1</v>
      </c>
      <c r="R37" s="715">
        <f t="shared" ca="1" si="21"/>
        <v>48423</v>
      </c>
      <c r="S37" s="361">
        <f t="shared" ca="1" si="11"/>
        <v>86</v>
      </c>
      <c r="T37" s="799">
        <f>剩余房源售价清单!I16</f>
        <v>59860</v>
      </c>
      <c r="U37" s="799">
        <f t="shared" ca="1" si="12"/>
        <v>0.80893752088205817</v>
      </c>
    </row>
    <row r="38" spans="1:21">
      <c r="A38" s="2985" t="str">
        <f>清单!D17</f>
        <v>1-19</v>
      </c>
      <c r="B38" s="717">
        <f>清单!G17</f>
        <v>64.87</v>
      </c>
      <c r="C38" s="24">
        <f t="shared" si="13"/>
        <v>1.04</v>
      </c>
      <c r="D38" s="719" t="s">
        <v>3933</v>
      </c>
      <c r="E38" s="24">
        <f t="shared" si="14"/>
        <v>0.91</v>
      </c>
      <c r="F38" s="719" t="s">
        <v>3933</v>
      </c>
      <c r="G38" s="24">
        <f t="shared" si="15"/>
        <v>0.94</v>
      </c>
      <c r="H38" s="719" t="s">
        <v>3316</v>
      </c>
      <c r="I38" s="24">
        <f t="shared" si="16"/>
        <v>1</v>
      </c>
      <c r="J38" s="719"/>
      <c r="K38" s="24">
        <f t="shared" si="17"/>
        <v>1</v>
      </c>
      <c r="L38" s="719"/>
      <c r="M38" s="24">
        <f t="shared" si="18"/>
        <v>1</v>
      </c>
      <c r="N38" s="719"/>
      <c r="O38" s="24">
        <f t="shared" si="19"/>
        <v>1</v>
      </c>
      <c r="P38" s="719" t="s">
        <v>3862</v>
      </c>
      <c r="Q38" s="24">
        <f t="shared" si="20"/>
        <v>1</v>
      </c>
      <c r="R38" s="715">
        <f t="shared" ca="1" si="21"/>
        <v>37822</v>
      </c>
      <c r="S38" s="361">
        <f t="shared" ca="1" si="11"/>
        <v>245</v>
      </c>
      <c r="T38" s="799">
        <f>剩余房源售价清单!I17</f>
        <v>42250</v>
      </c>
      <c r="U38" s="799">
        <f t="shared" ca="1" si="12"/>
        <v>0.89519526627218937</v>
      </c>
    </row>
    <row r="39" spans="1:21">
      <c r="A39" s="2985" t="str">
        <f>清单!D18</f>
        <v>1-20</v>
      </c>
      <c r="B39" s="717">
        <f>清单!G18</f>
        <v>64.87</v>
      </c>
      <c r="C39" s="24">
        <f t="shared" si="13"/>
        <v>1.04</v>
      </c>
      <c r="D39" s="719" t="s">
        <v>3933</v>
      </c>
      <c r="E39" s="24">
        <f t="shared" si="14"/>
        <v>0.91</v>
      </c>
      <c r="F39" s="719" t="s">
        <v>3933</v>
      </c>
      <c r="G39" s="24">
        <f t="shared" si="15"/>
        <v>0.94</v>
      </c>
      <c r="H39" s="719" t="s">
        <v>3316</v>
      </c>
      <c r="I39" s="24">
        <f t="shared" si="16"/>
        <v>1</v>
      </c>
      <c r="J39" s="719"/>
      <c r="K39" s="24">
        <f t="shared" si="17"/>
        <v>1</v>
      </c>
      <c r="L39" s="719"/>
      <c r="M39" s="24">
        <f t="shared" si="18"/>
        <v>1</v>
      </c>
      <c r="N39" s="719"/>
      <c r="O39" s="24">
        <f t="shared" si="19"/>
        <v>1</v>
      </c>
      <c r="P39" s="719" t="s">
        <v>3862</v>
      </c>
      <c r="Q39" s="24">
        <f t="shared" si="20"/>
        <v>1</v>
      </c>
      <c r="R39" s="715">
        <f t="shared" ca="1" si="21"/>
        <v>37822</v>
      </c>
      <c r="S39" s="361">
        <f t="shared" ca="1" si="11"/>
        <v>245</v>
      </c>
      <c r="T39" s="799">
        <f>剩余房源售价清单!I18</f>
        <v>41810</v>
      </c>
      <c r="U39" s="799">
        <f t="shared" ca="1" si="12"/>
        <v>0.90461612054532403</v>
      </c>
    </row>
    <row r="40" spans="1:21">
      <c r="A40" s="2985" t="str">
        <f>清单!D19</f>
        <v>1-21</v>
      </c>
      <c r="B40" s="717">
        <f>清单!G19</f>
        <v>64.81</v>
      </c>
      <c r="C40" s="24">
        <f t="shared" si="13"/>
        <v>1.04</v>
      </c>
      <c r="D40" s="719" t="s">
        <v>3933</v>
      </c>
      <c r="E40" s="24">
        <f t="shared" si="14"/>
        <v>0.91</v>
      </c>
      <c r="F40" s="719" t="s">
        <v>3933</v>
      </c>
      <c r="G40" s="24">
        <f t="shared" si="15"/>
        <v>0.94</v>
      </c>
      <c r="H40" s="719" t="s">
        <v>3316</v>
      </c>
      <c r="I40" s="24">
        <f t="shared" si="16"/>
        <v>1</v>
      </c>
      <c r="J40" s="719"/>
      <c r="K40" s="24">
        <f t="shared" si="17"/>
        <v>1</v>
      </c>
      <c r="L40" s="719"/>
      <c r="M40" s="24">
        <f t="shared" si="18"/>
        <v>1</v>
      </c>
      <c r="N40" s="719"/>
      <c r="O40" s="24">
        <f t="shared" si="19"/>
        <v>1</v>
      </c>
      <c r="P40" s="719" t="s">
        <v>3862</v>
      </c>
      <c r="Q40" s="24">
        <f t="shared" si="20"/>
        <v>1</v>
      </c>
      <c r="R40" s="715">
        <f t="shared" ca="1" si="21"/>
        <v>37822</v>
      </c>
      <c r="S40" s="361">
        <f t="shared" ca="1" si="11"/>
        <v>245</v>
      </c>
      <c r="T40" s="799">
        <f>剩余房源售价清单!I19</f>
        <v>40489</v>
      </c>
      <c r="U40" s="799">
        <f t="shared" ca="1" si="12"/>
        <v>0.93413025760082991</v>
      </c>
    </row>
    <row r="41" spans="1:21">
      <c r="A41" s="2985" t="str">
        <f>清单!D20</f>
        <v>1-22</v>
      </c>
      <c r="B41" s="717">
        <f>清单!G20</f>
        <v>64.87</v>
      </c>
      <c r="C41" s="24">
        <f t="shared" si="13"/>
        <v>1.04</v>
      </c>
      <c r="D41" s="719" t="s">
        <v>3933</v>
      </c>
      <c r="E41" s="24">
        <f t="shared" si="14"/>
        <v>0.91</v>
      </c>
      <c r="F41" s="719" t="s">
        <v>3933</v>
      </c>
      <c r="G41" s="24">
        <f t="shared" si="15"/>
        <v>0.94</v>
      </c>
      <c r="H41" s="719" t="s">
        <v>3316</v>
      </c>
      <c r="I41" s="24">
        <f t="shared" si="16"/>
        <v>1</v>
      </c>
      <c r="J41" s="719"/>
      <c r="K41" s="24">
        <f t="shared" si="17"/>
        <v>1</v>
      </c>
      <c r="L41" s="719"/>
      <c r="M41" s="24">
        <f t="shared" si="18"/>
        <v>1</v>
      </c>
      <c r="N41" s="719"/>
      <c r="O41" s="24">
        <f t="shared" si="19"/>
        <v>1</v>
      </c>
      <c r="P41" s="719" t="s">
        <v>3862</v>
      </c>
      <c r="Q41" s="24">
        <f t="shared" si="20"/>
        <v>1</v>
      </c>
      <c r="R41" s="715">
        <f t="shared" ca="1" si="21"/>
        <v>37822</v>
      </c>
      <c r="S41" s="361">
        <f t="shared" ca="1" si="11"/>
        <v>245</v>
      </c>
      <c r="T41" s="799">
        <f>剩余房源售价清单!I20</f>
        <v>41370</v>
      </c>
      <c r="U41" s="799">
        <f t="shared" ca="1" si="12"/>
        <v>0.91423737007493355</v>
      </c>
    </row>
    <row r="42" spans="1:21">
      <c r="A42" s="2985" t="str">
        <f>清单!D21</f>
        <v>1-23</v>
      </c>
      <c r="B42" s="717">
        <f>清单!G21</f>
        <v>65.86</v>
      </c>
      <c r="C42" s="24">
        <f t="shared" si="13"/>
        <v>1.04</v>
      </c>
      <c r="D42" s="719" t="s">
        <v>3933</v>
      </c>
      <c r="E42" s="24">
        <f t="shared" si="14"/>
        <v>0.91</v>
      </c>
      <c r="F42" s="719" t="s">
        <v>3933</v>
      </c>
      <c r="G42" s="24">
        <f t="shared" si="15"/>
        <v>0.94</v>
      </c>
      <c r="H42" s="719" t="s">
        <v>3316</v>
      </c>
      <c r="I42" s="24">
        <f t="shared" si="16"/>
        <v>1</v>
      </c>
      <c r="J42" s="719"/>
      <c r="K42" s="24">
        <f t="shared" si="17"/>
        <v>1</v>
      </c>
      <c r="L42" s="719"/>
      <c r="M42" s="24">
        <f t="shared" si="18"/>
        <v>1</v>
      </c>
      <c r="N42" s="719"/>
      <c r="O42" s="24">
        <f t="shared" si="19"/>
        <v>1</v>
      </c>
      <c r="P42" s="719" t="s">
        <v>3862</v>
      </c>
      <c r="Q42" s="24">
        <f t="shared" si="20"/>
        <v>1</v>
      </c>
      <c r="R42" s="715">
        <f t="shared" ca="1" si="21"/>
        <v>37822</v>
      </c>
      <c r="S42" s="361">
        <f t="shared" ca="1" si="11"/>
        <v>249</v>
      </c>
      <c r="T42" s="799">
        <f>剩余房源售价清单!I21</f>
        <v>43131</v>
      </c>
      <c r="U42" s="799">
        <f t="shared" ca="1" si="12"/>
        <v>0.87690987920521202</v>
      </c>
    </row>
    <row r="43" spans="1:21">
      <c r="A43" s="2985" t="str">
        <f>清单!D22</f>
        <v>1-24</v>
      </c>
      <c r="B43" s="717">
        <f>清单!G22</f>
        <v>64.87</v>
      </c>
      <c r="C43" s="24">
        <f t="shared" si="13"/>
        <v>1.04</v>
      </c>
      <c r="D43" s="719" t="s">
        <v>3933</v>
      </c>
      <c r="E43" s="24">
        <f t="shared" si="14"/>
        <v>0.91</v>
      </c>
      <c r="F43" s="719" t="s">
        <v>3933</v>
      </c>
      <c r="G43" s="24">
        <f t="shared" si="15"/>
        <v>0.94</v>
      </c>
      <c r="H43" s="719" t="s">
        <v>3316</v>
      </c>
      <c r="I43" s="24">
        <f t="shared" si="16"/>
        <v>1</v>
      </c>
      <c r="J43" s="719"/>
      <c r="K43" s="24">
        <f t="shared" si="17"/>
        <v>1</v>
      </c>
      <c r="L43" s="719"/>
      <c r="M43" s="24">
        <f t="shared" si="18"/>
        <v>1</v>
      </c>
      <c r="N43" s="719"/>
      <c r="O43" s="24">
        <f t="shared" si="19"/>
        <v>1</v>
      </c>
      <c r="P43" s="719" t="s">
        <v>3862</v>
      </c>
      <c r="Q43" s="24">
        <f t="shared" si="20"/>
        <v>1</v>
      </c>
      <c r="R43" s="715">
        <f t="shared" ca="1" si="21"/>
        <v>37822</v>
      </c>
      <c r="S43" s="361">
        <f t="shared" ca="1" si="11"/>
        <v>245</v>
      </c>
      <c r="T43" s="799">
        <f>剩余房源售价清单!I22</f>
        <v>42250</v>
      </c>
      <c r="U43" s="799">
        <f t="shared" ca="1" si="12"/>
        <v>0.89519526627218937</v>
      </c>
    </row>
    <row r="44" spans="1:21">
      <c r="A44" s="2985" t="str">
        <f>清单!D23</f>
        <v>1-25</v>
      </c>
      <c r="B44" s="717">
        <f>清单!G23</f>
        <v>64.87</v>
      </c>
      <c r="C44" s="24">
        <f t="shared" si="13"/>
        <v>1.04</v>
      </c>
      <c r="D44" s="719" t="s">
        <v>3933</v>
      </c>
      <c r="E44" s="24">
        <f t="shared" si="14"/>
        <v>0.91</v>
      </c>
      <c r="F44" s="719" t="s">
        <v>3933</v>
      </c>
      <c r="G44" s="24">
        <f t="shared" si="15"/>
        <v>0.94</v>
      </c>
      <c r="H44" s="719" t="s">
        <v>3316</v>
      </c>
      <c r="I44" s="24">
        <f t="shared" si="16"/>
        <v>1</v>
      </c>
      <c r="J44" s="719"/>
      <c r="K44" s="24">
        <f t="shared" si="17"/>
        <v>1</v>
      </c>
      <c r="L44" s="719"/>
      <c r="M44" s="24">
        <f t="shared" si="18"/>
        <v>1</v>
      </c>
      <c r="N44" s="719"/>
      <c r="O44" s="24">
        <f t="shared" si="19"/>
        <v>1</v>
      </c>
      <c r="P44" s="719" t="s">
        <v>3862</v>
      </c>
      <c r="Q44" s="24">
        <f t="shared" si="20"/>
        <v>1</v>
      </c>
      <c r="R44" s="715">
        <f t="shared" ca="1" si="21"/>
        <v>37822</v>
      </c>
      <c r="S44" s="361">
        <f t="shared" ca="1" si="11"/>
        <v>245</v>
      </c>
      <c r="T44" s="799">
        <f>剩余房源售价清单!I23</f>
        <v>42690</v>
      </c>
      <c r="U44" s="799">
        <f t="shared" ca="1" si="12"/>
        <v>0.8859686109159054</v>
      </c>
    </row>
    <row r="45" spans="1:21">
      <c r="A45" s="2985" t="str">
        <f>清单!D24</f>
        <v>1-26</v>
      </c>
      <c r="B45" s="717">
        <f>清单!G24</f>
        <v>64.81</v>
      </c>
      <c r="C45" s="24">
        <f t="shared" si="13"/>
        <v>1.04</v>
      </c>
      <c r="D45" s="719" t="s">
        <v>3933</v>
      </c>
      <c r="E45" s="24">
        <f t="shared" si="14"/>
        <v>0.91</v>
      </c>
      <c r="F45" s="719" t="s">
        <v>3933</v>
      </c>
      <c r="G45" s="24">
        <f t="shared" si="15"/>
        <v>0.94</v>
      </c>
      <c r="H45" s="719" t="s">
        <v>3316</v>
      </c>
      <c r="I45" s="24">
        <f t="shared" si="16"/>
        <v>1</v>
      </c>
      <c r="J45" s="719"/>
      <c r="K45" s="24">
        <f t="shared" si="17"/>
        <v>1</v>
      </c>
      <c r="L45" s="719"/>
      <c r="M45" s="24">
        <f t="shared" si="18"/>
        <v>1</v>
      </c>
      <c r="N45" s="719"/>
      <c r="O45" s="24">
        <f t="shared" si="19"/>
        <v>1</v>
      </c>
      <c r="P45" s="719" t="s">
        <v>3862</v>
      </c>
      <c r="Q45" s="24">
        <f t="shared" si="20"/>
        <v>1</v>
      </c>
      <c r="R45" s="715">
        <f t="shared" ca="1" si="21"/>
        <v>37822</v>
      </c>
      <c r="S45" s="361">
        <f t="shared" ca="1" si="11"/>
        <v>245</v>
      </c>
      <c r="T45" s="799">
        <f>剩余房源售价清单!I24</f>
        <v>42250</v>
      </c>
      <c r="U45" s="799">
        <f t="shared" ca="1" si="12"/>
        <v>0.89519526627218937</v>
      </c>
    </row>
    <row r="46" spans="1:21">
      <c r="A46" s="2985" t="str">
        <f>清单!D25</f>
        <v>1-27</v>
      </c>
      <c r="B46" s="717">
        <f>清单!G25</f>
        <v>65.900000000000006</v>
      </c>
      <c r="C46" s="24">
        <f t="shared" si="13"/>
        <v>1.04</v>
      </c>
      <c r="D46" s="719" t="s">
        <v>3933</v>
      </c>
      <c r="E46" s="24">
        <f t="shared" si="14"/>
        <v>0.91</v>
      </c>
      <c r="F46" s="719" t="s">
        <v>3933</v>
      </c>
      <c r="G46" s="24">
        <f t="shared" si="15"/>
        <v>0.94</v>
      </c>
      <c r="H46" s="719" t="s">
        <v>3316</v>
      </c>
      <c r="I46" s="24">
        <f t="shared" si="16"/>
        <v>1</v>
      </c>
      <c r="J46" s="719"/>
      <c r="K46" s="24">
        <f t="shared" si="17"/>
        <v>1</v>
      </c>
      <c r="L46" s="719"/>
      <c r="M46" s="24">
        <f t="shared" si="18"/>
        <v>1</v>
      </c>
      <c r="N46" s="719"/>
      <c r="O46" s="24">
        <f t="shared" si="19"/>
        <v>1</v>
      </c>
      <c r="P46" s="719" t="s">
        <v>3862</v>
      </c>
      <c r="Q46" s="24">
        <f t="shared" si="20"/>
        <v>1</v>
      </c>
      <c r="R46" s="715">
        <f t="shared" ca="1" si="21"/>
        <v>37822</v>
      </c>
      <c r="S46" s="361">
        <f t="shared" ca="1" si="11"/>
        <v>249</v>
      </c>
      <c r="T46" s="799">
        <f>剩余房源售价清单!I25</f>
        <v>44011</v>
      </c>
      <c r="U46" s="799">
        <f t="shared" ca="1" si="12"/>
        <v>0.85937606507464048</v>
      </c>
    </row>
    <row r="47" spans="1:21">
      <c r="A47" s="2985" t="str">
        <f>清单!D26</f>
        <v>1-28</v>
      </c>
      <c r="B47" s="717">
        <f>清单!G26</f>
        <v>95.26</v>
      </c>
      <c r="C47" s="24">
        <f t="shared" si="13"/>
        <v>1.02</v>
      </c>
      <c r="D47" s="719" t="s">
        <v>3844</v>
      </c>
      <c r="E47" s="24">
        <f t="shared" si="14"/>
        <v>0.97</v>
      </c>
      <c r="F47" s="719" t="s">
        <v>3935</v>
      </c>
      <c r="G47" s="24">
        <f t="shared" si="15"/>
        <v>0.91</v>
      </c>
      <c r="H47" s="719" t="s">
        <v>3316</v>
      </c>
      <c r="I47" s="24">
        <f t="shared" si="16"/>
        <v>1</v>
      </c>
      <c r="J47" s="719"/>
      <c r="K47" s="24">
        <f t="shared" si="17"/>
        <v>1</v>
      </c>
      <c r="L47" s="719"/>
      <c r="M47" s="24">
        <f t="shared" si="18"/>
        <v>1</v>
      </c>
      <c r="N47" s="719"/>
      <c r="O47" s="24">
        <f t="shared" si="19"/>
        <v>1</v>
      </c>
      <c r="P47" s="719" t="s">
        <v>3862</v>
      </c>
      <c r="Q47" s="24">
        <f t="shared" si="20"/>
        <v>1</v>
      </c>
      <c r="R47" s="715">
        <f t="shared" ca="1" si="21"/>
        <v>38279</v>
      </c>
      <c r="S47" s="361">
        <f t="shared" ca="1" si="11"/>
        <v>365</v>
      </c>
      <c r="T47" s="799">
        <f>剩余房源售价清单!I26</f>
        <v>46212</v>
      </c>
      <c r="U47" s="799">
        <f t="shared" ca="1" si="12"/>
        <v>0.82833463169739463</v>
      </c>
    </row>
    <row r="48" spans="1:21">
      <c r="A48" s="2985" t="str">
        <f>清单!D27</f>
        <v>1-29</v>
      </c>
      <c r="B48" s="717">
        <f>清单!G27</f>
        <v>24.68</v>
      </c>
      <c r="C48" s="24">
        <f t="shared" si="13"/>
        <v>1.1200000000000001</v>
      </c>
      <c r="D48" s="719" t="s">
        <v>3843</v>
      </c>
      <c r="E48" s="24">
        <f t="shared" si="14"/>
        <v>0.94</v>
      </c>
      <c r="F48" s="719" t="s">
        <v>3844</v>
      </c>
      <c r="G48" s="24">
        <f t="shared" si="15"/>
        <v>1</v>
      </c>
      <c r="H48" s="719" t="s">
        <v>3316</v>
      </c>
      <c r="I48" s="24">
        <f t="shared" si="16"/>
        <v>1</v>
      </c>
      <c r="J48" s="719"/>
      <c r="K48" s="24">
        <f t="shared" si="17"/>
        <v>1</v>
      </c>
      <c r="L48" s="719"/>
      <c r="M48" s="24">
        <f t="shared" si="18"/>
        <v>1</v>
      </c>
      <c r="N48" s="719"/>
      <c r="O48" s="24">
        <f t="shared" si="19"/>
        <v>1</v>
      </c>
      <c r="P48" s="719" t="s">
        <v>3862</v>
      </c>
      <c r="Q48" s="24">
        <f t="shared" si="20"/>
        <v>1</v>
      </c>
      <c r="R48" s="715">
        <f t="shared" ca="1" si="21"/>
        <v>44760</v>
      </c>
      <c r="S48" s="361">
        <f t="shared" ca="1" si="11"/>
        <v>110</v>
      </c>
      <c r="T48" s="799">
        <f>剩余房源售价清单!I27</f>
        <v>54137</v>
      </c>
      <c r="U48" s="799">
        <f t="shared" ca="1" si="12"/>
        <v>0.8267912887673865</v>
      </c>
    </row>
    <row r="49" spans="1:21">
      <c r="A49" s="2985" t="str">
        <f>清单!D28</f>
        <v>1-30</v>
      </c>
      <c r="B49" s="717">
        <f>清单!G28</f>
        <v>38.4</v>
      </c>
      <c r="C49" s="24">
        <f t="shared" si="13"/>
        <v>1.1000000000000001</v>
      </c>
      <c r="D49" s="719" t="s">
        <v>3843</v>
      </c>
      <c r="E49" s="24">
        <f t="shared" si="14"/>
        <v>0.94</v>
      </c>
      <c r="F49" s="719" t="s">
        <v>3933</v>
      </c>
      <c r="G49" s="24">
        <f t="shared" si="15"/>
        <v>0.94</v>
      </c>
      <c r="H49" s="719" t="s">
        <v>3316</v>
      </c>
      <c r="I49" s="24">
        <f t="shared" si="16"/>
        <v>1</v>
      </c>
      <c r="J49" s="719"/>
      <c r="K49" s="24">
        <f t="shared" si="17"/>
        <v>1</v>
      </c>
      <c r="L49" s="719"/>
      <c r="M49" s="24">
        <f t="shared" si="18"/>
        <v>1</v>
      </c>
      <c r="N49" s="719"/>
      <c r="O49" s="24">
        <f t="shared" si="19"/>
        <v>1</v>
      </c>
      <c r="P49" s="719" t="s">
        <v>3862</v>
      </c>
      <c r="Q49" s="24">
        <f t="shared" si="20"/>
        <v>1</v>
      </c>
      <c r="R49" s="715">
        <f t="shared" ca="1" si="21"/>
        <v>41323</v>
      </c>
      <c r="S49" s="361">
        <f t="shared" ca="1" si="11"/>
        <v>159</v>
      </c>
      <c r="T49" s="799">
        <f>剩余房源售价清单!I28</f>
        <v>49294</v>
      </c>
      <c r="U49" s="799">
        <f t="shared" ca="1" si="12"/>
        <v>0.83829675011157545</v>
      </c>
    </row>
    <row r="50" spans="1:21">
      <c r="A50" s="2985" t="str">
        <f>清单!D29</f>
        <v>1-33</v>
      </c>
      <c r="B50" s="717">
        <f>清单!G29</f>
        <v>93.74</v>
      </c>
      <c r="C50" s="24">
        <f t="shared" si="13"/>
        <v>1.02</v>
      </c>
      <c r="D50" s="719" t="s">
        <v>3908</v>
      </c>
      <c r="E50" s="24">
        <f t="shared" si="14"/>
        <v>1</v>
      </c>
      <c r="F50" s="719" t="s">
        <v>3908</v>
      </c>
      <c r="G50" s="24">
        <f t="shared" si="15"/>
        <v>1.03</v>
      </c>
      <c r="H50" s="719" t="s">
        <v>3316</v>
      </c>
      <c r="I50" s="24">
        <f t="shared" si="16"/>
        <v>1</v>
      </c>
      <c r="J50" s="719"/>
      <c r="K50" s="24">
        <f t="shared" si="17"/>
        <v>1</v>
      </c>
      <c r="L50" s="719"/>
      <c r="M50" s="24">
        <f t="shared" si="18"/>
        <v>1</v>
      </c>
      <c r="N50" s="719"/>
      <c r="O50" s="24">
        <f t="shared" si="19"/>
        <v>1</v>
      </c>
      <c r="P50" s="719" t="s">
        <v>3862</v>
      </c>
      <c r="Q50" s="24">
        <f t="shared" si="20"/>
        <v>1</v>
      </c>
      <c r="R50" s="715">
        <f t="shared" ca="1" si="21"/>
        <v>44666</v>
      </c>
      <c r="S50" s="361">
        <f t="shared" ca="1" si="11"/>
        <v>419</v>
      </c>
      <c r="T50" s="799">
        <f>剩余房源售价清单!I31</f>
        <v>59945</v>
      </c>
      <c r="U50" s="799">
        <f t="shared" ca="1" si="12"/>
        <v>0.74511635666027187</v>
      </c>
    </row>
    <row r="51" spans="1:21">
      <c r="A51" s="2985" t="str">
        <f>清单!D30</f>
        <v>1-34</v>
      </c>
      <c r="B51" s="717">
        <f>清单!G30</f>
        <v>44.99</v>
      </c>
      <c r="C51" s="24">
        <f t="shared" si="13"/>
        <v>1.08</v>
      </c>
      <c r="D51" s="719" t="s">
        <v>3908</v>
      </c>
      <c r="E51" s="24">
        <f t="shared" si="14"/>
        <v>1</v>
      </c>
      <c r="F51" s="719" t="s">
        <v>3843</v>
      </c>
      <c r="G51" s="24">
        <f t="shared" si="15"/>
        <v>0.97</v>
      </c>
      <c r="H51" s="719" t="s">
        <v>3316</v>
      </c>
      <c r="I51" s="24">
        <f t="shared" si="16"/>
        <v>1</v>
      </c>
      <c r="J51" s="719"/>
      <c r="K51" s="24">
        <f t="shared" si="17"/>
        <v>1</v>
      </c>
      <c r="L51" s="719"/>
      <c r="M51" s="24">
        <f t="shared" si="18"/>
        <v>1</v>
      </c>
      <c r="N51" s="719"/>
      <c r="O51" s="24">
        <f t="shared" si="19"/>
        <v>1</v>
      </c>
      <c r="P51" s="719" t="s">
        <v>3862</v>
      </c>
      <c r="Q51" s="24">
        <f t="shared" si="20"/>
        <v>1</v>
      </c>
      <c r="R51" s="715">
        <f t="shared" ca="1" si="21"/>
        <v>44539</v>
      </c>
      <c r="S51" s="361">
        <f t="shared" ca="1" si="11"/>
        <v>200</v>
      </c>
      <c r="T51" s="799">
        <f>剩余房源售价清单!I32</f>
        <v>54600</v>
      </c>
      <c r="U51" s="799">
        <f t="shared" ca="1" si="12"/>
        <v>0.81573260073260079</v>
      </c>
    </row>
    <row r="52" spans="1:21">
      <c r="A52" s="2985" t="str">
        <f>清单!D31</f>
        <v>1-35</v>
      </c>
      <c r="B52" s="717">
        <f>清单!G31</f>
        <v>42.22</v>
      </c>
      <c r="C52" s="24">
        <f t="shared" si="13"/>
        <v>1.08</v>
      </c>
      <c r="D52" s="719" t="s">
        <v>3908</v>
      </c>
      <c r="E52" s="24">
        <f t="shared" si="14"/>
        <v>1</v>
      </c>
      <c r="F52" s="719" t="s">
        <v>3844</v>
      </c>
      <c r="G52" s="24">
        <f t="shared" si="15"/>
        <v>1</v>
      </c>
      <c r="H52" s="719" t="s">
        <v>3316</v>
      </c>
      <c r="I52" s="24">
        <f t="shared" si="16"/>
        <v>1</v>
      </c>
      <c r="J52" s="719"/>
      <c r="K52" s="24">
        <f t="shared" si="17"/>
        <v>1</v>
      </c>
      <c r="L52" s="719"/>
      <c r="M52" s="24">
        <f t="shared" si="18"/>
        <v>1</v>
      </c>
      <c r="N52" s="719"/>
      <c r="O52" s="24">
        <f t="shared" si="19"/>
        <v>1</v>
      </c>
      <c r="P52" s="719" t="s">
        <v>3862</v>
      </c>
      <c r="Q52" s="24">
        <f t="shared" si="20"/>
        <v>1</v>
      </c>
      <c r="R52" s="715">
        <f t="shared" ca="1" si="21"/>
        <v>45916</v>
      </c>
      <c r="S52" s="361">
        <f t="shared" ca="1" si="11"/>
        <v>194</v>
      </c>
      <c r="T52" s="799">
        <f>剩余房源售价清单!I33</f>
        <v>56338</v>
      </c>
      <c r="U52" s="799">
        <f t="shared" ca="1" si="12"/>
        <v>0.81500940750470374</v>
      </c>
    </row>
    <row r="53" spans="1:21">
      <c r="A53" s="2985" t="str">
        <f>清单!D32</f>
        <v>1-36</v>
      </c>
      <c r="B53" s="717">
        <f>清单!G32</f>
        <v>67.77</v>
      </c>
      <c r="C53" s="24">
        <f t="shared" si="13"/>
        <v>1.04</v>
      </c>
      <c r="D53" s="719" t="s">
        <v>3908</v>
      </c>
      <c r="E53" s="24">
        <f t="shared" si="14"/>
        <v>1</v>
      </c>
      <c r="F53" s="719" t="s">
        <v>3933</v>
      </c>
      <c r="G53" s="24">
        <f t="shared" si="15"/>
        <v>0.94</v>
      </c>
      <c r="H53" s="719" t="s">
        <v>3316</v>
      </c>
      <c r="I53" s="24">
        <f t="shared" si="16"/>
        <v>1</v>
      </c>
      <c r="J53" s="719"/>
      <c r="K53" s="24">
        <f t="shared" si="17"/>
        <v>1</v>
      </c>
      <c r="L53" s="719"/>
      <c r="M53" s="24">
        <f t="shared" si="18"/>
        <v>1</v>
      </c>
      <c r="N53" s="719"/>
      <c r="O53" s="24">
        <f t="shared" si="19"/>
        <v>1</v>
      </c>
      <c r="P53" s="719" t="s">
        <v>3862</v>
      </c>
      <c r="Q53" s="24">
        <f t="shared" si="20"/>
        <v>1</v>
      </c>
      <c r="R53" s="715">
        <f t="shared" ca="1" si="21"/>
        <v>41563</v>
      </c>
      <c r="S53" s="361">
        <f t="shared" ca="1" si="11"/>
        <v>282</v>
      </c>
      <c r="T53" s="799">
        <f>剩余房源售价清单!I34</f>
        <v>56543</v>
      </c>
      <c r="U53" s="799">
        <f t="shared" ca="1" si="12"/>
        <v>0.73506888562686801</v>
      </c>
    </row>
    <row r="54" spans="1:21">
      <c r="A54" s="2985" t="str">
        <f>清单!D33</f>
        <v>1-37</v>
      </c>
      <c r="B54" s="717">
        <f>清单!G33</f>
        <v>29.05</v>
      </c>
      <c r="C54" s="24">
        <f t="shared" si="13"/>
        <v>1.1200000000000001</v>
      </c>
      <c r="D54" s="719" t="s">
        <v>3844</v>
      </c>
      <c r="E54" s="24">
        <f t="shared" si="14"/>
        <v>0.97</v>
      </c>
      <c r="F54" s="719" t="s">
        <v>3843</v>
      </c>
      <c r="G54" s="24">
        <f t="shared" si="15"/>
        <v>0.97</v>
      </c>
      <c r="H54" s="719" t="s">
        <v>3316</v>
      </c>
      <c r="I54" s="24">
        <f t="shared" si="16"/>
        <v>1</v>
      </c>
      <c r="J54" s="719"/>
      <c r="K54" s="24">
        <f t="shared" si="17"/>
        <v>1</v>
      </c>
      <c r="L54" s="719"/>
      <c r="M54" s="24">
        <f t="shared" si="18"/>
        <v>1</v>
      </c>
      <c r="N54" s="719"/>
      <c r="O54" s="24">
        <f t="shared" si="19"/>
        <v>1</v>
      </c>
      <c r="P54" s="719" t="s">
        <v>3862</v>
      </c>
      <c r="Q54" s="24">
        <f t="shared" si="20"/>
        <v>1</v>
      </c>
      <c r="R54" s="715">
        <f t="shared" ca="1" si="21"/>
        <v>44803</v>
      </c>
      <c r="S54" s="361">
        <f t="shared" ca="1" si="11"/>
        <v>130</v>
      </c>
      <c r="T54" s="799">
        <f>剩余房源售价清单!I35</f>
        <v>54137</v>
      </c>
      <c r="U54" s="799">
        <f t="shared" ca="1" si="12"/>
        <v>0.82758556994292254</v>
      </c>
    </row>
    <row r="55" spans="1:21">
      <c r="A55" s="2985" t="str">
        <f>清单!D34</f>
        <v>1-38</v>
      </c>
      <c r="B55" s="717">
        <f>清单!G34</f>
        <v>16.77</v>
      </c>
      <c r="C55" s="24">
        <f t="shared" si="13"/>
        <v>1.1399999999999999</v>
      </c>
      <c r="D55" s="719" t="s">
        <v>3844</v>
      </c>
      <c r="E55" s="24">
        <f t="shared" si="14"/>
        <v>0.97</v>
      </c>
      <c r="F55" s="719" t="s">
        <v>3843</v>
      </c>
      <c r="G55" s="24">
        <f t="shared" si="15"/>
        <v>0.97</v>
      </c>
      <c r="H55" s="719" t="s">
        <v>3316</v>
      </c>
      <c r="I55" s="24">
        <f t="shared" si="16"/>
        <v>1</v>
      </c>
      <c r="J55" s="719"/>
      <c r="K55" s="24">
        <f t="shared" si="17"/>
        <v>1</v>
      </c>
      <c r="L55" s="719"/>
      <c r="M55" s="24">
        <f t="shared" si="18"/>
        <v>1</v>
      </c>
      <c r="N55" s="719"/>
      <c r="O55" s="24">
        <f t="shared" si="19"/>
        <v>1</v>
      </c>
      <c r="P55" s="719" t="s">
        <v>3862</v>
      </c>
      <c r="Q55" s="24">
        <f t="shared" si="20"/>
        <v>1</v>
      </c>
      <c r="R55" s="715">
        <f t="shared" ca="1" si="21"/>
        <v>45603</v>
      </c>
      <c r="S55" s="361">
        <f t="shared" ref="S55:S77" ca="1" si="22">ROUND(R55*B55/10000,0)</f>
        <v>76</v>
      </c>
      <c r="T55" s="799">
        <f>剩余房源售价清单!I36</f>
        <v>60300</v>
      </c>
      <c r="U55" s="799">
        <f t="shared" ca="1" si="12"/>
        <v>0.75626865671641796</v>
      </c>
    </row>
    <row r="56" spans="1:21">
      <c r="A56" s="2985" t="str">
        <f>清单!D35</f>
        <v>1-39</v>
      </c>
      <c r="B56" s="717">
        <f>清单!G35</f>
        <v>63.9</v>
      </c>
      <c r="C56" s="24">
        <f t="shared" si="13"/>
        <v>1.04</v>
      </c>
      <c r="D56" s="719" t="s">
        <v>3844</v>
      </c>
      <c r="E56" s="24">
        <f t="shared" si="14"/>
        <v>0.97</v>
      </c>
      <c r="F56" s="719" t="s">
        <v>3933</v>
      </c>
      <c r="G56" s="24">
        <f t="shared" si="15"/>
        <v>0.94</v>
      </c>
      <c r="H56" s="719" t="s">
        <v>3316</v>
      </c>
      <c r="I56" s="24">
        <f t="shared" si="16"/>
        <v>1</v>
      </c>
      <c r="J56" s="719"/>
      <c r="K56" s="24">
        <f t="shared" si="17"/>
        <v>1</v>
      </c>
      <c r="L56" s="719"/>
      <c r="M56" s="24">
        <f t="shared" si="18"/>
        <v>1</v>
      </c>
      <c r="N56" s="719"/>
      <c r="O56" s="24">
        <f t="shared" si="19"/>
        <v>1</v>
      </c>
      <c r="P56" s="719" t="s">
        <v>3862</v>
      </c>
      <c r="Q56" s="24">
        <f t="shared" si="20"/>
        <v>1</v>
      </c>
      <c r="R56" s="715">
        <f t="shared" ca="1" si="21"/>
        <v>40316</v>
      </c>
      <c r="S56" s="361">
        <f t="shared" ca="1" si="22"/>
        <v>258</v>
      </c>
      <c r="T56" s="799">
        <f>剩余房源售价清单!I37</f>
        <v>47310</v>
      </c>
      <c r="U56" s="799">
        <f t="shared" ca="1" si="12"/>
        <v>0.85216656098076515</v>
      </c>
    </row>
    <row r="57" spans="1:21">
      <c r="A57" s="2985" t="str">
        <f>清单!D36</f>
        <v>1-40</v>
      </c>
      <c r="B57" s="717">
        <f>清单!G36</f>
        <v>36.72</v>
      </c>
      <c r="C57" s="24">
        <f t="shared" si="13"/>
        <v>1.1000000000000001</v>
      </c>
      <c r="D57" s="719" t="s">
        <v>3843</v>
      </c>
      <c r="E57" s="24">
        <f t="shared" si="14"/>
        <v>0.94</v>
      </c>
      <c r="F57" s="719" t="s">
        <v>3843</v>
      </c>
      <c r="G57" s="24">
        <f t="shared" si="15"/>
        <v>0.97</v>
      </c>
      <c r="H57" s="719" t="s">
        <v>3316</v>
      </c>
      <c r="I57" s="24">
        <f t="shared" si="16"/>
        <v>1</v>
      </c>
      <c r="J57" s="719"/>
      <c r="K57" s="24">
        <f t="shared" si="17"/>
        <v>1</v>
      </c>
      <c r="L57" s="719"/>
      <c r="M57" s="24">
        <f t="shared" si="18"/>
        <v>1</v>
      </c>
      <c r="N57" s="719"/>
      <c r="O57" s="24">
        <f t="shared" si="19"/>
        <v>1</v>
      </c>
      <c r="P57" s="719" t="s">
        <v>3862</v>
      </c>
      <c r="Q57" s="24">
        <f t="shared" si="20"/>
        <v>1</v>
      </c>
      <c r="R57" s="715">
        <f t="shared" ca="1" si="21"/>
        <v>42642</v>
      </c>
      <c r="S57" s="361">
        <f t="shared" ca="1" si="22"/>
        <v>157</v>
      </c>
      <c r="T57" s="799">
        <f>剩余房源售价清单!I38</f>
        <v>45332</v>
      </c>
      <c r="U57" s="799">
        <f t="shared" ca="1" si="12"/>
        <v>0.94066001941233568</v>
      </c>
    </row>
    <row r="58" spans="1:21">
      <c r="A58" s="2985" t="str">
        <f>清单!D37</f>
        <v>1-41</v>
      </c>
      <c r="B58" s="717">
        <f>清单!G37</f>
        <v>75.8</v>
      </c>
      <c r="C58" s="24">
        <f t="shared" si="13"/>
        <v>1.04</v>
      </c>
      <c r="D58" s="719" t="s">
        <v>3844</v>
      </c>
      <c r="E58" s="24">
        <f t="shared" si="14"/>
        <v>0.97</v>
      </c>
      <c r="F58" s="719" t="s">
        <v>3933</v>
      </c>
      <c r="G58" s="24">
        <f t="shared" si="15"/>
        <v>0.94</v>
      </c>
      <c r="H58" s="719" t="s">
        <v>3316</v>
      </c>
      <c r="I58" s="24">
        <f t="shared" si="16"/>
        <v>1</v>
      </c>
      <c r="J58" s="719"/>
      <c r="K58" s="24">
        <f t="shared" si="17"/>
        <v>1</v>
      </c>
      <c r="L58" s="719"/>
      <c r="M58" s="24">
        <f t="shared" si="18"/>
        <v>1</v>
      </c>
      <c r="N58" s="719"/>
      <c r="O58" s="24">
        <f t="shared" si="19"/>
        <v>1</v>
      </c>
      <c r="P58" s="719" t="s">
        <v>3862</v>
      </c>
      <c r="Q58" s="24">
        <f t="shared" si="20"/>
        <v>1</v>
      </c>
      <c r="R58" s="715">
        <f t="shared" ca="1" si="21"/>
        <v>40316</v>
      </c>
      <c r="S58" s="361">
        <f t="shared" ca="1" si="22"/>
        <v>306</v>
      </c>
      <c r="T58" s="799">
        <f>剩余房源售价清单!I39</f>
        <v>47796</v>
      </c>
      <c r="U58" s="799">
        <f t="shared" ca="1" si="12"/>
        <v>0.84350154824671519</v>
      </c>
    </row>
    <row r="59" spans="1:21">
      <c r="A59" s="2985" t="str">
        <f>清单!D38</f>
        <v>1-43</v>
      </c>
      <c r="B59" s="717">
        <f>清单!G38</f>
        <v>40.96</v>
      </c>
      <c r="C59" s="24">
        <f t="shared" si="13"/>
        <v>1.08</v>
      </c>
      <c r="D59" s="719" t="s">
        <v>3844</v>
      </c>
      <c r="E59" s="24">
        <f t="shared" si="14"/>
        <v>0.97</v>
      </c>
      <c r="F59" s="719" t="s">
        <v>3843</v>
      </c>
      <c r="G59" s="24">
        <f t="shared" si="15"/>
        <v>0.97</v>
      </c>
      <c r="H59" s="719" t="s">
        <v>3316</v>
      </c>
      <c r="I59" s="24">
        <f t="shared" si="16"/>
        <v>1</v>
      </c>
      <c r="J59" s="719"/>
      <c r="K59" s="24">
        <f t="shared" si="17"/>
        <v>1</v>
      </c>
      <c r="L59" s="719"/>
      <c r="M59" s="24">
        <f t="shared" si="18"/>
        <v>1</v>
      </c>
      <c r="N59" s="719"/>
      <c r="O59" s="24">
        <f t="shared" si="19"/>
        <v>1</v>
      </c>
      <c r="P59" s="719" t="s">
        <v>3862</v>
      </c>
      <c r="Q59" s="24">
        <f t="shared" si="20"/>
        <v>1</v>
      </c>
      <c r="R59" s="715">
        <f t="shared" ca="1" si="21"/>
        <v>43203</v>
      </c>
      <c r="S59" s="361">
        <f t="shared" ca="1" si="22"/>
        <v>177</v>
      </c>
      <c r="T59" s="799">
        <f>剩余房源售价清单!I40</f>
        <v>49740</v>
      </c>
      <c r="U59" s="799">
        <f t="shared" ca="1" si="12"/>
        <v>0.86857659831121836</v>
      </c>
    </row>
    <row r="60" spans="1:21">
      <c r="A60" s="2985" t="str">
        <f>清单!D39</f>
        <v>1-44</v>
      </c>
      <c r="B60" s="717">
        <f>清单!G39</f>
        <v>26.86</v>
      </c>
      <c r="C60" s="24">
        <f t="shared" si="13"/>
        <v>1.1200000000000001</v>
      </c>
      <c r="D60" s="719" t="s">
        <v>3844</v>
      </c>
      <c r="E60" s="24">
        <f t="shared" si="14"/>
        <v>0.97</v>
      </c>
      <c r="F60" s="719" t="s">
        <v>3843</v>
      </c>
      <c r="G60" s="24">
        <f t="shared" si="15"/>
        <v>0.97</v>
      </c>
      <c r="H60" s="719" t="s">
        <v>3316</v>
      </c>
      <c r="I60" s="24">
        <f t="shared" si="16"/>
        <v>1</v>
      </c>
      <c r="J60" s="719"/>
      <c r="K60" s="24">
        <f t="shared" si="17"/>
        <v>1</v>
      </c>
      <c r="L60" s="719"/>
      <c r="M60" s="24">
        <f t="shared" si="18"/>
        <v>1</v>
      </c>
      <c r="N60" s="719"/>
      <c r="O60" s="24">
        <f t="shared" si="19"/>
        <v>1</v>
      </c>
      <c r="P60" s="719" t="s">
        <v>3862</v>
      </c>
      <c r="Q60" s="24">
        <f t="shared" si="20"/>
        <v>1</v>
      </c>
      <c r="R60" s="715">
        <f t="shared" ca="1" si="21"/>
        <v>44803</v>
      </c>
      <c r="S60" s="361">
        <f t="shared" ca="1" si="22"/>
        <v>120</v>
      </c>
      <c r="T60" s="799">
        <f>剩余房源售价清单!I41</f>
        <v>53628</v>
      </c>
      <c r="U60" s="799">
        <f t="shared" ca="1" si="12"/>
        <v>0.83544044156037889</v>
      </c>
    </row>
    <row r="61" spans="1:21">
      <c r="A61" s="2985" t="str">
        <f>清单!D40</f>
        <v>1-45</v>
      </c>
      <c r="B61" s="717">
        <f>清单!G40</f>
        <v>41.41</v>
      </c>
      <c r="C61" s="24">
        <f t="shared" si="13"/>
        <v>1.08</v>
      </c>
      <c r="D61" s="719" t="s">
        <v>3933</v>
      </c>
      <c r="E61" s="24">
        <f t="shared" si="14"/>
        <v>0.91</v>
      </c>
      <c r="F61" s="719" t="s">
        <v>3843</v>
      </c>
      <c r="G61" s="24">
        <f t="shared" si="15"/>
        <v>0.97</v>
      </c>
      <c r="H61" s="719" t="s">
        <v>3316</v>
      </c>
      <c r="I61" s="24">
        <f t="shared" si="16"/>
        <v>1</v>
      </c>
      <c r="J61" s="719"/>
      <c r="K61" s="24">
        <f t="shared" si="17"/>
        <v>1</v>
      </c>
      <c r="L61" s="719"/>
      <c r="M61" s="24">
        <f t="shared" si="18"/>
        <v>1</v>
      </c>
      <c r="N61" s="719"/>
      <c r="O61" s="24">
        <f t="shared" si="19"/>
        <v>1</v>
      </c>
      <c r="P61" s="719" t="s">
        <v>3862</v>
      </c>
      <c r="Q61" s="24">
        <f t="shared" si="20"/>
        <v>1</v>
      </c>
      <c r="R61" s="715">
        <f t="shared" ca="1" si="21"/>
        <v>40530</v>
      </c>
      <c r="S61" s="361">
        <f t="shared" ca="1" si="22"/>
        <v>168</v>
      </c>
      <c r="T61" s="799">
        <f>剩余房源售价清单!I42</f>
        <v>41450</v>
      </c>
      <c r="U61" s="799">
        <f t="shared" ca="1" si="12"/>
        <v>0.97780458383594693</v>
      </c>
    </row>
    <row r="62" spans="1:21">
      <c r="A62" s="2985" t="str">
        <f>清单!D41</f>
        <v>1-46</v>
      </c>
      <c r="B62" s="717">
        <f>清单!G41</f>
        <v>40.770000000000003</v>
      </c>
      <c r="C62" s="24">
        <f t="shared" si="13"/>
        <v>1.08</v>
      </c>
      <c r="D62" s="719" t="s">
        <v>3933</v>
      </c>
      <c r="E62" s="24">
        <f t="shared" si="14"/>
        <v>0.91</v>
      </c>
      <c r="F62" s="719" t="s">
        <v>3843</v>
      </c>
      <c r="G62" s="24">
        <f t="shared" si="15"/>
        <v>0.97</v>
      </c>
      <c r="H62" s="719" t="s">
        <v>3316</v>
      </c>
      <c r="I62" s="24">
        <f t="shared" si="16"/>
        <v>1</v>
      </c>
      <c r="J62" s="719"/>
      <c r="K62" s="24">
        <f t="shared" si="17"/>
        <v>1</v>
      </c>
      <c r="L62" s="719"/>
      <c r="M62" s="24">
        <f t="shared" si="18"/>
        <v>1</v>
      </c>
      <c r="N62" s="719"/>
      <c r="O62" s="24">
        <f t="shared" si="19"/>
        <v>1</v>
      </c>
      <c r="P62" s="719" t="s">
        <v>3862</v>
      </c>
      <c r="Q62" s="24">
        <f t="shared" si="20"/>
        <v>1</v>
      </c>
      <c r="R62" s="715">
        <f t="shared" ca="1" si="21"/>
        <v>40530</v>
      </c>
      <c r="S62" s="361">
        <f t="shared" ca="1" si="22"/>
        <v>165</v>
      </c>
      <c r="T62" s="799">
        <f>剩余房源售价清单!I43</f>
        <v>39803</v>
      </c>
      <c r="U62" s="799">
        <f t="shared" ca="1" si="12"/>
        <v>1.0182649549028968</v>
      </c>
    </row>
    <row r="63" spans="1:21">
      <c r="A63" s="2985" t="str">
        <f>清单!D42</f>
        <v>1-47</v>
      </c>
      <c r="B63" s="717">
        <f>清单!G42</f>
        <v>39.549999999999997</v>
      </c>
      <c r="C63" s="24">
        <f t="shared" si="13"/>
        <v>1.1000000000000001</v>
      </c>
      <c r="D63" s="719" t="s">
        <v>3933</v>
      </c>
      <c r="E63" s="24">
        <f t="shared" si="14"/>
        <v>0.91</v>
      </c>
      <c r="F63" s="719" t="s">
        <v>3843</v>
      </c>
      <c r="G63" s="24">
        <f t="shared" si="15"/>
        <v>0.97</v>
      </c>
      <c r="H63" s="719" t="s">
        <v>3316</v>
      </c>
      <c r="I63" s="24">
        <f t="shared" si="16"/>
        <v>1</v>
      </c>
      <c r="J63" s="719"/>
      <c r="K63" s="24">
        <f t="shared" si="17"/>
        <v>1</v>
      </c>
      <c r="L63" s="719"/>
      <c r="M63" s="24">
        <f t="shared" si="18"/>
        <v>1</v>
      </c>
      <c r="N63" s="719"/>
      <c r="O63" s="24">
        <f t="shared" si="19"/>
        <v>1</v>
      </c>
      <c r="P63" s="719" t="s">
        <v>3862</v>
      </c>
      <c r="Q63" s="24">
        <f t="shared" si="20"/>
        <v>1</v>
      </c>
      <c r="R63" s="715">
        <f t="shared" ca="1" si="21"/>
        <v>41281</v>
      </c>
      <c r="S63" s="361">
        <f t="shared" ca="1" si="22"/>
        <v>163</v>
      </c>
      <c r="T63" s="799">
        <f>剩余房源售价清单!I44</f>
        <v>40215</v>
      </c>
      <c r="U63" s="799">
        <f t="shared" ca="1" si="12"/>
        <v>1.0265075220688797</v>
      </c>
    </row>
    <row r="64" spans="1:21">
      <c r="A64" s="2985" t="str">
        <f>清单!D43</f>
        <v>1-48</v>
      </c>
      <c r="B64" s="717">
        <f>清单!G43</f>
        <v>24.01</v>
      </c>
      <c r="C64" s="24">
        <f t="shared" si="13"/>
        <v>1.1200000000000001</v>
      </c>
      <c r="D64" s="719" t="s">
        <v>3933</v>
      </c>
      <c r="E64" s="24">
        <f t="shared" si="14"/>
        <v>0.91</v>
      </c>
      <c r="F64" s="719" t="s">
        <v>3843</v>
      </c>
      <c r="G64" s="24">
        <f t="shared" si="15"/>
        <v>0.97</v>
      </c>
      <c r="H64" s="719" t="s">
        <v>3316</v>
      </c>
      <c r="I64" s="24">
        <f t="shared" si="16"/>
        <v>1</v>
      </c>
      <c r="J64" s="719"/>
      <c r="K64" s="24">
        <f t="shared" si="17"/>
        <v>1</v>
      </c>
      <c r="L64" s="719"/>
      <c r="M64" s="24">
        <f t="shared" si="18"/>
        <v>1</v>
      </c>
      <c r="N64" s="719"/>
      <c r="O64" s="24">
        <f t="shared" si="19"/>
        <v>1</v>
      </c>
      <c r="P64" s="719" t="s">
        <v>3862</v>
      </c>
      <c r="Q64" s="24">
        <f t="shared" si="20"/>
        <v>1</v>
      </c>
      <c r="R64" s="715">
        <f t="shared" ca="1" si="21"/>
        <v>42031</v>
      </c>
      <c r="S64" s="361">
        <f t="shared" ca="1" si="22"/>
        <v>101</v>
      </c>
      <c r="T64" s="799">
        <f>剩余房源售价清单!I45</f>
        <v>46390</v>
      </c>
      <c r="U64" s="799">
        <f t="shared" ca="1" si="12"/>
        <v>0.90603578357404613</v>
      </c>
    </row>
    <row r="65" spans="1:21">
      <c r="A65" s="2985" t="str">
        <f>清单!D44</f>
        <v>1-49</v>
      </c>
      <c r="B65" s="717">
        <f>清单!G44</f>
        <v>23.94</v>
      </c>
      <c r="C65" s="24">
        <f t="shared" si="13"/>
        <v>1.1200000000000001</v>
      </c>
      <c r="D65" s="719" t="s">
        <v>3933</v>
      </c>
      <c r="E65" s="24">
        <f t="shared" si="14"/>
        <v>0.91</v>
      </c>
      <c r="F65" s="719" t="s">
        <v>3843</v>
      </c>
      <c r="G65" s="24">
        <f t="shared" si="15"/>
        <v>0.97</v>
      </c>
      <c r="H65" s="719" t="s">
        <v>3316</v>
      </c>
      <c r="I65" s="24">
        <f t="shared" si="16"/>
        <v>1</v>
      </c>
      <c r="J65" s="719"/>
      <c r="K65" s="24">
        <f t="shared" si="17"/>
        <v>1</v>
      </c>
      <c r="L65" s="719"/>
      <c r="M65" s="24">
        <f t="shared" si="18"/>
        <v>1</v>
      </c>
      <c r="N65" s="719"/>
      <c r="O65" s="24">
        <f t="shared" si="19"/>
        <v>1</v>
      </c>
      <c r="P65" s="719" t="s">
        <v>3862</v>
      </c>
      <c r="Q65" s="24">
        <f t="shared" si="20"/>
        <v>1</v>
      </c>
      <c r="R65" s="715">
        <f t="shared" ca="1" si="21"/>
        <v>42031</v>
      </c>
      <c r="S65" s="361">
        <f t="shared" ca="1" si="22"/>
        <v>101</v>
      </c>
      <c r="T65" s="799">
        <f>剩余房源售价清单!I46</f>
        <v>45978</v>
      </c>
      <c r="U65" s="799">
        <f t="shared" ca="1" si="12"/>
        <v>0.91415459567619295</v>
      </c>
    </row>
    <row r="66" spans="1:21">
      <c r="A66" s="2985" t="str">
        <f>清单!D45</f>
        <v>1-51</v>
      </c>
      <c r="B66" s="717">
        <f>清单!G45</f>
        <v>45.95</v>
      </c>
      <c r="C66" s="24">
        <f t="shared" si="13"/>
        <v>1.08</v>
      </c>
      <c r="D66" s="719" t="s">
        <v>3933</v>
      </c>
      <c r="E66" s="24">
        <f t="shared" si="14"/>
        <v>0.91</v>
      </c>
      <c r="F66" s="719" t="s">
        <v>3843</v>
      </c>
      <c r="G66" s="24">
        <f t="shared" si="15"/>
        <v>0.97</v>
      </c>
      <c r="H66" s="719" t="s">
        <v>3316</v>
      </c>
      <c r="I66" s="24">
        <f t="shared" si="16"/>
        <v>1</v>
      </c>
      <c r="J66" s="719"/>
      <c r="K66" s="24">
        <f t="shared" si="17"/>
        <v>1</v>
      </c>
      <c r="L66" s="719"/>
      <c r="M66" s="24">
        <f t="shared" si="18"/>
        <v>1</v>
      </c>
      <c r="N66" s="719"/>
      <c r="O66" s="24">
        <f t="shared" si="19"/>
        <v>1</v>
      </c>
      <c r="P66" s="719" t="s">
        <v>3862</v>
      </c>
      <c r="Q66" s="24">
        <f t="shared" si="20"/>
        <v>1</v>
      </c>
      <c r="R66" s="715">
        <f t="shared" ca="1" si="21"/>
        <v>40530</v>
      </c>
      <c r="S66" s="361">
        <f t="shared" ca="1" si="22"/>
        <v>186</v>
      </c>
      <c r="T66" s="799">
        <f>剩余房源售价清单!I47</f>
        <v>44892</v>
      </c>
      <c r="U66" s="799">
        <f t="shared" ca="1" si="12"/>
        <v>0.90283346698743649</v>
      </c>
    </row>
    <row r="67" spans="1:21">
      <c r="A67" s="2985" t="str">
        <f>清单!D46</f>
        <v>1-52</v>
      </c>
      <c r="B67" s="717">
        <f>清单!G46</f>
        <v>47.14</v>
      </c>
      <c r="C67" s="24">
        <f t="shared" si="13"/>
        <v>1.08</v>
      </c>
      <c r="D67" s="719" t="s">
        <v>3933</v>
      </c>
      <c r="E67" s="24">
        <f t="shared" si="14"/>
        <v>0.91</v>
      </c>
      <c r="F67" s="719" t="s">
        <v>3843</v>
      </c>
      <c r="G67" s="24">
        <f t="shared" si="15"/>
        <v>0.97</v>
      </c>
      <c r="H67" s="719" t="s">
        <v>3316</v>
      </c>
      <c r="I67" s="24">
        <f t="shared" si="16"/>
        <v>1</v>
      </c>
      <c r="J67" s="719"/>
      <c r="K67" s="24">
        <f t="shared" si="17"/>
        <v>1</v>
      </c>
      <c r="L67" s="719"/>
      <c r="M67" s="24">
        <f t="shared" si="18"/>
        <v>1</v>
      </c>
      <c r="N67" s="719"/>
      <c r="O67" s="24">
        <f t="shared" si="19"/>
        <v>1</v>
      </c>
      <c r="P67" s="719" t="s">
        <v>3862</v>
      </c>
      <c r="Q67" s="24">
        <f t="shared" si="20"/>
        <v>1</v>
      </c>
      <c r="R67" s="715">
        <f t="shared" ca="1" si="21"/>
        <v>40530</v>
      </c>
      <c r="S67" s="361">
        <f t="shared" ca="1" si="22"/>
        <v>191</v>
      </c>
      <c r="T67" s="799">
        <f>剩余房源售价清单!I48</f>
        <v>45772</v>
      </c>
      <c r="U67" s="799">
        <f t="shared" ca="1" si="12"/>
        <v>0.88547583675609542</v>
      </c>
    </row>
    <row r="68" spans="1:21">
      <c r="A68" s="2985" t="str">
        <f>清单!D47</f>
        <v>1-54</v>
      </c>
      <c r="B68" s="717">
        <f>清单!G47</f>
        <v>46.03</v>
      </c>
      <c r="C68" s="24">
        <f t="shared" si="13"/>
        <v>1.08</v>
      </c>
      <c r="D68" s="719" t="s">
        <v>3933</v>
      </c>
      <c r="E68" s="24">
        <f t="shared" si="14"/>
        <v>0.91</v>
      </c>
      <c r="F68" s="719" t="s">
        <v>3843</v>
      </c>
      <c r="G68" s="24">
        <f t="shared" si="15"/>
        <v>0.97</v>
      </c>
      <c r="H68" s="719" t="s">
        <v>3316</v>
      </c>
      <c r="I68" s="24">
        <f t="shared" si="16"/>
        <v>1</v>
      </c>
      <c r="J68" s="719"/>
      <c r="K68" s="24">
        <f t="shared" si="17"/>
        <v>1</v>
      </c>
      <c r="L68" s="719"/>
      <c r="M68" s="24">
        <f t="shared" si="18"/>
        <v>1</v>
      </c>
      <c r="N68" s="719"/>
      <c r="O68" s="24">
        <f t="shared" si="19"/>
        <v>1</v>
      </c>
      <c r="P68" s="719" t="s">
        <v>3862</v>
      </c>
      <c r="Q68" s="24">
        <f t="shared" si="20"/>
        <v>1</v>
      </c>
      <c r="R68" s="715">
        <f t="shared" ca="1" si="21"/>
        <v>40530</v>
      </c>
      <c r="S68" s="361">
        <f t="shared" ca="1" si="22"/>
        <v>187</v>
      </c>
      <c r="T68" s="799">
        <f>剩余房源售价清单!I49</f>
        <v>45772</v>
      </c>
      <c r="U68" s="799">
        <f t="shared" ca="1" si="12"/>
        <v>0.88547583675609542</v>
      </c>
    </row>
    <row r="69" spans="1:21">
      <c r="A69" s="2985" t="str">
        <f>清单!D48</f>
        <v>1-55</v>
      </c>
      <c r="B69" s="717">
        <f>清单!G48</f>
        <v>46.03</v>
      </c>
      <c r="C69" s="24">
        <f t="shared" si="13"/>
        <v>1.08</v>
      </c>
      <c r="D69" s="719" t="s">
        <v>3933</v>
      </c>
      <c r="E69" s="24">
        <f t="shared" si="14"/>
        <v>0.91</v>
      </c>
      <c r="F69" s="719" t="s">
        <v>3843</v>
      </c>
      <c r="G69" s="24">
        <f t="shared" si="15"/>
        <v>0.97</v>
      </c>
      <c r="H69" s="719" t="s">
        <v>3316</v>
      </c>
      <c r="I69" s="24">
        <f t="shared" si="16"/>
        <v>1</v>
      </c>
      <c r="J69" s="719"/>
      <c r="K69" s="24">
        <f t="shared" si="17"/>
        <v>1</v>
      </c>
      <c r="L69" s="719"/>
      <c r="M69" s="24">
        <f t="shared" si="18"/>
        <v>1</v>
      </c>
      <c r="N69" s="719"/>
      <c r="O69" s="24">
        <f t="shared" si="19"/>
        <v>1</v>
      </c>
      <c r="P69" s="719" t="s">
        <v>3862</v>
      </c>
      <c r="Q69" s="24">
        <f t="shared" si="20"/>
        <v>1</v>
      </c>
      <c r="R69" s="715">
        <f t="shared" ca="1" si="21"/>
        <v>40530</v>
      </c>
      <c r="S69" s="361">
        <f t="shared" ca="1" si="22"/>
        <v>187</v>
      </c>
      <c r="T69" s="799">
        <f>剩余房源售价清单!I50</f>
        <v>44451</v>
      </c>
      <c r="U69" s="799">
        <f t="shared" ca="1" si="12"/>
        <v>0.91179051089964225</v>
      </c>
    </row>
    <row r="70" spans="1:21">
      <c r="A70" s="2985" t="str">
        <f>清单!D49</f>
        <v>1-56</v>
      </c>
      <c r="B70" s="717">
        <f>清单!G49</f>
        <v>46.03</v>
      </c>
      <c r="C70" s="24">
        <f t="shared" si="13"/>
        <v>1.08</v>
      </c>
      <c r="D70" s="719" t="s">
        <v>3933</v>
      </c>
      <c r="E70" s="24">
        <f t="shared" si="14"/>
        <v>0.91</v>
      </c>
      <c r="F70" s="719" t="s">
        <v>3843</v>
      </c>
      <c r="G70" s="24">
        <f t="shared" si="15"/>
        <v>0.97</v>
      </c>
      <c r="H70" s="719" t="s">
        <v>3316</v>
      </c>
      <c r="I70" s="24">
        <f t="shared" si="16"/>
        <v>1</v>
      </c>
      <c r="J70" s="719"/>
      <c r="K70" s="24">
        <f t="shared" si="17"/>
        <v>1</v>
      </c>
      <c r="L70" s="719"/>
      <c r="M70" s="24">
        <f t="shared" si="18"/>
        <v>1</v>
      </c>
      <c r="N70" s="719"/>
      <c r="O70" s="24">
        <f t="shared" si="19"/>
        <v>1</v>
      </c>
      <c r="P70" s="719" t="s">
        <v>3862</v>
      </c>
      <c r="Q70" s="24">
        <f t="shared" si="20"/>
        <v>1</v>
      </c>
      <c r="R70" s="715">
        <f t="shared" ca="1" si="21"/>
        <v>40530</v>
      </c>
      <c r="S70" s="361">
        <f t="shared" ca="1" si="22"/>
        <v>187</v>
      </c>
      <c r="T70" s="799">
        <f>剩余房源售价清单!I51</f>
        <v>44892</v>
      </c>
      <c r="U70" s="799">
        <f t="shared" ca="1" si="12"/>
        <v>0.90283346698743649</v>
      </c>
    </row>
    <row r="71" spans="1:21">
      <c r="A71" s="2985" t="str">
        <f>清单!D50</f>
        <v>1-57</v>
      </c>
      <c r="B71" s="717">
        <f>清单!G50</f>
        <v>45.95</v>
      </c>
      <c r="C71" s="24">
        <f t="shared" si="13"/>
        <v>1.08</v>
      </c>
      <c r="D71" s="719" t="s">
        <v>3933</v>
      </c>
      <c r="E71" s="24">
        <f t="shared" si="14"/>
        <v>0.91</v>
      </c>
      <c r="F71" s="719" t="s">
        <v>3843</v>
      </c>
      <c r="G71" s="24">
        <f t="shared" si="15"/>
        <v>0.97</v>
      </c>
      <c r="H71" s="719" t="s">
        <v>3316</v>
      </c>
      <c r="I71" s="24">
        <f t="shared" si="16"/>
        <v>1</v>
      </c>
      <c r="J71" s="719"/>
      <c r="K71" s="24">
        <f t="shared" si="17"/>
        <v>1</v>
      </c>
      <c r="L71" s="719"/>
      <c r="M71" s="24">
        <f t="shared" si="18"/>
        <v>1</v>
      </c>
      <c r="N71" s="719"/>
      <c r="O71" s="24">
        <f t="shared" si="19"/>
        <v>1</v>
      </c>
      <c r="P71" s="719" t="s">
        <v>3862</v>
      </c>
      <c r="Q71" s="24">
        <f t="shared" si="20"/>
        <v>1</v>
      </c>
      <c r="R71" s="715">
        <f t="shared" ca="1" si="21"/>
        <v>40530</v>
      </c>
      <c r="S71" s="361">
        <f t="shared" ca="1" si="22"/>
        <v>186</v>
      </c>
      <c r="T71" s="799">
        <f>剩余房源售价清单!I52</f>
        <v>44451</v>
      </c>
      <c r="U71" s="799">
        <f t="shared" ca="1" si="12"/>
        <v>0.91179051089964225</v>
      </c>
    </row>
    <row r="72" spans="1:21">
      <c r="A72" s="2985" t="str">
        <f>清单!D51</f>
        <v>1-58</v>
      </c>
      <c r="B72" s="717">
        <f>清单!G51</f>
        <v>46.51</v>
      </c>
      <c r="C72" s="24">
        <f t="shared" si="13"/>
        <v>1.08</v>
      </c>
      <c r="D72" s="719" t="s">
        <v>3933</v>
      </c>
      <c r="E72" s="24">
        <f t="shared" si="14"/>
        <v>0.91</v>
      </c>
      <c r="F72" s="719" t="s">
        <v>3843</v>
      </c>
      <c r="G72" s="24">
        <f t="shared" si="15"/>
        <v>0.97</v>
      </c>
      <c r="H72" s="719" t="s">
        <v>3316</v>
      </c>
      <c r="I72" s="24">
        <f t="shared" si="16"/>
        <v>1</v>
      </c>
      <c r="J72" s="719"/>
      <c r="K72" s="24">
        <f t="shared" si="17"/>
        <v>1</v>
      </c>
      <c r="L72" s="719"/>
      <c r="M72" s="24">
        <f t="shared" si="18"/>
        <v>1</v>
      </c>
      <c r="N72" s="719"/>
      <c r="O72" s="24">
        <f t="shared" si="19"/>
        <v>1</v>
      </c>
      <c r="P72" s="719" t="s">
        <v>3862</v>
      </c>
      <c r="Q72" s="24">
        <f t="shared" si="20"/>
        <v>1</v>
      </c>
      <c r="R72" s="715">
        <f t="shared" ca="1" si="21"/>
        <v>40530</v>
      </c>
      <c r="S72" s="361">
        <f t="shared" ca="1" si="22"/>
        <v>189</v>
      </c>
      <c r="T72" s="799">
        <f>剩余房源售价清单!I53</f>
        <v>47093</v>
      </c>
      <c r="U72" s="799">
        <f t="shared" ca="1" si="12"/>
        <v>0.86063746204319114</v>
      </c>
    </row>
    <row r="73" spans="1:21">
      <c r="A73" s="2985" t="str">
        <f>清单!D52</f>
        <v>1-59</v>
      </c>
      <c r="B73" s="717">
        <f>清单!G52</f>
        <v>46.03</v>
      </c>
      <c r="C73" s="24">
        <f t="shared" si="13"/>
        <v>1.08</v>
      </c>
      <c r="D73" s="719" t="s">
        <v>3933</v>
      </c>
      <c r="E73" s="24">
        <f t="shared" si="14"/>
        <v>0.91</v>
      </c>
      <c r="F73" s="719" t="s">
        <v>3843</v>
      </c>
      <c r="G73" s="24">
        <f t="shared" si="15"/>
        <v>0.97</v>
      </c>
      <c r="H73" s="719" t="s">
        <v>3316</v>
      </c>
      <c r="I73" s="24">
        <f t="shared" si="16"/>
        <v>1</v>
      </c>
      <c r="J73" s="719"/>
      <c r="K73" s="24">
        <f t="shared" si="17"/>
        <v>1</v>
      </c>
      <c r="L73" s="719"/>
      <c r="M73" s="24">
        <f t="shared" si="18"/>
        <v>1</v>
      </c>
      <c r="N73" s="719"/>
      <c r="O73" s="24">
        <f t="shared" si="19"/>
        <v>1</v>
      </c>
      <c r="P73" s="719" t="s">
        <v>3862</v>
      </c>
      <c r="Q73" s="24">
        <f t="shared" si="20"/>
        <v>1</v>
      </c>
      <c r="R73" s="715">
        <f t="shared" ca="1" si="21"/>
        <v>40530</v>
      </c>
      <c r="S73" s="361">
        <f t="shared" ca="1" si="22"/>
        <v>187</v>
      </c>
      <c r="T73" s="799">
        <f>剩余房源售价清单!I54</f>
        <v>46212</v>
      </c>
      <c r="U73" s="799">
        <f t="shared" ca="1" si="12"/>
        <v>0.8770449233965204</v>
      </c>
    </row>
    <row r="74" spans="1:21">
      <c r="A74" s="2985" t="str">
        <f>清单!D53</f>
        <v>1-60</v>
      </c>
      <c r="B74" s="717">
        <f>清单!G53</f>
        <v>40.32</v>
      </c>
      <c r="C74" s="24">
        <f t="shared" si="13"/>
        <v>1.08</v>
      </c>
      <c r="D74" s="719" t="s">
        <v>3933</v>
      </c>
      <c r="E74" s="24">
        <f t="shared" si="14"/>
        <v>0.91</v>
      </c>
      <c r="F74" s="719" t="s">
        <v>3843</v>
      </c>
      <c r="G74" s="24">
        <f t="shared" si="15"/>
        <v>0.97</v>
      </c>
      <c r="H74" s="719" t="s">
        <v>3316</v>
      </c>
      <c r="I74" s="24">
        <f t="shared" si="16"/>
        <v>1</v>
      </c>
      <c r="J74" s="719"/>
      <c r="K74" s="24">
        <f t="shared" si="17"/>
        <v>1</v>
      </c>
      <c r="L74" s="719"/>
      <c r="M74" s="24">
        <f t="shared" si="18"/>
        <v>1</v>
      </c>
      <c r="N74" s="719"/>
      <c r="O74" s="24">
        <f t="shared" si="19"/>
        <v>1</v>
      </c>
      <c r="P74" s="719" t="s">
        <v>3862</v>
      </c>
      <c r="Q74" s="24">
        <f t="shared" si="20"/>
        <v>1</v>
      </c>
      <c r="R74" s="715">
        <f t="shared" ca="1" si="21"/>
        <v>40530</v>
      </c>
      <c r="S74" s="361">
        <f t="shared" ca="1" si="22"/>
        <v>163</v>
      </c>
      <c r="T74" s="799">
        <f>剩余房源售价清单!I55</f>
        <v>46653</v>
      </c>
      <c r="U74" s="799">
        <f t="shared" ca="1" si="12"/>
        <v>0.86875442093756028</v>
      </c>
    </row>
    <row r="75" spans="1:21">
      <c r="A75" s="2985" t="str">
        <f>清单!D54</f>
        <v>1-61</v>
      </c>
      <c r="B75" s="717">
        <f>清单!G54</f>
        <v>39.33</v>
      </c>
      <c r="C75" s="24">
        <f t="shared" si="13"/>
        <v>1.1000000000000001</v>
      </c>
      <c r="D75" s="719" t="s">
        <v>3933</v>
      </c>
      <c r="E75" s="24">
        <f t="shared" si="14"/>
        <v>0.91</v>
      </c>
      <c r="F75" s="719" t="s">
        <v>3843</v>
      </c>
      <c r="G75" s="24">
        <f t="shared" si="15"/>
        <v>0.97</v>
      </c>
      <c r="H75" s="719" t="s">
        <v>3316</v>
      </c>
      <c r="I75" s="24">
        <f t="shared" si="16"/>
        <v>1</v>
      </c>
      <c r="J75" s="719"/>
      <c r="K75" s="24">
        <f t="shared" si="17"/>
        <v>1</v>
      </c>
      <c r="L75" s="719"/>
      <c r="M75" s="24">
        <f t="shared" si="18"/>
        <v>1</v>
      </c>
      <c r="N75" s="719"/>
      <c r="O75" s="24">
        <f t="shared" si="19"/>
        <v>1</v>
      </c>
      <c r="P75" s="719" t="s">
        <v>3862</v>
      </c>
      <c r="Q75" s="24">
        <f t="shared" si="20"/>
        <v>1</v>
      </c>
      <c r="R75" s="715">
        <f t="shared" ca="1" si="21"/>
        <v>41281</v>
      </c>
      <c r="S75" s="361">
        <f t="shared" ca="1" si="22"/>
        <v>162</v>
      </c>
      <c r="T75" s="799">
        <f>剩余房源售价清单!I56</f>
        <v>47093</v>
      </c>
      <c r="U75" s="799">
        <f t="shared" ca="1" si="12"/>
        <v>0.87658463041216317</v>
      </c>
    </row>
    <row r="76" spans="1:21">
      <c r="A76" s="2985" t="str">
        <f>清单!D55</f>
        <v>1-63</v>
      </c>
      <c r="B76" s="717">
        <f>清单!G55</f>
        <v>54.13</v>
      </c>
      <c r="C76" s="24">
        <f t="shared" si="13"/>
        <v>1.06</v>
      </c>
      <c r="D76" s="719" t="s">
        <v>3935</v>
      </c>
      <c r="E76" s="24">
        <f t="shared" si="14"/>
        <v>0.88</v>
      </c>
      <c r="F76" s="719" t="s">
        <v>3933</v>
      </c>
      <c r="G76" s="24">
        <f t="shared" si="15"/>
        <v>0.94</v>
      </c>
      <c r="H76" s="719" t="s">
        <v>3316</v>
      </c>
      <c r="I76" s="24">
        <f t="shared" si="16"/>
        <v>1</v>
      </c>
      <c r="J76" s="719"/>
      <c r="K76" s="24">
        <f t="shared" si="17"/>
        <v>1</v>
      </c>
      <c r="L76" s="719"/>
      <c r="M76" s="24">
        <f t="shared" si="18"/>
        <v>1</v>
      </c>
      <c r="N76" s="719"/>
      <c r="O76" s="24">
        <f t="shared" si="19"/>
        <v>1</v>
      </c>
      <c r="P76" s="719" t="s">
        <v>3862</v>
      </c>
      <c r="Q76" s="24">
        <f t="shared" si="20"/>
        <v>1</v>
      </c>
      <c r="R76" s="715">
        <f t="shared" ca="1" si="21"/>
        <v>37279</v>
      </c>
      <c r="S76" s="361">
        <f t="shared" ca="1" si="22"/>
        <v>202</v>
      </c>
      <c r="T76" s="799">
        <f>剩余房源售价清单!I57</f>
        <v>39803</v>
      </c>
      <c r="U76" s="799">
        <f t="shared" ca="1" si="12"/>
        <v>0.93658769439489487</v>
      </c>
    </row>
    <row r="77" spans="1:21">
      <c r="A77" s="2985" t="str">
        <f>清单!D56</f>
        <v>1-64</v>
      </c>
      <c r="B77" s="717">
        <f>清单!G56</f>
        <v>53.4</v>
      </c>
      <c r="C77" s="24">
        <f t="shared" si="13"/>
        <v>1.06</v>
      </c>
      <c r="D77" s="719" t="s">
        <v>3935</v>
      </c>
      <c r="E77" s="24">
        <f t="shared" si="14"/>
        <v>0.88</v>
      </c>
      <c r="F77" s="719" t="s">
        <v>3933</v>
      </c>
      <c r="G77" s="24">
        <f t="shared" si="15"/>
        <v>0.94</v>
      </c>
      <c r="H77" s="719" t="s">
        <v>3316</v>
      </c>
      <c r="I77" s="24">
        <f t="shared" si="16"/>
        <v>1</v>
      </c>
      <c r="J77" s="719"/>
      <c r="K77" s="24">
        <f t="shared" si="17"/>
        <v>1</v>
      </c>
      <c r="L77" s="719"/>
      <c r="M77" s="24">
        <f t="shared" si="18"/>
        <v>1</v>
      </c>
      <c r="N77" s="719"/>
      <c r="O77" s="24">
        <f t="shared" si="19"/>
        <v>1</v>
      </c>
      <c r="P77" s="719" t="s">
        <v>3862</v>
      </c>
      <c r="Q77" s="24">
        <f t="shared" si="20"/>
        <v>1</v>
      </c>
      <c r="R77" s="715">
        <f t="shared" ca="1" si="21"/>
        <v>37279</v>
      </c>
      <c r="S77" s="361">
        <f t="shared" ca="1" si="22"/>
        <v>199</v>
      </c>
      <c r="T77" s="799">
        <f>剩余房源售价清单!I58</f>
        <v>38568</v>
      </c>
      <c r="U77" s="799">
        <f t="shared" ca="1" si="12"/>
        <v>0.96657851068243106</v>
      </c>
    </row>
    <row r="78" spans="1:21">
      <c r="A78" s="2985" t="str">
        <f>清单!D57</f>
        <v>1-65</v>
      </c>
      <c r="B78" s="717">
        <f>清单!G57</f>
        <v>54.53</v>
      </c>
      <c r="C78" s="24">
        <f t="shared" si="13"/>
        <v>1.06</v>
      </c>
      <c r="D78" s="719" t="s">
        <v>3935</v>
      </c>
      <c r="E78" s="24">
        <f t="shared" si="14"/>
        <v>0.88</v>
      </c>
      <c r="F78" s="719" t="s">
        <v>3933</v>
      </c>
      <c r="G78" s="24">
        <f t="shared" si="15"/>
        <v>0.94</v>
      </c>
      <c r="H78" s="719" t="s">
        <v>3316</v>
      </c>
      <c r="I78" s="24">
        <f t="shared" si="16"/>
        <v>1</v>
      </c>
      <c r="J78" s="719"/>
      <c r="K78" s="24">
        <f t="shared" si="17"/>
        <v>1</v>
      </c>
      <c r="L78" s="719"/>
      <c r="M78" s="24">
        <f t="shared" si="18"/>
        <v>1</v>
      </c>
      <c r="N78" s="719"/>
      <c r="O78" s="24">
        <f t="shared" si="19"/>
        <v>1</v>
      </c>
      <c r="P78" s="719" t="s">
        <v>3862</v>
      </c>
      <c r="Q78" s="24">
        <f t="shared" si="20"/>
        <v>1</v>
      </c>
      <c r="R78" s="715">
        <f t="shared" ca="1" si="21"/>
        <v>37279</v>
      </c>
      <c r="S78" s="361">
        <f t="shared" ref="S78:S122" ca="1" si="23">ROUND(R78*B78/10000,0)</f>
        <v>203</v>
      </c>
      <c r="T78" s="799">
        <f>剩余房源售价清单!I59</f>
        <v>39392</v>
      </c>
      <c r="U78" s="799">
        <f t="shared" ca="1" si="12"/>
        <v>0.94635966693744922</v>
      </c>
    </row>
    <row r="79" spans="1:21">
      <c r="A79" s="2985" t="str">
        <f>清单!D58</f>
        <v>1-66</v>
      </c>
      <c r="B79" s="717">
        <f>清单!G58</f>
        <v>17.5</v>
      </c>
      <c r="C79" s="24">
        <f t="shared" si="13"/>
        <v>1.1399999999999999</v>
      </c>
      <c r="D79" s="719" t="s">
        <v>3935</v>
      </c>
      <c r="E79" s="24">
        <f t="shared" si="14"/>
        <v>0.88</v>
      </c>
      <c r="F79" s="719" t="s">
        <v>3908</v>
      </c>
      <c r="G79" s="24">
        <f t="shared" si="15"/>
        <v>1.03</v>
      </c>
      <c r="H79" s="719" t="s">
        <v>3316</v>
      </c>
      <c r="I79" s="24">
        <f t="shared" si="16"/>
        <v>1</v>
      </c>
      <c r="J79" s="719"/>
      <c r="K79" s="24">
        <f t="shared" si="17"/>
        <v>1</v>
      </c>
      <c r="L79" s="719"/>
      <c r="M79" s="24">
        <f t="shared" si="18"/>
        <v>1</v>
      </c>
      <c r="N79" s="719"/>
      <c r="O79" s="24">
        <f t="shared" si="19"/>
        <v>1</v>
      </c>
      <c r="P79" s="719" t="s">
        <v>3862</v>
      </c>
      <c r="Q79" s="24">
        <f t="shared" si="20"/>
        <v>1</v>
      </c>
      <c r="R79" s="715">
        <f t="shared" ca="1" si="21"/>
        <v>43931</v>
      </c>
      <c r="S79" s="361">
        <f t="shared" ca="1" si="23"/>
        <v>77</v>
      </c>
      <c r="T79" s="799">
        <f>剩余房源售价清单!I60</f>
        <v>52976</v>
      </c>
      <c r="U79" s="799">
        <f t="shared" ca="1" si="12"/>
        <v>0.82926230745998186</v>
      </c>
    </row>
    <row r="80" spans="1:21">
      <c r="A80" s="2985" t="str">
        <f>清单!D59</f>
        <v>1-67</v>
      </c>
      <c r="B80" s="717">
        <f>清单!G59</f>
        <v>54.54</v>
      </c>
      <c r="C80" s="24">
        <f t="shared" si="13"/>
        <v>1.06</v>
      </c>
      <c r="D80" s="719" t="s">
        <v>3935</v>
      </c>
      <c r="E80" s="24">
        <f t="shared" si="14"/>
        <v>0.88</v>
      </c>
      <c r="F80" s="719" t="s">
        <v>3933</v>
      </c>
      <c r="G80" s="24">
        <f t="shared" si="15"/>
        <v>0.94</v>
      </c>
      <c r="H80" s="719" t="s">
        <v>3316</v>
      </c>
      <c r="I80" s="24">
        <f t="shared" si="16"/>
        <v>1</v>
      </c>
      <c r="J80" s="719"/>
      <c r="K80" s="24">
        <f t="shared" si="17"/>
        <v>1</v>
      </c>
      <c r="L80" s="719"/>
      <c r="M80" s="24">
        <f t="shared" si="18"/>
        <v>1</v>
      </c>
      <c r="N80" s="719"/>
      <c r="O80" s="24">
        <f t="shared" si="19"/>
        <v>1</v>
      </c>
      <c r="P80" s="719" t="s">
        <v>3862</v>
      </c>
      <c r="Q80" s="24">
        <f t="shared" si="20"/>
        <v>1</v>
      </c>
      <c r="R80" s="715">
        <f t="shared" ca="1" si="21"/>
        <v>37279</v>
      </c>
      <c r="S80" s="361">
        <f t="shared" ca="1" si="23"/>
        <v>203</v>
      </c>
      <c r="T80" s="799">
        <f>剩余房源售价清单!I61</f>
        <v>40215</v>
      </c>
      <c r="U80" s="799">
        <f t="shared" ca="1" si="12"/>
        <v>0.9269924157652617</v>
      </c>
    </row>
    <row r="81" spans="1:21">
      <c r="A81" s="2985" t="str">
        <f>清单!D60</f>
        <v>1-68</v>
      </c>
      <c r="B81" s="717">
        <f>清单!G60</f>
        <v>53.47</v>
      </c>
      <c r="C81" s="24">
        <f t="shared" si="13"/>
        <v>1.06</v>
      </c>
      <c r="D81" s="719" t="s">
        <v>3935</v>
      </c>
      <c r="E81" s="24">
        <f t="shared" si="14"/>
        <v>0.88</v>
      </c>
      <c r="F81" s="719" t="s">
        <v>3933</v>
      </c>
      <c r="G81" s="24">
        <f t="shared" si="15"/>
        <v>0.94</v>
      </c>
      <c r="H81" s="719" t="s">
        <v>3316</v>
      </c>
      <c r="I81" s="24">
        <f t="shared" si="16"/>
        <v>1</v>
      </c>
      <c r="J81" s="719"/>
      <c r="K81" s="24">
        <f t="shared" si="17"/>
        <v>1</v>
      </c>
      <c r="L81" s="719"/>
      <c r="M81" s="24">
        <f t="shared" si="18"/>
        <v>1</v>
      </c>
      <c r="N81" s="719"/>
      <c r="O81" s="24">
        <f t="shared" si="19"/>
        <v>1</v>
      </c>
      <c r="P81" s="719" t="s">
        <v>3862</v>
      </c>
      <c r="Q81" s="24">
        <f t="shared" si="20"/>
        <v>1</v>
      </c>
      <c r="R81" s="715">
        <f t="shared" ca="1" si="21"/>
        <v>37279</v>
      </c>
      <c r="S81" s="361">
        <f t="shared" ca="1" si="23"/>
        <v>199</v>
      </c>
      <c r="T81" s="799">
        <f>剩余房源售价清单!I62</f>
        <v>39392</v>
      </c>
      <c r="U81" s="799">
        <f t="shared" ca="1" si="12"/>
        <v>0.94635966693744922</v>
      </c>
    </row>
    <row r="82" spans="1:21">
      <c r="A82" s="2985" t="str">
        <f>清单!D61</f>
        <v>1-69</v>
      </c>
      <c r="B82" s="717">
        <f>清单!G61</f>
        <v>53.47</v>
      </c>
      <c r="C82" s="24">
        <f t="shared" si="13"/>
        <v>1.06</v>
      </c>
      <c r="D82" s="719" t="s">
        <v>3935</v>
      </c>
      <c r="E82" s="24">
        <f t="shared" si="14"/>
        <v>0.88</v>
      </c>
      <c r="F82" s="719" t="s">
        <v>3933</v>
      </c>
      <c r="G82" s="24">
        <f t="shared" si="15"/>
        <v>0.94</v>
      </c>
      <c r="H82" s="719" t="s">
        <v>3316</v>
      </c>
      <c r="I82" s="24">
        <f t="shared" si="16"/>
        <v>1</v>
      </c>
      <c r="J82" s="719"/>
      <c r="K82" s="24">
        <f t="shared" si="17"/>
        <v>1</v>
      </c>
      <c r="L82" s="719"/>
      <c r="M82" s="24">
        <f t="shared" si="18"/>
        <v>1</v>
      </c>
      <c r="N82" s="719"/>
      <c r="O82" s="24">
        <f t="shared" si="19"/>
        <v>1</v>
      </c>
      <c r="P82" s="719" t="s">
        <v>3862</v>
      </c>
      <c r="Q82" s="24">
        <f t="shared" si="20"/>
        <v>1</v>
      </c>
      <c r="R82" s="715">
        <f t="shared" ca="1" si="21"/>
        <v>37279</v>
      </c>
      <c r="S82" s="361">
        <f t="shared" ca="1" si="23"/>
        <v>199</v>
      </c>
      <c r="T82" s="799">
        <f>剩余房源售价清单!I63</f>
        <v>39803</v>
      </c>
      <c r="U82" s="799">
        <f t="shared" ca="1" si="12"/>
        <v>0.93658769439489487</v>
      </c>
    </row>
    <row r="83" spans="1:21">
      <c r="A83" s="2985" t="str">
        <f>清单!D62</f>
        <v>1-70</v>
      </c>
      <c r="B83" s="717">
        <f>清单!G62</f>
        <v>53.4</v>
      </c>
      <c r="C83" s="24">
        <f t="shared" si="13"/>
        <v>1.06</v>
      </c>
      <c r="D83" s="719" t="s">
        <v>3935</v>
      </c>
      <c r="E83" s="24">
        <f t="shared" si="14"/>
        <v>0.88</v>
      </c>
      <c r="F83" s="719" t="s">
        <v>3933</v>
      </c>
      <c r="G83" s="24">
        <f t="shared" si="15"/>
        <v>0.94</v>
      </c>
      <c r="H83" s="719" t="s">
        <v>3316</v>
      </c>
      <c r="I83" s="24">
        <f t="shared" si="16"/>
        <v>1</v>
      </c>
      <c r="J83" s="719"/>
      <c r="K83" s="24">
        <f t="shared" si="17"/>
        <v>1</v>
      </c>
      <c r="L83" s="719"/>
      <c r="M83" s="24">
        <f t="shared" si="18"/>
        <v>1</v>
      </c>
      <c r="N83" s="719"/>
      <c r="O83" s="24">
        <f t="shared" si="19"/>
        <v>1</v>
      </c>
      <c r="P83" s="719" t="s">
        <v>3862</v>
      </c>
      <c r="Q83" s="24">
        <f t="shared" si="20"/>
        <v>1</v>
      </c>
      <c r="R83" s="715">
        <f t="shared" ca="1" si="21"/>
        <v>37279</v>
      </c>
      <c r="S83" s="361">
        <f t="shared" ca="1" si="23"/>
        <v>199</v>
      </c>
      <c r="T83" s="799">
        <f>剩余房源售价清单!I64</f>
        <v>39392</v>
      </c>
      <c r="U83" s="799">
        <f t="shared" ca="1" si="12"/>
        <v>0.94635966693744922</v>
      </c>
    </row>
    <row r="84" spans="1:21">
      <c r="A84" s="2985" t="str">
        <f>清单!D63</f>
        <v>1-71</v>
      </c>
      <c r="B84" s="717">
        <f>清单!G63</f>
        <v>54.56</v>
      </c>
      <c r="C84" s="24">
        <f t="shared" si="13"/>
        <v>1.06</v>
      </c>
      <c r="D84" s="719" t="s">
        <v>3933</v>
      </c>
      <c r="E84" s="24">
        <f t="shared" si="14"/>
        <v>0.91</v>
      </c>
      <c r="F84" s="719" t="s">
        <v>3843</v>
      </c>
      <c r="G84" s="24">
        <f t="shared" si="15"/>
        <v>0.97</v>
      </c>
      <c r="H84" s="719" t="s">
        <v>3316</v>
      </c>
      <c r="I84" s="24">
        <f t="shared" si="16"/>
        <v>1</v>
      </c>
      <c r="J84" s="719"/>
      <c r="K84" s="24">
        <f t="shared" si="17"/>
        <v>1</v>
      </c>
      <c r="L84" s="719"/>
      <c r="M84" s="24">
        <f t="shared" si="18"/>
        <v>1</v>
      </c>
      <c r="N84" s="719"/>
      <c r="O84" s="24">
        <f t="shared" si="19"/>
        <v>1</v>
      </c>
      <c r="P84" s="719" t="s">
        <v>3862</v>
      </c>
      <c r="Q84" s="24">
        <f t="shared" si="20"/>
        <v>1</v>
      </c>
      <c r="R84" s="715">
        <f t="shared" ca="1" si="21"/>
        <v>39780</v>
      </c>
      <c r="S84" s="361">
        <f t="shared" ca="1" si="23"/>
        <v>217</v>
      </c>
      <c r="T84" s="799">
        <f>剩余房源售价清单!I65</f>
        <v>47533</v>
      </c>
      <c r="U84" s="799">
        <f t="shared" ca="1" si="12"/>
        <v>0.83689226432162922</v>
      </c>
    </row>
    <row r="85" spans="1:21">
      <c r="A85" s="2985" t="str">
        <f>清单!D64</f>
        <v>1-72</v>
      </c>
      <c r="B85" s="717">
        <f>清单!G64</f>
        <v>56.29</v>
      </c>
      <c r="C85" s="24">
        <f t="shared" si="13"/>
        <v>1.06</v>
      </c>
      <c r="D85" s="719" t="s">
        <v>3933</v>
      </c>
      <c r="E85" s="24">
        <f t="shared" si="14"/>
        <v>0.91</v>
      </c>
      <c r="F85" s="719" t="s">
        <v>3843</v>
      </c>
      <c r="G85" s="24">
        <f t="shared" si="15"/>
        <v>0.97</v>
      </c>
      <c r="H85" s="719" t="s">
        <v>3316</v>
      </c>
      <c r="I85" s="24">
        <f t="shared" si="16"/>
        <v>1</v>
      </c>
      <c r="J85" s="719"/>
      <c r="K85" s="24">
        <f t="shared" si="17"/>
        <v>1</v>
      </c>
      <c r="L85" s="719"/>
      <c r="M85" s="24">
        <f t="shared" si="18"/>
        <v>1</v>
      </c>
      <c r="N85" s="719"/>
      <c r="O85" s="24">
        <f t="shared" si="19"/>
        <v>1</v>
      </c>
      <c r="P85" s="719" t="s">
        <v>3862</v>
      </c>
      <c r="Q85" s="24">
        <f t="shared" si="20"/>
        <v>1</v>
      </c>
      <c r="R85" s="715">
        <f t="shared" ca="1" si="21"/>
        <v>39780</v>
      </c>
      <c r="S85" s="361">
        <f t="shared" ca="1" si="23"/>
        <v>224</v>
      </c>
      <c r="T85" s="799">
        <f>剩余房源售价清单!I66</f>
        <v>46212</v>
      </c>
      <c r="U85" s="799">
        <f t="shared" ca="1" si="12"/>
        <v>0.86081537263048558</v>
      </c>
    </row>
    <row r="86" spans="1:21">
      <c r="A86" s="2985" t="str">
        <f>清单!D65</f>
        <v>1-73</v>
      </c>
      <c r="B86" s="717">
        <f>清单!G65</f>
        <v>31.46</v>
      </c>
      <c r="C86" s="24">
        <f t="shared" si="13"/>
        <v>1.1000000000000001</v>
      </c>
      <c r="D86" s="719" t="s">
        <v>3933</v>
      </c>
      <c r="E86" s="24">
        <f t="shared" si="14"/>
        <v>0.91</v>
      </c>
      <c r="F86" s="719" t="s">
        <v>3843</v>
      </c>
      <c r="G86" s="24">
        <f t="shared" si="15"/>
        <v>0.97</v>
      </c>
      <c r="H86" s="719" t="s">
        <v>3316</v>
      </c>
      <c r="I86" s="24">
        <f t="shared" si="16"/>
        <v>1</v>
      </c>
      <c r="J86" s="719"/>
      <c r="K86" s="24">
        <f t="shared" si="17"/>
        <v>1</v>
      </c>
      <c r="L86" s="719"/>
      <c r="M86" s="24">
        <f t="shared" si="18"/>
        <v>1</v>
      </c>
      <c r="N86" s="719"/>
      <c r="O86" s="24">
        <f t="shared" si="19"/>
        <v>1</v>
      </c>
      <c r="P86" s="719" t="s">
        <v>3862</v>
      </c>
      <c r="Q86" s="24">
        <f t="shared" si="20"/>
        <v>1</v>
      </c>
      <c r="R86" s="715">
        <f t="shared" ca="1" si="21"/>
        <v>41281</v>
      </c>
      <c r="S86" s="361">
        <f t="shared" ca="1" si="23"/>
        <v>130</v>
      </c>
      <c r="T86" s="799">
        <f>剩余房源售价清单!I67</f>
        <v>49734</v>
      </c>
      <c r="U86" s="799">
        <f t="shared" ca="1" si="12"/>
        <v>0.83003579040495434</v>
      </c>
    </row>
    <row r="87" spans="1:21">
      <c r="A87" s="2985" t="str">
        <f>清单!D66</f>
        <v>1-75</v>
      </c>
      <c r="B87" s="717">
        <f>清单!G66</f>
        <v>59.61</v>
      </c>
      <c r="C87" s="24">
        <f t="shared" si="13"/>
        <v>1.06</v>
      </c>
      <c r="D87" s="719" t="s">
        <v>3935</v>
      </c>
      <c r="E87" s="24">
        <f t="shared" si="14"/>
        <v>0.88</v>
      </c>
      <c r="F87" s="719" t="s">
        <v>3933</v>
      </c>
      <c r="G87" s="24">
        <f t="shared" si="15"/>
        <v>0.94</v>
      </c>
      <c r="H87" s="719" t="s">
        <v>3316</v>
      </c>
      <c r="I87" s="24">
        <f t="shared" si="16"/>
        <v>1</v>
      </c>
      <c r="J87" s="719"/>
      <c r="K87" s="24">
        <f t="shared" si="17"/>
        <v>1</v>
      </c>
      <c r="L87" s="719"/>
      <c r="M87" s="24">
        <f t="shared" si="18"/>
        <v>1</v>
      </c>
      <c r="N87" s="719"/>
      <c r="O87" s="24">
        <f t="shared" si="19"/>
        <v>1</v>
      </c>
      <c r="P87" s="719" t="s">
        <v>3862</v>
      </c>
      <c r="Q87" s="24">
        <f t="shared" si="20"/>
        <v>1</v>
      </c>
      <c r="R87" s="715">
        <f t="shared" ca="1" si="21"/>
        <v>37279</v>
      </c>
      <c r="S87" s="361">
        <f t="shared" ca="1" si="23"/>
        <v>222</v>
      </c>
      <c r="T87" s="799">
        <f>剩余房源售价清单!I68</f>
        <v>41169</v>
      </c>
      <c r="U87" s="799">
        <f t="shared" ca="1" si="12"/>
        <v>0.90551142850202826</v>
      </c>
    </row>
    <row r="88" spans="1:21">
      <c r="A88" s="2985" t="str">
        <f>清单!D67</f>
        <v>1-76</v>
      </c>
      <c r="B88" s="717">
        <f>清单!G67</f>
        <v>59.61</v>
      </c>
      <c r="C88" s="24">
        <f t="shared" si="13"/>
        <v>1.06</v>
      </c>
      <c r="D88" s="719" t="s">
        <v>3935</v>
      </c>
      <c r="E88" s="24">
        <f t="shared" si="14"/>
        <v>0.88</v>
      </c>
      <c r="F88" s="719" t="s">
        <v>3933</v>
      </c>
      <c r="G88" s="24">
        <f t="shared" si="15"/>
        <v>0.94</v>
      </c>
      <c r="H88" s="719" t="s">
        <v>3316</v>
      </c>
      <c r="I88" s="24">
        <f t="shared" si="16"/>
        <v>1</v>
      </c>
      <c r="J88" s="719"/>
      <c r="K88" s="24">
        <f t="shared" si="17"/>
        <v>1</v>
      </c>
      <c r="L88" s="719"/>
      <c r="M88" s="24">
        <f t="shared" si="18"/>
        <v>1</v>
      </c>
      <c r="N88" s="719"/>
      <c r="O88" s="24">
        <f t="shared" si="19"/>
        <v>1</v>
      </c>
      <c r="P88" s="719" t="s">
        <v>3862</v>
      </c>
      <c r="Q88" s="24">
        <f t="shared" si="20"/>
        <v>1</v>
      </c>
      <c r="R88" s="715">
        <f t="shared" ca="1" si="21"/>
        <v>37279</v>
      </c>
      <c r="S88" s="361">
        <f t="shared" ca="1" si="23"/>
        <v>222</v>
      </c>
      <c r="T88" s="799">
        <f>剩余房源售价清单!I69</f>
        <v>41610</v>
      </c>
      <c r="U88" s="799">
        <f t="shared" ca="1" si="12"/>
        <v>0.89591444364335493</v>
      </c>
    </row>
    <row r="89" spans="1:21">
      <c r="A89" s="2985" t="str">
        <f>清单!D68</f>
        <v>1-77</v>
      </c>
      <c r="B89" s="717">
        <f>清单!G68</f>
        <v>43.63</v>
      </c>
      <c r="C89" s="24">
        <f t="shared" si="13"/>
        <v>1.08</v>
      </c>
      <c r="D89" s="719" t="s">
        <v>3935</v>
      </c>
      <c r="E89" s="24">
        <f t="shared" si="14"/>
        <v>0.88</v>
      </c>
      <c r="F89" s="719" t="s">
        <v>3843</v>
      </c>
      <c r="G89" s="24">
        <f t="shared" si="15"/>
        <v>0.97</v>
      </c>
      <c r="H89" s="719" t="s">
        <v>3316</v>
      </c>
      <c r="I89" s="24">
        <f t="shared" si="16"/>
        <v>1</v>
      </c>
      <c r="J89" s="719"/>
      <c r="K89" s="24">
        <f t="shared" si="17"/>
        <v>1</v>
      </c>
      <c r="L89" s="719"/>
      <c r="M89" s="24">
        <f t="shared" si="18"/>
        <v>1</v>
      </c>
      <c r="N89" s="719"/>
      <c r="O89" s="24">
        <f t="shared" si="19"/>
        <v>1</v>
      </c>
      <c r="P89" s="719" t="s">
        <v>3862</v>
      </c>
      <c r="Q89" s="24">
        <f t="shared" si="20"/>
        <v>1</v>
      </c>
      <c r="R89" s="715">
        <f t="shared" ca="1" si="21"/>
        <v>39194</v>
      </c>
      <c r="S89" s="361">
        <f t="shared" ca="1" si="23"/>
        <v>171</v>
      </c>
      <c r="T89" s="799">
        <f>剩余房源售价清单!I70</f>
        <v>43811</v>
      </c>
      <c r="U89" s="799">
        <f t="shared" ref="U89:U152" ca="1" si="24">R89/T89</f>
        <v>0.89461550752094221</v>
      </c>
    </row>
    <row r="90" spans="1:21">
      <c r="A90" s="2985" t="str">
        <f>清单!D69</f>
        <v>1-78</v>
      </c>
      <c r="B90" s="717">
        <f>清单!G69</f>
        <v>49.61</v>
      </c>
      <c r="C90" s="24">
        <f t="shared" ref="C90:C153" si="25">IF(B90="",1,(LOOKUP(B90,$3:$3,$4:$4)-LOOKUP($B$24,$3:$3,$4:$4)+100)/100)</f>
        <v>1.08</v>
      </c>
      <c r="D90" s="719" t="s">
        <v>3935</v>
      </c>
      <c r="E90" s="24">
        <f t="shared" ref="E90:E153" si="26">(SUMIF($5:$5,D90,$6:$6)-SUMIF($5:$5,$D$24,$6:$6)+100)/100</f>
        <v>0.88</v>
      </c>
      <c r="F90" s="719" t="s">
        <v>3843</v>
      </c>
      <c r="G90" s="24">
        <f t="shared" ref="G90:G153" si="27">(SUMIF($7:$7,F90,$8:$8)-SUMIF($7:$7,$F$24,$8:$8)+100)/100</f>
        <v>0.97</v>
      </c>
      <c r="H90" s="719" t="s">
        <v>3316</v>
      </c>
      <c r="I90" s="24">
        <f t="shared" ref="I90:I153" si="28">(SUMIF($9:$9,H90,$10:$10)-SUMIF($9:$9,$H$24,$10:$10)+100)/100</f>
        <v>1</v>
      </c>
      <c r="J90" s="719"/>
      <c r="K90" s="24">
        <f t="shared" ref="K90:K153" si="29">(SUMIF($11:$11,J90,$12:$12)-SUMIF($11:$11,$J$24,$12:$12)+100)/100</f>
        <v>1</v>
      </c>
      <c r="L90" s="719"/>
      <c r="M90" s="24">
        <f t="shared" ref="M90:M153" si="30">(SUMIF($13:$13,L90,$14:$14)-SUMIF($13:$13,$L$24,$14:$14)+100)/100</f>
        <v>1</v>
      </c>
      <c r="N90" s="719"/>
      <c r="O90" s="24">
        <f t="shared" ref="O90:O153" si="31">(SUMIF($15:$15,N90,$16:$16)-SUMIF($15:$15,$N$24,$16:$16)+100)/100</f>
        <v>1</v>
      </c>
      <c r="P90" s="719" t="s">
        <v>3862</v>
      </c>
      <c r="Q90" s="24">
        <f t="shared" ref="Q90:Q153" si="32">(SUMIF($17:$17,P90,$18:$18)-SUMIF($17:$17,$P$24,$18:$18)+100)/100</f>
        <v>1</v>
      </c>
      <c r="R90" s="715">
        <f t="shared" ref="R90:R153" ca="1" si="33">IF(B90="",0,ROUND($R$24*C90*E90*G90*I90*K90*M90*O90*Q90,0))</f>
        <v>39194</v>
      </c>
      <c r="S90" s="361">
        <f t="shared" ca="1" si="23"/>
        <v>194</v>
      </c>
      <c r="T90" s="799">
        <f>剩余房源售价清单!I71</f>
        <v>45132</v>
      </c>
      <c r="U90" s="799">
        <f t="shared" ca="1" si="24"/>
        <v>0.86843038199060529</v>
      </c>
    </row>
    <row r="91" spans="1:21">
      <c r="A91" s="2985" t="str">
        <f>清单!D70</f>
        <v>1-79</v>
      </c>
      <c r="B91" s="717">
        <f>清单!G70</f>
        <v>45.15</v>
      </c>
      <c r="C91" s="24">
        <f t="shared" si="25"/>
        <v>1.08</v>
      </c>
      <c r="D91" s="719" t="s">
        <v>3935</v>
      </c>
      <c r="E91" s="24">
        <f t="shared" si="26"/>
        <v>0.88</v>
      </c>
      <c r="F91" s="719" t="s">
        <v>3843</v>
      </c>
      <c r="G91" s="24">
        <f t="shared" si="27"/>
        <v>0.97</v>
      </c>
      <c r="H91" s="719" t="s">
        <v>3316</v>
      </c>
      <c r="I91" s="24">
        <f t="shared" si="28"/>
        <v>1</v>
      </c>
      <c r="J91" s="719"/>
      <c r="K91" s="24">
        <f t="shared" si="29"/>
        <v>1</v>
      </c>
      <c r="L91" s="719"/>
      <c r="M91" s="24">
        <f t="shared" si="30"/>
        <v>1</v>
      </c>
      <c r="N91" s="719"/>
      <c r="O91" s="24">
        <f t="shared" si="31"/>
        <v>1</v>
      </c>
      <c r="P91" s="719" t="s">
        <v>3862</v>
      </c>
      <c r="Q91" s="24">
        <f t="shared" si="32"/>
        <v>1</v>
      </c>
      <c r="R91" s="715">
        <f t="shared" ca="1" si="33"/>
        <v>39194</v>
      </c>
      <c r="S91" s="361">
        <f t="shared" ca="1" si="23"/>
        <v>177</v>
      </c>
      <c r="T91" s="799">
        <f>剩余房源售价清单!I72</f>
        <v>44691</v>
      </c>
      <c r="U91" s="799">
        <f t="shared" ca="1" si="24"/>
        <v>0.87699984336891101</v>
      </c>
    </row>
    <row r="92" spans="1:21">
      <c r="A92" s="2985" t="str">
        <f>清单!D71</f>
        <v>1-80</v>
      </c>
      <c r="B92" s="717">
        <f>清单!G71</f>
        <v>45.15</v>
      </c>
      <c r="C92" s="24">
        <f t="shared" si="25"/>
        <v>1.08</v>
      </c>
      <c r="D92" s="719" t="s">
        <v>3935</v>
      </c>
      <c r="E92" s="24">
        <f t="shared" si="26"/>
        <v>0.88</v>
      </c>
      <c r="F92" s="719" t="s">
        <v>3843</v>
      </c>
      <c r="G92" s="24">
        <f t="shared" si="27"/>
        <v>0.97</v>
      </c>
      <c r="H92" s="719" t="s">
        <v>3316</v>
      </c>
      <c r="I92" s="24">
        <f t="shared" si="28"/>
        <v>1</v>
      </c>
      <c r="J92" s="719"/>
      <c r="K92" s="24">
        <f t="shared" si="29"/>
        <v>1</v>
      </c>
      <c r="L92" s="719"/>
      <c r="M92" s="24">
        <f t="shared" si="30"/>
        <v>1</v>
      </c>
      <c r="N92" s="719"/>
      <c r="O92" s="24">
        <f t="shared" si="31"/>
        <v>1</v>
      </c>
      <c r="P92" s="719" t="s">
        <v>3862</v>
      </c>
      <c r="Q92" s="24">
        <f t="shared" si="32"/>
        <v>1</v>
      </c>
      <c r="R92" s="715">
        <f t="shared" ca="1" si="33"/>
        <v>39194</v>
      </c>
      <c r="S92" s="361">
        <f t="shared" ca="1" si="23"/>
        <v>177</v>
      </c>
      <c r="T92" s="799">
        <f>剩余房源售价清单!I73</f>
        <v>44251</v>
      </c>
      <c r="U92" s="799">
        <f t="shared" ca="1" si="24"/>
        <v>0.88572009672097807</v>
      </c>
    </row>
    <row r="93" spans="1:21">
      <c r="A93" s="2985" t="str">
        <f>清单!D72</f>
        <v>1-81</v>
      </c>
      <c r="B93" s="717">
        <f>清单!G72</f>
        <v>42.93</v>
      </c>
      <c r="C93" s="24">
        <f t="shared" si="25"/>
        <v>1.08</v>
      </c>
      <c r="D93" s="719" t="s">
        <v>3935</v>
      </c>
      <c r="E93" s="24">
        <f t="shared" si="26"/>
        <v>0.88</v>
      </c>
      <c r="F93" s="719" t="s">
        <v>3843</v>
      </c>
      <c r="G93" s="24">
        <f t="shared" si="27"/>
        <v>0.97</v>
      </c>
      <c r="H93" s="719" t="s">
        <v>3316</v>
      </c>
      <c r="I93" s="24">
        <f t="shared" si="28"/>
        <v>1</v>
      </c>
      <c r="J93" s="719"/>
      <c r="K93" s="24">
        <f t="shared" si="29"/>
        <v>1</v>
      </c>
      <c r="L93" s="719"/>
      <c r="M93" s="24">
        <f t="shared" si="30"/>
        <v>1</v>
      </c>
      <c r="N93" s="719"/>
      <c r="O93" s="24">
        <f t="shared" si="31"/>
        <v>1</v>
      </c>
      <c r="P93" s="719" t="s">
        <v>3862</v>
      </c>
      <c r="Q93" s="24">
        <f t="shared" si="32"/>
        <v>1</v>
      </c>
      <c r="R93" s="715">
        <f t="shared" ca="1" si="33"/>
        <v>39194</v>
      </c>
      <c r="S93" s="361">
        <f t="shared" ca="1" si="23"/>
        <v>168</v>
      </c>
      <c r="T93" s="799">
        <f>剩余房源售价清单!I74</f>
        <v>44251</v>
      </c>
      <c r="U93" s="799">
        <f t="shared" ca="1" si="24"/>
        <v>0.88572009672097807</v>
      </c>
    </row>
    <row r="94" spans="1:21">
      <c r="A94" s="2985" t="str">
        <f>清单!D73</f>
        <v>1-82</v>
      </c>
      <c r="B94" s="717">
        <f>清单!G73</f>
        <v>42.08</v>
      </c>
      <c r="C94" s="24">
        <f t="shared" si="25"/>
        <v>1.08</v>
      </c>
      <c r="D94" s="719" t="s">
        <v>3935</v>
      </c>
      <c r="E94" s="24">
        <f t="shared" si="26"/>
        <v>0.88</v>
      </c>
      <c r="F94" s="719" t="s">
        <v>3843</v>
      </c>
      <c r="G94" s="24">
        <f t="shared" si="27"/>
        <v>0.97</v>
      </c>
      <c r="H94" s="719" t="s">
        <v>3316</v>
      </c>
      <c r="I94" s="24">
        <f t="shared" si="28"/>
        <v>1</v>
      </c>
      <c r="J94" s="719"/>
      <c r="K94" s="24">
        <f t="shared" si="29"/>
        <v>1</v>
      </c>
      <c r="L94" s="719"/>
      <c r="M94" s="24">
        <f t="shared" si="30"/>
        <v>1</v>
      </c>
      <c r="N94" s="719"/>
      <c r="O94" s="24">
        <f t="shared" si="31"/>
        <v>1</v>
      </c>
      <c r="P94" s="719" t="s">
        <v>3862</v>
      </c>
      <c r="Q94" s="24">
        <f t="shared" si="32"/>
        <v>1</v>
      </c>
      <c r="R94" s="715">
        <f t="shared" ca="1" si="33"/>
        <v>39194</v>
      </c>
      <c r="S94" s="361">
        <f t="shared" ca="1" si="23"/>
        <v>165</v>
      </c>
      <c r="T94" s="799">
        <f>剩余房源售价清单!I75</f>
        <v>42273</v>
      </c>
      <c r="U94" s="799">
        <f t="shared" ca="1" si="24"/>
        <v>0.92716391077046811</v>
      </c>
    </row>
    <row r="95" spans="1:21">
      <c r="A95" s="2985" t="str">
        <f>清单!D74</f>
        <v>1-83</v>
      </c>
      <c r="B95" s="717">
        <f>清单!G74</f>
        <v>42.08</v>
      </c>
      <c r="C95" s="24">
        <f t="shared" si="25"/>
        <v>1.08</v>
      </c>
      <c r="D95" s="719" t="s">
        <v>3935</v>
      </c>
      <c r="E95" s="24">
        <f t="shared" si="26"/>
        <v>0.88</v>
      </c>
      <c r="F95" s="719" t="s">
        <v>3843</v>
      </c>
      <c r="G95" s="24">
        <f t="shared" si="27"/>
        <v>0.97</v>
      </c>
      <c r="H95" s="719" t="s">
        <v>3316</v>
      </c>
      <c r="I95" s="24">
        <f t="shared" si="28"/>
        <v>1</v>
      </c>
      <c r="J95" s="719"/>
      <c r="K95" s="24">
        <f t="shared" si="29"/>
        <v>1</v>
      </c>
      <c r="L95" s="719"/>
      <c r="M95" s="24">
        <f t="shared" si="30"/>
        <v>1</v>
      </c>
      <c r="N95" s="719"/>
      <c r="O95" s="24">
        <f t="shared" si="31"/>
        <v>1</v>
      </c>
      <c r="P95" s="719" t="s">
        <v>3862</v>
      </c>
      <c r="Q95" s="24">
        <f t="shared" si="32"/>
        <v>1</v>
      </c>
      <c r="R95" s="715">
        <f t="shared" ca="1" si="33"/>
        <v>39194</v>
      </c>
      <c r="S95" s="361">
        <f t="shared" ca="1" si="23"/>
        <v>165</v>
      </c>
      <c r="T95" s="799">
        <f>剩余房源售价清单!I76</f>
        <v>42685</v>
      </c>
      <c r="U95" s="799">
        <f t="shared" ca="1" si="24"/>
        <v>0.91821482956542111</v>
      </c>
    </row>
    <row r="96" spans="1:21">
      <c r="A96" s="2985" t="str">
        <f>清单!D75</f>
        <v>1-84</v>
      </c>
      <c r="B96" s="717">
        <f>清单!G75</f>
        <v>61.36</v>
      </c>
      <c r="C96" s="24">
        <f t="shared" si="25"/>
        <v>1.04</v>
      </c>
      <c r="D96" s="719" t="s">
        <v>3935</v>
      </c>
      <c r="E96" s="24">
        <f t="shared" si="26"/>
        <v>0.88</v>
      </c>
      <c r="F96" s="719" t="s">
        <v>3933</v>
      </c>
      <c r="G96" s="24">
        <f t="shared" si="27"/>
        <v>0.94</v>
      </c>
      <c r="H96" s="719" t="s">
        <v>3316</v>
      </c>
      <c r="I96" s="24">
        <f t="shared" si="28"/>
        <v>1</v>
      </c>
      <c r="J96" s="719"/>
      <c r="K96" s="24">
        <f t="shared" si="29"/>
        <v>1</v>
      </c>
      <c r="L96" s="719"/>
      <c r="M96" s="24">
        <f t="shared" si="30"/>
        <v>1</v>
      </c>
      <c r="N96" s="719"/>
      <c r="O96" s="24">
        <f t="shared" si="31"/>
        <v>1</v>
      </c>
      <c r="P96" s="719" t="s">
        <v>3862</v>
      </c>
      <c r="Q96" s="24">
        <f t="shared" si="32"/>
        <v>1</v>
      </c>
      <c r="R96" s="715">
        <f t="shared" ca="1" si="33"/>
        <v>36575</v>
      </c>
      <c r="S96" s="361">
        <f t="shared" ca="1" si="23"/>
        <v>224</v>
      </c>
      <c r="T96" s="799">
        <f>剩余房源售价清单!I77</f>
        <v>40626</v>
      </c>
      <c r="U96" s="799">
        <f t="shared" ca="1" si="24"/>
        <v>0.90028553143307244</v>
      </c>
    </row>
    <row r="97" spans="1:21">
      <c r="A97" s="2985" t="str">
        <f>清单!D76</f>
        <v>1-85</v>
      </c>
      <c r="B97" s="717">
        <f>清单!G76</f>
        <v>60.42</v>
      </c>
      <c r="C97" s="24">
        <f t="shared" si="25"/>
        <v>1.04</v>
      </c>
      <c r="D97" s="719" t="s">
        <v>3935</v>
      </c>
      <c r="E97" s="24">
        <f t="shared" si="26"/>
        <v>0.88</v>
      </c>
      <c r="F97" s="719" t="s">
        <v>3933</v>
      </c>
      <c r="G97" s="24">
        <f t="shared" si="27"/>
        <v>0.94</v>
      </c>
      <c r="H97" s="719" t="s">
        <v>3316</v>
      </c>
      <c r="I97" s="24">
        <f t="shared" si="28"/>
        <v>1</v>
      </c>
      <c r="J97" s="719"/>
      <c r="K97" s="24">
        <f t="shared" si="29"/>
        <v>1</v>
      </c>
      <c r="L97" s="719"/>
      <c r="M97" s="24">
        <f t="shared" si="30"/>
        <v>1</v>
      </c>
      <c r="N97" s="719"/>
      <c r="O97" s="24">
        <f t="shared" si="31"/>
        <v>1</v>
      </c>
      <c r="P97" s="719" t="s">
        <v>3862</v>
      </c>
      <c r="Q97" s="24">
        <f t="shared" si="32"/>
        <v>1</v>
      </c>
      <c r="R97" s="715">
        <f t="shared" ca="1" si="33"/>
        <v>36575</v>
      </c>
      <c r="S97" s="361">
        <f t="shared" ca="1" si="23"/>
        <v>221</v>
      </c>
      <c r="T97" s="799">
        <f>剩余房源售价清单!I78</f>
        <v>38980</v>
      </c>
      <c r="U97" s="799">
        <f t="shared" ca="1" si="24"/>
        <v>0.93830169317598766</v>
      </c>
    </row>
    <row r="98" spans="1:21">
      <c r="A98" s="2985" t="str">
        <f>清单!D77</f>
        <v>1-86</v>
      </c>
      <c r="B98" s="717">
        <f>清单!G77</f>
        <v>60.49</v>
      </c>
      <c r="C98" s="24">
        <f t="shared" si="25"/>
        <v>1.04</v>
      </c>
      <c r="D98" s="719" t="s">
        <v>3935</v>
      </c>
      <c r="E98" s="24">
        <f t="shared" si="26"/>
        <v>0.88</v>
      </c>
      <c r="F98" s="719" t="s">
        <v>3933</v>
      </c>
      <c r="G98" s="24">
        <f t="shared" si="27"/>
        <v>0.94</v>
      </c>
      <c r="H98" s="719" t="s">
        <v>3316</v>
      </c>
      <c r="I98" s="24">
        <f t="shared" si="28"/>
        <v>1</v>
      </c>
      <c r="J98" s="719"/>
      <c r="K98" s="24">
        <f t="shared" si="29"/>
        <v>1</v>
      </c>
      <c r="L98" s="719"/>
      <c r="M98" s="24">
        <f t="shared" si="30"/>
        <v>1</v>
      </c>
      <c r="N98" s="719"/>
      <c r="O98" s="24">
        <f t="shared" si="31"/>
        <v>1</v>
      </c>
      <c r="P98" s="719" t="s">
        <v>3862</v>
      </c>
      <c r="Q98" s="24">
        <f t="shared" si="32"/>
        <v>1</v>
      </c>
      <c r="R98" s="715">
        <f t="shared" ca="1" si="33"/>
        <v>36575</v>
      </c>
      <c r="S98" s="361">
        <f t="shared" ca="1" si="23"/>
        <v>221</v>
      </c>
      <c r="T98" s="799">
        <f>剩余房源售价清单!I79</f>
        <v>40215</v>
      </c>
      <c r="U98" s="799">
        <f t="shared" ca="1" si="24"/>
        <v>0.90948651000870318</v>
      </c>
    </row>
    <row r="99" spans="1:21">
      <c r="A99" s="2985" t="str">
        <f>清单!D78</f>
        <v>1-87</v>
      </c>
      <c r="B99" s="717">
        <f>清单!G78</f>
        <v>68.63</v>
      </c>
      <c r="C99" s="24">
        <f t="shared" si="25"/>
        <v>1.04</v>
      </c>
      <c r="D99" s="719" t="s">
        <v>3935</v>
      </c>
      <c r="E99" s="24">
        <f t="shared" si="26"/>
        <v>0.88</v>
      </c>
      <c r="F99" s="719" t="s">
        <v>3933</v>
      </c>
      <c r="G99" s="24">
        <f t="shared" si="27"/>
        <v>0.94</v>
      </c>
      <c r="H99" s="719" t="s">
        <v>3316</v>
      </c>
      <c r="I99" s="24">
        <f t="shared" si="28"/>
        <v>1</v>
      </c>
      <c r="J99" s="719"/>
      <c r="K99" s="24">
        <f t="shared" si="29"/>
        <v>1</v>
      </c>
      <c r="L99" s="719"/>
      <c r="M99" s="24">
        <f t="shared" si="30"/>
        <v>1</v>
      </c>
      <c r="N99" s="719"/>
      <c r="O99" s="24">
        <f t="shared" si="31"/>
        <v>1</v>
      </c>
      <c r="P99" s="719" t="s">
        <v>3862</v>
      </c>
      <c r="Q99" s="24">
        <f t="shared" si="32"/>
        <v>1</v>
      </c>
      <c r="R99" s="715">
        <f t="shared" ca="1" si="33"/>
        <v>36575</v>
      </c>
      <c r="S99" s="361">
        <f t="shared" ca="1" si="23"/>
        <v>251</v>
      </c>
      <c r="T99" s="799">
        <f>剩余房源售价清单!I80</f>
        <v>43096</v>
      </c>
      <c r="U99" s="799">
        <f t="shared" ca="1" si="24"/>
        <v>0.84868665305364765</v>
      </c>
    </row>
    <row r="100" spans="1:21">
      <c r="A100" s="2985" t="str">
        <f>清单!D79</f>
        <v>1-89</v>
      </c>
      <c r="B100" s="717">
        <f>清单!G79</f>
        <v>36.03</v>
      </c>
      <c r="C100" s="24">
        <f t="shared" si="25"/>
        <v>1.1000000000000001</v>
      </c>
      <c r="D100" s="719" t="s">
        <v>3935</v>
      </c>
      <c r="E100" s="24">
        <f t="shared" si="26"/>
        <v>0.88</v>
      </c>
      <c r="F100" s="719" t="s">
        <v>3843</v>
      </c>
      <c r="G100" s="24">
        <f t="shared" si="27"/>
        <v>0.97</v>
      </c>
      <c r="H100" s="719" t="s">
        <v>3316</v>
      </c>
      <c r="I100" s="24">
        <f t="shared" si="28"/>
        <v>1</v>
      </c>
      <c r="J100" s="719"/>
      <c r="K100" s="24">
        <f t="shared" si="29"/>
        <v>1</v>
      </c>
      <c r="L100" s="719"/>
      <c r="M100" s="24">
        <f t="shared" si="30"/>
        <v>1</v>
      </c>
      <c r="N100" s="719"/>
      <c r="O100" s="24">
        <f t="shared" si="31"/>
        <v>1</v>
      </c>
      <c r="P100" s="719" t="s">
        <v>3862</v>
      </c>
      <c r="Q100" s="24">
        <f t="shared" si="32"/>
        <v>1</v>
      </c>
      <c r="R100" s="715">
        <f t="shared" ca="1" si="33"/>
        <v>39920</v>
      </c>
      <c r="S100" s="361">
        <f t="shared" ca="1" si="23"/>
        <v>144</v>
      </c>
      <c r="T100" s="799">
        <f>剩余房源售价清单!I81</f>
        <v>46063</v>
      </c>
      <c r="U100" s="799">
        <f t="shared" ca="1" si="24"/>
        <v>0.86663916809586872</v>
      </c>
    </row>
    <row r="101" spans="1:21">
      <c r="A101" s="2985" t="str">
        <f>清单!D80</f>
        <v>1-90</v>
      </c>
      <c r="B101" s="717">
        <f>清单!G80</f>
        <v>50.5</v>
      </c>
      <c r="C101" s="24">
        <f t="shared" si="25"/>
        <v>1.06</v>
      </c>
      <c r="D101" s="719" t="s">
        <v>3935</v>
      </c>
      <c r="E101" s="24">
        <f t="shared" si="26"/>
        <v>0.88</v>
      </c>
      <c r="F101" s="719" t="s">
        <v>3933</v>
      </c>
      <c r="G101" s="24">
        <f t="shared" si="27"/>
        <v>0.94</v>
      </c>
      <c r="H101" s="719" t="s">
        <v>3316</v>
      </c>
      <c r="I101" s="24">
        <f t="shared" si="28"/>
        <v>1</v>
      </c>
      <c r="J101" s="719"/>
      <c r="K101" s="24">
        <f t="shared" si="29"/>
        <v>1</v>
      </c>
      <c r="L101" s="719"/>
      <c r="M101" s="24">
        <f t="shared" si="30"/>
        <v>1</v>
      </c>
      <c r="N101" s="719"/>
      <c r="O101" s="24">
        <f t="shared" si="31"/>
        <v>1</v>
      </c>
      <c r="P101" s="719" t="s">
        <v>3862</v>
      </c>
      <c r="Q101" s="24">
        <f t="shared" si="32"/>
        <v>1</v>
      </c>
      <c r="R101" s="715">
        <f t="shared" ca="1" si="33"/>
        <v>37279</v>
      </c>
      <c r="S101" s="361">
        <f t="shared" ca="1" si="23"/>
        <v>188</v>
      </c>
      <c r="T101" s="799">
        <f>剩余房源售价清单!I82</f>
        <v>42633</v>
      </c>
      <c r="U101" s="799">
        <f t="shared" ca="1" si="24"/>
        <v>0.8744165317946192</v>
      </c>
    </row>
    <row r="102" spans="1:21">
      <c r="A102" s="2985" t="str">
        <f>清单!D81</f>
        <v>1-91</v>
      </c>
      <c r="B102" s="717">
        <f>清单!G81</f>
        <v>50.5</v>
      </c>
      <c r="C102" s="24">
        <f t="shared" si="25"/>
        <v>1.06</v>
      </c>
      <c r="D102" s="719" t="s">
        <v>3935</v>
      </c>
      <c r="E102" s="24">
        <f t="shared" si="26"/>
        <v>0.88</v>
      </c>
      <c r="F102" s="719" t="s">
        <v>3933</v>
      </c>
      <c r="G102" s="24">
        <f t="shared" si="27"/>
        <v>0.94</v>
      </c>
      <c r="H102" s="719" t="s">
        <v>3316</v>
      </c>
      <c r="I102" s="24">
        <f t="shared" si="28"/>
        <v>1</v>
      </c>
      <c r="J102" s="719"/>
      <c r="K102" s="24">
        <f t="shared" si="29"/>
        <v>1</v>
      </c>
      <c r="L102" s="719"/>
      <c r="M102" s="24">
        <f t="shared" si="30"/>
        <v>1</v>
      </c>
      <c r="N102" s="719"/>
      <c r="O102" s="24">
        <f t="shared" si="31"/>
        <v>1</v>
      </c>
      <c r="P102" s="719" t="s">
        <v>3862</v>
      </c>
      <c r="Q102" s="24">
        <f t="shared" si="32"/>
        <v>1</v>
      </c>
      <c r="R102" s="715">
        <f t="shared" ca="1" si="33"/>
        <v>37279</v>
      </c>
      <c r="S102" s="361">
        <f t="shared" ca="1" si="23"/>
        <v>188</v>
      </c>
      <c r="T102" s="799">
        <f>剩余房源售价清单!I83</f>
        <v>42633</v>
      </c>
      <c r="U102" s="799">
        <f t="shared" ca="1" si="24"/>
        <v>0.8744165317946192</v>
      </c>
    </row>
    <row r="103" spans="1:21">
      <c r="A103" s="2985" t="str">
        <f>清单!D82</f>
        <v>1-92</v>
      </c>
      <c r="B103" s="717">
        <f>清单!G82</f>
        <v>65.650000000000006</v>
      </c>
      <c r="C103" s="24">
        <f t="shared" si="25"/>
        <v>1.04</v>
      </c>
      <c r="D103" s="719" t="s">
        <v>3935</v>
      </c>
      <c r="E103" s="24">
        <f t="shared" si="26"/>
        <v>0.88</v>
      </c>
      <c r="F103" s="719" t="s">
        <v>3935</v>
      </c>
      <c r="G103" s="24">
        <f t="shared" si="27"/>
        <v>0.91</v>
      </c>
      <c r="H103" s="719" t="s">
        <v>3316</v>
      </c>
      <c r="I103" s="24">
        <f t="shared" si="28"/>
        <v>1</v>
      </c>
      <c r="J103" s="719"/>
      <c r="K103" s="24">
        <f t="shared" si="29"/>
        <v>1</v>
      </c>
      <c r="L103" s="719"/>
      <c r="M103" s="24">
        <f t="shared" si="30"/>
        <v>1</v>
      </c>
      <c r="N103" s="719"/>
      <c r="O103" s="24">
        <f t="shared" si="31"/>
        <v>1</v>
      </c>
      <c r="P103" s="719" t="s">
        <v>3862</v>
      </c>
      <c r="Q103" s="24">
        <f t="shared" si="32"/>
        <v>1</v>
      </c>
      <c r="R103" s="715">
        <f t="shared" ca="1" si="33"/>
        <v>35408</v>
      </c>
      <c r="S103" s="361">
        <f t="shared" ca="1" si="23"/>
        <v>232</v>
      </c>
      <c r="T103" s="799">
        <f>剩余房源售价清单!I84</f>
        <v>40060</v>
      </c>
      <c r="U103" s="799">
        <f t="shared" ca="1" si="24"/>
        <v>0.88387418871692458</v>
      </c>
    </row>
    <row r="104" spans="1:21">
      <c r="A104" s="2985" t="str">
        <f>清单!D83</f>
        <v>1-94</v>
      </c>
      <c r="B104" s="717">
        <f>清单!G83</f>
        <v>106.77</v>
      </c>
      <c r="C104" s="24">
        <f t="shared" si="25"/>
        <v>1.02</v>
      </c>
      <c r="D104" s="719" t="s">
        <v>3935</v>
      </c>
      <c r="E104" s="24">
        <f t="shared" si="26"/>
        <v>0.88</v>
      </c>
      <c r="F104" s="719" t="s">
        <v>3844</v>
      </c>
      <c r="G104" s="24">
        <f t="shared" si="27"/>
        <v>1</v>
      </c>
      <c r="H104" s="719" t="s">
        <v>3316</v>
      </c>
      <c r="I104" s="24">
        <f t="shared" si="28"/>
        <v>1</v>
      </c>
      <c r="J104" s="719"/>
      <c r="K104" s="24">
        <f t="shared" si="29"/>
        <v>1</v>
      </c>
      <c r="L104" s="719"/>
      <c r="M104" s="24">
        <f t="shared" si="30"/>
        <v>1</v>
      </c>
      <c r="N104" s="719"/>
      <c r="O104" s="24">
        <f t="shared" si="31"/>
        <v>1</v>
      </c>
      <c r="P104" s="719" t="s">
        <v>3862</v>
      </c>
      <c r="Q104" s="24">
        <f t="shared" si="32"/>
        <v>1</v>
      </c>
      <c r="R104" s="715">
        <f t="shared" ca="1" si="33"/>
        <v>38161</v>
      </c>
      <c r="S104" s="361">
        <f t="shared" ca="1" si="23"/>
        <v>407</v>
      </c>
      <c r="T104" s="799">
        <f>剩余房源售价清单!I85</f>
        <v>40678</v>
      </c>
      <c r="U104" s="799">
        <f t="shared" ca="1" si="24"/>
        <v>0.93812380156349873</v>
      </c>
    </row>
    <row r="105" spans="1:21">
      <c r="A105" s="2985" t="str">
        <f>清单!D84</f>
        <v>1-95</v>
      </c>
      <c r="B105" s="717">
        <f>清单!G84</f>
        <v>32.79</v>
      </c>
      <c r="C105" s="24">
        <f t="shared" si="25"/>
        <v>1.1000000000000001</v>
      </c>
      <c r="D105" s="719" t="s">
        <v>3935</v>
      </c>
      <c r="E105" s="24">
        <f t="shared" si="26"/>
        <v>0.88</v>
      </c>
      <c r="F105" s="719" t="s">
        <v>3843</v>
      </c>
      <c r="G105" s="24">
        <f t="shared" si="27"/>
        <v>0.97</v>
      </c>
      <c r="H105" s="719" t="s">
        <v>3316</v>
      </c>
      <c r="I105" s="24">
        <f t="shared" si="28"/>
        <v>1</v>
      </c>
      <c r="J105" s="719"/>
      <c r="K105" s="24">
        <f t="shared" si="29"/>
        <v>1</v>
      </c>
      <c r="L105" s="719"/>
      <c r="M105" s="24">
        <f t="shared" si="30"/>
        <v>1</v>
      </c>
      <c r="N105" s="719"/>
      <c r="O105" s="24">
        <f t="shared" si="31"/>
        <v>1</v>
      </c>
      <c r="P105" s="719" t="s">
        <v>3862</v>
      </c>
      <c r="Q105" s="24">
        <f t="shared" si="32"/>
        <v>1</v>
      </c>
      <c r="R105" s="715">
        <f t="shared" ca="1" si="33"/>
        <v>39920</v>
      </c>
      <c r="S105" s="361">
        <f t="shared" ca="1" si="23"/>
        <v>131</v>
      </c>
      <c r="T105" s="799">
        <f>剩余房源售价清单!I86</f>
        <v>43680</v>
      </c>
      <c r="U105" s="799">
        <f t="shared" ca="1" si="24"/>
        <v>0.91391941391941389</v>
      </c>
    </row>
    <row r="106" spans="1:21">
      <c r="A106" s="2985" t="str">
        <f>清单!D85</f>
        <v>1-96</v>
      </c>
      <c r="B106" s="717">
        <f>清单!G85</f>
        <v>102.89</v>
      </c>
      <c r="C106" s="24">
        <f t="shared" si="25"/>
        <v>1.02</v>
      </c>
      <c r="D106" s="719" t="s">
        <v>3933</v>
      </c>
      <c r="E106" s="24">
        <f t="shared" si="26"/>
        <v>0.91</v>
      </c>
      <c r="F106" s="719" t="s">
        <v>3844</v>
      </c>
      <c r="G106" s="24">
        <f t="shared" si="27"/>
        <v>1</v>
      </c>
      <c r="H106" s="719" t="s">
        <v>3316</v>
      </c>
      <c r="I106" s="24">
        <f t="shared" si="28"/>
        <v>1</v>
      </c>
      <c r="J106" s="719"/>
      <c r="K106" s="24">
        <f t="shared" si="29"/>
        <v>1</v>
      </c>
      <c r="L106" s="719"/>
      <c r="M106" s="24">
        <f t="shared" si="30"/>
        <v>1</v>
      </c>
      <c r="N106" s="719"/>
      <c r="O106" s="24">
        <f t="shared" si="31"/>
        <v>1</v>
      </c>
      <c r="P106" s="719" t="s">
        <v>3862</v>
      </c>
      <c r="Q106" s="24">
        <f t="shared" si="32"/>
        <v>1</v>
      </c>
      <c r="R106" s="715">
        <f t="shared" ca="1" si="33"/>
        <v>39462</v>
      </c>
      <c r="S106" s="361">
        <f t="shared" ca="1" si="23"/>
        <v>406</v>
      </c>
      <c r="T106" s="799">
        <f>剩余房源售价清单!I87</f>
        <v>45395</v>
      </c>
      <c r="U106" s="799">
        <f t="shared" ca="1" si="24"/>
        <v>0.86930278665051219</v>
      </c>
    </row>
    <row r="107" spans="1:21">
      <c r="A107" s="2985" t="str">
        <f>清单!D86</f>
        <v>2-1</v>
      </c>
      <c r="B107" s="717">
        <f>清单!G86</f>
        <v>67.739999999999995</v>
      </c>
      <c r="C107" s="24">
        <f t="shared" si="25"/>
        <v>1.04</v>
      </c>
      <c r="D107" s="3020" t="s">
        <v>3932</v>
      </c>
      <c r="E107" s="24">
        <f t="shared" si="26"/>
        <v>0.94</v>
      </c>
      <c r="F107" s="719" t="s">
        <v>3844</v>
      </c>
      <c r="G107" s="24">
        <f t="shared" si="27"/>
        <v>1</v>
      </c>
      <c r="H107" s="719" t="s">
        <v>3316</v>
      </c>
      <c r="I107" s="24">
        <f t="shared" si="28"/>
        <v>1</v>
      </c>
      <c r="J107" s="719"/>
      <c r="K107" s="24">
        <f t="shared" si="29"/>
        <v>1</v>
      </c>
      <c r="L107" s="719"/>
      <c r="M107" s="24">
        <f t="shared" si="30"/>
        <v>1</v>
      </c>
      <c r="N107" s="719"/>
      <c r="O107" s="24">
        <f t="shared" si="31"/>
        <v>1</v>
      </c>
      <c r="P107" s="719" t="s">
        <v>3926</v>
      </c>
      <c r="Q107" s="24">
        <f t="shared" si="32"/>
        <v>0.45</v>
      </c>
      <c r="R107" s="715">
        <f t="shared" ca="1" si="33"/>
        <v>18703</v>
      </c>
      <c r="S107" s="361">
        <f t="shared" ca="1" si="23"/>
        <v>127</v>
      </c>
      <c r="T107" s="799">
        <f>剩余房源售价清单!I88</f>
        <v>20144</v>
      </c>
      <c r="U107" s="799">
        <f t="shared" ca="1" si="24"/>
        <v>0.92846505162827642</v>
      </c>
    </row>
    <row r="108" spans="1:21">
      <c r="A108" s="2985" t="str">
        <f>清单!D87</f>
        <v>2-2</v>
      </c>
      <c r="B108" s="717">
        <f>清单!G87</f>
        <v>53.24</v>
      </c>
      <c r="C108" s="24">
        <f t="shared" si="25"/>
        <v>1.06</v>
      </c>
      <c r="D108" s="3020" t="s">
        <v>3932</v>
      </c>
      <c r="E108" s="24">
        <f t="shared" si="26"/>
        <v>0.94</v>
      </c>
      <c r="F108" s="719" t="s">
        <v>3844</v>
      </c>
      <c r="G108" s="24">
        <f t="shared" si="27"/>
        <v>1</v>
      </c>
      <c r="H108" s="719" t="s">
        <v>3316</v>
      </c>
      <c r="I108" s="24">
        <f t="shared" si="28"/>
        <v>1</v>
      </c>
      <c r="J108" s="719"/>
      <c r="K108" s="24">
        <f t="shared" si="29"/>
        <v>1</v>
      </c>
      <c r="L108" s="719"/>
      <c r="M108" s="24">
        <f t="shared" si="30"/>
        <v>1</v>
      </c>
      <c r="N108" s="719"/>
      <c r="O108" s="24">
        <f t="shared" si="31"/>
        <v>1</v>
      </c>
      <c r="P108" s="719" t="s">
        <v>3926</v>
      </c>
      <c r="Q108" s="24">
        <f t="shared" si="32"/>
        <v>0.45</v>
      </c>
      <c r="R108" s="715">
        <f t="shared" ca="1" si="33"/>
        <v>19063</v>
      </c>
      <c r="S108" s="361">
        <f t="shared" ca="1" si="23"/>
        <v>101</v>
      </c>
      <c r="T108" s="799">
        <f>剩余房源售价清单!I89</f>
        <v>19062</v>
      </c>
      <c r="U108" s="799">
        <f t="shared" ca="1" si="24"/>
        <v>1.0000524603924037</v>
      </c>
    </row>
    <row r="109" spans="1:21">
      <c r="A109" s="2985" t="str">
        <f>清单!D88</f>
        <v>2-3</v>
      </c>
      <c r="B109" s="717">
        <f>清单!G88</f>
        <v>105.17</v>
      </c>
      <c r="C109" s="24">
        <f t="shared" si="25"/>
        <v>1.02</v>
      </c>
      <c r="D109" s="3020" t="s">
        <v>3932</v>
      </c>
      <c r="E109" s="24">
        <f t="shared" si="26"/>
        <v>0.94</v>
      </c>
      <c r="F109" s="719" t="s">
        <v>3843</v>
      </c>
      <c r="G109" s="24">
        <f t="shared" si="27"/>
        <v>0.97</v>
      </c>
      <c r="H109" s="719" t="s">
        <v>3316</v>
      </c>
      <c r="I109" s="24">
        <f t="shared" si="28"/>
        <v>1</v>
      </c>
      <c r="J109" s="719"/>
      <c r="K109" s="24">
        <f t="shared" si="29"/>
        <v>1</v>
      </c>
      <c r="L109" s="719"/>
      <c r="M109" s="24">
        <f t="shared" si="30"/>
        <v>1</v>
      </c>
      <c r="N109" s="719"/>
      <c r="O109" s="24">
        <f t="shared" si="31"/>
        <v>1</v>
      </c>
      <c r="P109" s="719" t="s">
        <v>3926</v>
      </c>
      <c r="Q109" s="24">
        <f t="shared" si="32"/>
        <v>0.45</v>
      </c>
      <c r="R109" s="715">
        <f t="shared" ca="1" si="33"/>
        <v>17793</v>
      </c>
      <c r="S109" s="361">
        <f t="shared" ca="1" si="23"/>
        <v>187</v>
      </c>
      <c r="T109" s="799">
        <f>剩余房源售价清单!I90</f>
        <v>18025</v>
      </c>
      <c r="U109" s="799">
        <f t="shared" ca="1" si="24"/>
        <v>0.98712898751733702</v>
      </c>
    </row>
    <row r="110" spans="1:21">
      <c r="A110" s="2985" t="str">
        <f>清单!D89</f>
        <v>2-4</v>
      </c>
      <c r="B110" s="717">
        <f>清单!G89</f>
        <v>98.7</v>
      </c>
      <c r="C110" s="24">
        <f t="shared" si="25"/>
        <v>1.02</v>
      </c>
      <c r="D110" s="3020" t="s">
        <v>3932</v>
      </c>
      <c r="E110" s="24">
        <f t="shared" si="26"/>
        <v>0.94</v>
      </c>
      <c r="F110" s="719" t="s">
        <v>3843</v>
      </c>
      <c r="G110" s="24">
        <f t="shared" si="27"/>
        <v>0.97</v>
      </c>
      <c r="H110" s="719" t="s">
        <v>3316</v>
      </c>
      <c r="I110" s="24">
        <f t="shared" si="28"/>
        <v>1</v>
      </c>
      <c r="J110" s="719"/>
      <c r="K110" s="24">
        <f t="shared" si="29"/>
        <v>1</v>
      </c>
      <c r="L110" s="719"/>
      <c r="M110" s="24">
        <f t="shared" si="30"/>
        <v>1</v>
      </c>
      <c r="N110" s="719"/>
      <c r="O110" s="24">
        <f t="shared" si="31"/>
        <v>1</v>
      </c>
      <c r="P110" s="719" t="s">
        <v>3926</v>
      </c>
      <c r="Q110" s="24">
        <f t="shared" si="32"/>
        <v>0.45</v>
      </c>
      <c r="R110" s="715">
        <f t="shared" ca="1" si="33"/>
        <v>17793</v>
      </c>
      <c r="S110" s="361">
        <f t="shared" ca="1" si="23"/>
        <v>176</v>
      </c>
      <c r="T110" s="799">
        <f>剩余房源售价清单!I91</f>
        <v>19503</v>
      </c>
      <c r="U110" s="799">
        <f t="shared" ca="1" si="24"/>
        <v>0.91232118135671436</v>
      </c>
    </row>
    <row r="111" spans="1:21">
      <c r="A111" s="2985" t="str">
        <f>清单!D90</f>
        <v>2-5</v>
      </c>
      <c r="B111" s="717">
        <f>清单!G90</f>
        <v>130.77000000000001</v>
      </c>
      <c r="C111" s="24">
        <f t="shared" si="25"/>
        <v>1</v>
      </c>
      <c r="D111" s="3020" t="s">
        <v>3932</v>
      </c>
      <c r="E111" s="24">
        <f t="shared" si="26"/>
        <v>0.94</v>
      </c>
      <c r="F111" s="719" t="s">
        <v>3843</v>
      </c>
      <c r="G111" s="24">
        <f t="shared" si="27"/>
        <v>0.97</v>
      </c>
      <c r="H111" s="719" t="s">
        <v>3316</v>
      </c>
      <c r="I111" s="24">
        <f t="shared" si="28"/>
        <v>1</v>
      </c>
      <c r="J111" s="719"/>
      <c r="K111" s="24">
        <f t="shared" si="29"/>
        <v>1</v>
      </c>
      <c r="L111" s="719"/>
      <c r="M111" s="24">
        <f t="shared" si="30"/>
        <v>1</v>
      </c>
      <c r="N111" s="719"/>
      <c r="O111" s="24">
        <f t="shared" si="31"/>
        <v>1</v>
      </c>
      <c r="P111" s="719" t="s">
        <v>3926</v>
      </c>
      <c r="Q111" s="24">
        <f t="shared" si="32"/>
        <v>0.45</v>
      </c>
      <c r="R111" s="715">
        <f t="shared" ca="1" si="33"/>
        <v>17444</v>
      </c>
      <c r="S111" s="361">
        <f t="shared" ca="1" si="23"/>
        <v>228</v>
      </c>
      <c r="T111" s="799">
        <f>剩余房源售价清单!I92</f>
        <v>16773</v>
      </c>
      <c r="U111" s="799">
        <f t="shared" ca="1" si="24"/>
        <v>1.0400047695701424</v>
      </c>
    </row>
    <row r="112" spans="1:21">
      <c r="A112" s="2985" t="str">
        <f>清单!D91</f>
        <v>2-6</v>
      </c>
      <c r="B112" s="717">
        <f>清单!G91</f>
        <v>61.85</v>
      </c>
      <c r="C112" s="24">
        <f t="shared" si="25"/>
        <v>1.04</v>
      </c>
      <c r="D112" s="3020" t="s">
        <v>3932</v>
      </c>
      <c r="E112" s="24">
        <f t="shared" si="26"/>
        <v>0.94</v>
      </c>
      <c r="F112" s="719" t="s">
        <v>3844</v>
      </c>
      <c r="G112" s="24">
        <f t="shared" si="27"/>
        <v>1</v>
      </c>
      <c r="H112" s="719" t="s">
        <v>3316</v>
      </c>
      <c r="I112" s="24">
        <f t="shared" si="28"/>
        <v>1</v>
      </c>
      <c r="J112" s="719"/>
      <c r="K112" s="24">
        <f t="shared" si="29"/>
        <v>1</v>
      </c>
      <c r="L112" s="719"/>
      <c r="M112" s="24">
        <f t="shared" si="30"/>
        <v>1</v>
      </c>
      <c r="N112" s="719"/>
      <c r="O112" s="24">
        <f t="shared" si="31"/>
        <v>1</v>
      </c>
      <c r="P112" s="719" t="s">
        <v>3926</v>
      </c>
      <c r="Q112" s="24">
        <f t="shared" si="32"/>
        <v>0.45</v>
      </c>
      <c r="R112" s="715">
        <f t="shared" ca="1" si="33"/>
        <v>18703</v>
      </c>
      <c r="S112" s="361">
        <f t="shared" ca="1" si="23"/>
        <v>116</v>
      </c>
      <c r="T112" s="799">
        <f>剩余房源售价清单!I93</f>
        <v>18859</v>
      </c>
      <c r="U112" s="799">
        <f t="shared" ca="1" si="24"/>
        <v>0.99172808738533325</v>
      </c>
    </row>
    <row r="113" spans="1:21">
      <c r="A113" s="2985" t="str">
        <f>清单!D92</f>
        <v>2-7</v>
      </c>
      <c r="B113" s="717">
        <f>清单!G92</f>
        <v>55.48</v>
      </c>
      <c r="C113" s="24">
        <f t="shared" si="25"/>
        <v>1.06</v>
      </c>
      <c r="D113" s="3020" t="s">
        <v>3932</v>
      </c>
      <c r="E113" s="24">
        <f t="shared" si="26"/>
        <v>0.94</v>
      </c>
      <c r="F113" s="719" t="s">
        <v>3844</v>
      </c>
      <c r="G113" s="24">
        <f t="shared" si="27"/>
        <v>1</v>
      </c>
      <c r="H113" s="719" t="s">
        <v>3316</v>
      </c>
      <c r="I113" s="24">
        <f t="shared" si="28"/>
        <v>1</v>
      </c>
      <c r="J113" s="719"/>
      <c r="K113" s="24">
        <f t="shared" si="29"/>
        <v>1</v>
      </c>
      <c r="L113" s="719"/>
      <c r="M113" s="24">
        <f t="shared" si="30"/>
        <v>1</v>
      </c>
      <c r="N113" s="719"/>
      <c r="O113" s="24">
        <f t="shared" si="31"/>
        <v>1</v>
      </c>
      <c r="P113" s="719" t="s">
        <v>3926</v>
      </c>
      <c r="Q113" s="24">
        <f t="shared" si="32"/>
        <v>0.45</v>
      </c>
      <c r="R113" s="715">
        <f t="shared" ca="1" si="33"/>
        <v>19063</v>
      </c>
      <c r="S113" s="361">
        <f t="shared" ca="1" si="23"/>
        <v>106</v>
      </c>
      <c r="T113" s="799">
        <f>剩余房源售价清单!I94</f>
        <v>18642</v>
      </c>
      <c r="U113" s="799">
        <f t="shared" ca="1" si="24"/>
        <v>1.0225834137968028</v>
      </c>
    </row>
    <row r="114" spans="1:21">
      <c r="A114" s="2985" t="str">
        <f>清单!D93</f>
        <v>2-8</v>
      </c>
      <c r="B114" s="717">
        <f>清单!G93</f>
        <v>49.11</v>
      </c>
      <c r="C114" s="24">
        <f t="shared" si="25"/>
        <v>1.08</v>
      </c>
      <c r="D114" s="3020" t="s">
        <v>3932</v>
      </c>
      <c r="E114" s="24">
        <f t="shared" si="26"/>
        <v>0.94</v>
      </c>
      <c r="F114" s="719" t="s">
        <v>3844</v>
      </c>
      <c r="G114" s="24">
        <f t="shared" si="27"/>
        <v>1</v>
      </c>
      <c r="H114" s="719" t="s">
        <v>3316</v>
      </c>
      <c r="I114" s="24">
        <f t="shared" si="28"/>
        <v>1</v>
      </c>
      <c r="J114" s="719"/>
      <c r="K114" s="24">
        <f t="shared" si="29"/>
        <v>1</v>
      </c>
      <c r="L114" s="719"/>
      <c r="M114" s="24">
        <f t="shared" si="30"/>
        <v>1</v>
      </c>
      <c r="N114" s="719"/>
      <c r="O114" s="24">
        <f t="shared" si="31"/>
        <v>1</v>
      </c>
      <c r="P114" s="719" t="s">
        <v>3926</v>
      </c>
      <c r="Q114" s="24">
        <f t="shared" si="32"/>
        <v>0.45</v>
      </c>
      <c r="R114" s="715">
        <f t="shared" ca="1" si="33"/>
        <v>19423</v>
      </c>
      <c r="S114" s="361">
        <f t="shared" ca="1" si="23"/>
        <v>95</v>
      </c>
      <c r="T114" s="799">
        <f>剩余房源售价清单!I95</f>
        <v>19167</v>
      </c>
      <c r="U114" s="799">
        <f t="shared" ca="1" si="24"/>
        <v>1.0133562894558354</v>
      </c>
    </row>
    <row r="115" spans="1:21">
      <c r="A115" s="2985" t="str">
        <f>清单!D94</f>
        <v>2-9</v>
      </c>
      <c r="B115" s="717">
        <f>清单!G94</f>
        <v>96.83</v>
      </c>
      <c r="C115" s="24">
        <f t="shared" si="25"/>
        <v>1.02</v>
      </c>
      <c r="D115" s="3020" t="s">
        <v>3932</v>
      </c>
      <c r="E115" s="24">
        <f t="shared" si="26"/>
        <v>0.94</v>
      </c>
      <c r="F115" s="719" t="s">
        <v>3843</v>
      </c>
      <c r="G115" s="24">
        <f t="shared" si="27"/>
        <v>0.97</v>
      </c>
      <c r="H115" s="719" t="s">
        <v>3316</v>
      </c>
      <c r="I115" s="24">
        <f t="shared" si="28"/>
        <v>1</v>
      </c>
      <c r="J115" s="719"/>
      <c r="K115" s="24">
        <f t="shared" si="29"/>
        <v>1</v>
      </c>
      <c r="L115" s="719"/>
      <c r="M115" s="24">
        <f t="shared" si="30"/>
        <v>1</v>
      </c>
      <c r="N115" s="719"/>
      <c r="O115" s="24">
        <f t="shared" si="31"/>
        <v>1</v>
      </c>
      <c r="P115" s="719" t="s">
        <v>3926</v>
      </c>
      <c r="Q115" s="24">
        <f t="shared" si="32"/>
        <v>0.45</v>
      </c>
      <c r="R115" s="715">
        <f t="shared" ca="1" si="33"/>
        <v>17793</v>
      </c>
      <c r="S115" s="361">
        <f t="shared" ca="1" si="23"/>
        <v>172</v>
      </c>
      <c r="T115" s="799">
        <f>剩余房源售价清单!I96</f>
        <v>17466</v>
      </c>
      <c r="U115" s="799">
        <f t="shared" ca="1" si="24"/>
        <v>1.0187220886293371</v>
      </c>
    </row>
    <row r="116" spans="1:21">
      <c r="A116" s="2985" t="str">
        <f>清单!D95</f>
        <v>2-10</v>
      </c>
      <c r="B116" s="717">
        <f>清单!G95</f>
        <v>96.83</v>
      </c>
      <c r="C116" s="24">
        <f t="shared" si="25"/>
        <v>1.02</v>
      </c>
      <c r="D116" s="3020" t="s">
        <v>3932</v>
      </c>
      <c r="E116" s="24">
        <f t="shared" si="26"/>
        <v>0.94</v>
      </c>
      <c r="F116" s="719" t="s">
        <v>3843</v>
      </c>
      <c r="G116" s="24">
        <f t="shared" si="27"/>
        <v>0.97</v>
      </c>
      <c r="H116" s="719" t="s">
        <v>3316</v>
      </c>
      <c r="I116" s="24">
        <f t="shared" si="28"/>
        <v>1</v>
      </c>
      <c r="J116" s="719"/>
      <c r="K116" s="24">
        <f t="shared" si="29"/>
        <v>1</v>
      </c>
      <c r="L116" s="719"/>
      <c r="M116" s="24">
        <f t="shared" si="30"/>
        <v>1</v>
      </c>
      <c r="N116" s="719"/>
      <c r="O116" s="24">
        <f t="shared" si="31"/>
        <v>1</v>
      </c>
      <c r="P116" s="719" t="s">
        <v>3926</v>
      </c>
      <c r="Q116" s="24">
        <f t="shared" si="32"/>
        <v>0.45</v>
      </c>
      <c r="R116" s="715">
        <f t="shared" ca="1" si="33"/>
        <v>17793</v>
      </c>
      <c r="S116" s="361">
        <f t="shared" ca="1" si="23"/>
        <v>172</v>
      </c>
      <c r="T116" s="799">
        <f>剩余房源售价清单!I97</f>
        <v>18445</v>
      </c>
      <c r="U116" s="799">
        <f t="shared" ca="1" si="24"/>
        <v>0.96465166711846029</v>
      </c>
    </row>
    <row r="117" spans="1:21">
      <c r="A117" s="2985" t="str">
        <f>清单!D96</f>
        <v>2-11</v>
      </c>
      <c r="B117" s="717">
        <f>清单!G96</f>
        <v>95.92</v>
      </c>
      <c r="C117" s="24">
        <f t="shared" si="25"/>
        <v>1.02</v>
      </c>
      <c r="D117" s="3020" t="s">
        <v>3932</v>
      </c>
      <c r="E117" s="24">
        <f t="shared" si="26"/>
        <v>0.94</v>
      </c>
      <c r="F117" s="719" t="s">
        <v>3843</v>
      </c>
      <c r="G117" s="24">
        <f t="shared" si="27"/>
        <v>0.97</v>
      </c>
      <c r="H117" s="719" t="s">
        <v>3316</v>
      </c>
      <c r="I117" s="24">
        <f t="shared" si="28"/>
        <v>1</v>
      </c>
      <c r="J117" s="719"/>
      <c r="K117" s="24">
        <f t="shared" si="29"/>
        <v>1</v>
      </c>
      <c r="L117" s="719"/>
      <c r="M117" s="24">
        <f t="shared" si="30"/>
        <v>1</v>
      </c>
      <c r="N117" s="719"/>
      <c r="O117" s="24">
        <f t="shared" si="31"/>
        <v>1</v>
      </c>
      <c r="P117" s="719" t="s">
        <v>3926</v>
      </c>
      <c r="Q117" s="24">
        <f t="shared" si="32"/>
        <v>0.45</v>
      </c>
      <c r="R117" s="715">
        <f t="shared" ca="1" si="33"/>
        <v>17793</v>
      </c>
      <c r="S117" s="361">
        <f t="shared" ca="1" si="23"/>
        <v>171</v>
      </c>
      <c r="T117" s="799">
        <f>剩余房源售价清单!I98</f>
        <v>19018</v>
      </c>
      <c r="U117" s="799">
        <f t="shared" ca="1" si="24"/>
        <v>0.93558733831107377</v>
      </c>
    </row>
    <row r="118" spans="1:21">
      <c r="A118" s="2985" t="str">
        <f>清单!D97</f>
        <v>2-12</v>
      </c>
      <c r="B118" s="717">
        <f>清单!G97</f>
        <v>96.83</v>
      </c>
      <c r="C118" s="24">
        <f t="shared" si="25"/>
        <v>1.02</v>
      </c>
      <c r="D118" s="3020" t="s">
        <v>3932</v>
      </c>
      <c r="E118" s="24">
        <f t="shared" si="26"/>
        <v>0.94</v>
      </c>
      <c r="F118" s="719" t="s">
        <v>3843</v>
      </c>
      <c r="G118" s="24">
        <f t="shared" si="27"/>
        <v>0.97</v>
      </c>
      <c r="H118" s="719" t="s">
        <v>3316</v>
      </c>
      <c r="I118" s="24">
        <f t="shared" si="28"/>
        <v>1</v>
      </c>
      <c r="J118" s="719"/>
      <c r="K118" s="24">
        <f t="shared" si="29"/>
        <v>1</v>
      </c>
      <c r="L118" s="719"/>
      <c r="M118" s="24">
        <f t="shared" si="30"/>
        <v>1</v>
      </c>
      <c r="N118" s="719"/>
      <c r="O118" s="24">
        <f t="shared" si="31"/>
        <v>1</v>
      </c>
      <c r="P118" s="719" t="s">
        <v>3926</v>
      </c>
      <c r="Q118" s="24">
        <f t="shared" si="32"/>
        <v>0.45</v>
      </c>
      <c r="R118" s="715">
        <f t="shared" ca="1" si="33"/>
        <v>17793</v>
      </c>
      <c r="S118" s="361">
        <f t="shared" ca="1" si="23"/>
        <v>172</v>
      </c>
      <c r="T118" s="799">
        <f>剩余房源售价清单!I99</f>
        <v>17874</v>
      </c>
      <c r="U118" s="799">
        <f t="shared" ca="1" si="24"/>
        <v>0.99546827794561932</v>
      </c>
    </row>
    <row r="119" spans="1:21">
      <c r="A119" s="2985" t="str">
        <f>清单!D98</f>
        <v>2-13</v>
      </c>
      <c r="B119" s="717">
        <f>清单!G98</f>
        <v>96.83</v>
      </c>
      <c r="C119" s="24">
        <f t="shared" si="25"/>
        <v>1.02</v>
      </c>
      <c r="D119" s="3020" t="s">
        <v>3932</v>
      </c>
      <c r="E119" s="24">
        <f t="shared" si="26"/>
        <v>0.94</v>
      </c>
      <c r="F119" s="719" t="s">
        <v>3843</v>
      </c>
      <c r="G119" s="24">
        <f t="shared" si="27"/>
        <v>0.97</v>
      </c>
      <c r="H119" s="719" t="s">
        <v>3316</v>
      </c>
      <c r="I119" s="24">
        <f t="shared" si="28"/>
        <v>1</v>
      </c>
      <c r="J119" s="719"/>
      <c r="K119" s="24">
        <f t="shared" si="29"/>
        <v>1</v>
      </c>
      <c r="L119" s="719"/>
      <c r="M119" s="24">
        <f t="shared" si="30"/>
        <v>1</v>
      </c>
      <c r="N119" s="719"/>
      <c r="O119" s="24">
        <f t="shared" si="31"/>
        <v>1</v>
      </c>
      <c r="P119" s="719" t="s">
        <v>3926</v>
      </c>
      <c r="Q119" s="24">
        <f t="shared" si="32"/>
        <v>0.45</v>
      </c>
      <c r="R119" s="715">
        <f t="shared" ca="1" si="33"/>
        <v>17793</v>
      </c>
      <c r="S119" s="361">
        <f t="shared" ca="1" si="23"/>
        <v>172</v>
      </c>
      <c r="T119" s="799">
        <f>剩余房源售价清单!I100</f>
        <v>18119</v>
      </c>
      <c r="U119" s="799">
        <f t="shared" ca="1" si="24"/>
        <v>0.98200783707710138</v>
      </c>
    </row>
    <row r="120" spans="1:21">
      <c r="A120" s="2985" t="str">
        <f>清单!D99</f>
        <v>2-14</v>
      </c>
      <c r="B120" s="717">
        <f>清单!G99</f>
        <v>96.71</v>
      </c>
      <c r="C120" s="24">
        <f t="shared" si="25"/>
        <v>1.02</v>
      </c>
      <c r="D120" s="3020" t="s">
        <v>3932</v>
      </c>
      <c r="E120" s="24">
        <f t="shared" si="26"/>
        <v>0.94</v>
      </c>
      <c r="F120" s="719" t="s">
        <v>3843</v>
      </c>
      <c r="G120" s="24">
        <f t="shared" si="27"/>
        <v>0.97</v>
      </c>
      <c r="H120" s="719" t="s">
        <v>3316</v>
      </c>
      <c r="I120" s="24">
        <f t="shared" si="28"/>
        <v>1</v>
      </c>
      <c r="J120" s="719"/>
      <c r="K120" s="24">
        <f t="shared" si="29"/>
        <v>1</v>
      </c>
      <c r="L120" s="719"/>
      <c r="M120" s="24">
        <f t="shared" si="30"/>
        <v>1</v>
      </c>
      <c r="N120" s="719"/>
      <c r="O120" s="24">
        <f t="shared" si="31"/>
        <v>1</v>
      </c>
      <c r="P120" s="719" t="s">
        <v>3926</v>
      </c>
      <c r="Q120" s="24">
        <f t="shared" si="32"/>
        <v>0.45</v>
      </c>
      <c r="R120" s="715">
        <f t="shared" ca="1" si="33"/>
        <v>17793</v>
      </c>
      <c r="S120" s="361">
        <f t="shared" ca="1" si="23"/>
        <v>172</v>
      </c>
      <c r="T120" s="799">
        <f>剩余房源售价清单!I101</f>
        <v>17956</v>
      </c>
      <c r="U120" s="799">
        <f t="shared" ca="1" si="24"/>
        <v>0.99092225439964354</v>
      </c>
    </row>
    <row r="121" spans="1:21">
      <c r="A121" s="2985" t="str">
        <f>清单!D100</f>
        <v>2-15</v>
      </c>
      <c r="B121" s="717">
        <f>清单!G100</f>
        <v>96.07</v>
      </c>
      <c r="C121" s="24">
        <f t="shared" si="25"/>
        <v>1.02</v>
      </c>
      <c r="D121" s="3020" t="s">
        <v>3932</v>
      </c>
      <c r="E121" s="24">
        <f t="shared" si="26"/>
        <v>0.94</v>
      </c>
      <c r="F121" s="719" t="s">
        <v>3843</v>
      </c>
      <c r="G121" s="24">
        <f t="shared" si="27"/>
        <v>0.97</v>
      </c>
      <c r="H121" s="719" t="s">
        <v>3316</v>
      </c>
      <c r="I121" s="24">
        <f t="shared" si="28"/>
        <v>1</v>
      </c>
      <c r="J121" s="719"/>
      <c r="K121" s="24">
        <f t="shared" si="29"/>
        <v>1</v>
      </c>
      <c r="L121" s="719"/>
      <c r="M121" s="24">
        <f t="shared" si="30"/>
        <v>1</v>
      </c>
      <c r="N121" s="719"/>
      <c r="O121" s="24">
        <f t="shared" si="31"/>
        <v>1</v>
      </c>
      <c r="P121" s="719" t="s">
        <v>3926</v>
      </c>
      <c r="Q121" s="24">
        <f t="shared" si="32"/>
        <v>0.45</v>
      </c>
      <c r="R121" s="715">
        <f t="shared" ca="1" si="33"/>
        <v>17793</v>
      </c>
      <c r="S121" s="361">
        <f t="shared" ca="1" si="23"/>
        <v>171</v>
      </c>
      <c r="T121" s="799">
        <f>剩余房源售价清单!I102</f>
        <v>20160</v>
      </c>
      <c r="U121" s="799">
        <f t="shared" ca="1" si="24"/>
        <v>0.88258928571428574</v>
      </c>
    </row>
    <row r="122" spans="1:21">
      <c r="A122" s="2985" t="str">
        <f>清单!D101</f>
        <v>2-16</v>
      </c>
      <c r="B122" s="717">
        <f>清单!G101</f>
        <v>64.55</v>
      </c>
      <c r="C122" s="24">
        <f t="shared" si="25"/>
        <v>1.04</v>
      </c>
      <c r="D122" s="3020" t="s">
        <v>3932</v>
      </c>
      <c r="E122" s="24">
        <f t="shared" si="26"/>
        <v>0.94</v>
      </c>
      <c r="F122" s="719" t="s">
        <v>3843</v>
      </c>
      <c r="G122" s="24">
        <f t="shared" si="27"/>
        <v>0.97</v>
      </c>
      <c r="H122" s="719" t="s">
        <v>3316</v>
      </c>
      <c r="I122" s="24">
        <f t="shared" si="28"/>
        <v>1</v>
      </c>
      <c r="J122" s="719"/>
      <c r="K122" s="24">
        <f t="shared" si="29"/>
        <v>1</v>
      </c>
      <c r="L122" s="719"/>
      <c r="M122" s="24">
        <f t="shared" si="30"/>
        <v>1</v>
      </c>
      <c r="N122" s="719"/>
      <c r="O122" s="24">
        <f t="shared" si="31"/>
        <v>1</v>
      </c>
      <c r="P122" s="719" t="s">
        <v>3926</v>
      </c>
      <c r="Q122" s="24">
        <f t="shared" si="32"/>
        <v>0.45</v>
      </c>
      <c r="R122" s="715">
        <f t="shared" ca="1" si="33"/>
        <v>18142</v>
      </c>
      <c r="S122" s="361">
        <f t="shared" ca="1" si="23"/>
        <v>117</v>
      </c>
      <c r="T122" s="799">
        <f>剩余房源售价清单!I103</f>
        <v>19421</v>
      </c>
      <c r="U122" s="799">
        <f t="shared" ca="1" si="24"/>
        <v>0.93414345296328716</v>
      </c>
    </row>
    <row r="123" spans="1:21">
      <c r="A123" s="2985" t="str">
        <f>清单!D102</f>
        <v>2-17</v>
      </c>
      <c r="B123" s="717">
        <f>清单!G102</f>
        <v>64.55</v>
      </c>
      <c r="C123" s="24">
        <f t="shared" si="25"/>
        <v>1.04</v>
      </c>
      <c r="D123" s="3020" t="s">
        <v>3932</v>
      </c>
      <c r="E123" s="24">
        <f t="shared" si="26"/>
        <v>0.94</v>
      </c>
      <c r="F123" s="719" t="s">
        <v>3843</v>
      </c>
      <c r="G123" s="24">
        <f t="shared" si="27"/>
        <v>0.97</v>
      </c>
      <c r="H123" s="719" t="s">
        <v>3316</v>
      </c>
      <c r="I123" s="24">
        <f t="shared" si="28"/>
        <v>1</v>
      </c>
      <c r="J123" s="719"/>
      <c r="K123" s="24">
        <f t="shared" si="29"/>
        <v>1</v>
      </c>
      <c r="L123" s="719"/>
      <c r="M123" s="24">
        <f t="shared" si="30"/>
        <v>1</v>
      </c>
      <c r="N123" s="719"/>
      <c r="O123" s="24">
        <f t="shared" si="31"/>
        <v>1</v>
      </c>
      <c r="P123" s="719" t="s">
        <v>3926</v>
      </c>
      <c r="Q123" s="24">
        <f t="shared" si="32"/>
        <v>0.45</v>
      </c>
      <c r="R123" s="715">
        <f t="shared" ca="1" si="33"/>
        <v>18142</v>
      </c>
      <c r="S123" s="361">
        <f t="shared" ref="S123:S186" ca="1" si="34">ROUND(R123*B123/10000,0)</f>
        <v>117</v>
      </c>
      <c r="T123" s="799">
        <f>剩余房源售价清单!I104</f>
        <v>19665</v>
      </c>
      <c r="U123" s="799">
        <f t="shared" ca="1" si="24"/>
        <v>0.92255275870836506</v>
      </c>
    </row>
    <row r="124" spans="1:21">
      <c r="A124" s="2985" t="str">
        <f>清单!D103</f>
        <v>2-19</v>
      </c>
      <c r="B124" s="717">
        <f>清单!G103</f>
        <v>31.08</v>
      </c>
      <c r="C124" s="24">
        <f t="shared" si="25"/>
        <v>1.1000000000000001</v>
      </c>
      <c r="D124" s="3020" t="s">
        <v>3932</v>
      </c>
      <c r="E124" s="24">
        <f t="shared" si="26"/>
        <v>0.94</v>
      </c>
      <c r="F124" s="719" t="s">
        <v>3908</v>
      </c>
      <c r="G124" s="24">
        <f t="shared" si="27"/>
        <v>1.03</v>
      </c>
      <c r="H124" s="719" t="s">
        <v>3316</v>
      </c>
      <c r="I124" s="24">
        <f t="shared" si="28"/>
        <v>1</v>
      </c>
      <c r="J124" s="719"/>
      <c r="K124" s="24">
        <f t="shared" si="29"/>
        <v>1</v>
      </c>
      <c r="L124" s="719"/>
      <c r="M124" s="24">
        <f t="shared" si="30"/>
        <v>1</v>
      </c>
      <c r="N124" s="719"/>
      <c r="O124" s="24">
        <f t="shared" si="31"/>
        <v>1</v>
      </c>
      <c r="P124" s="719" t="s">
        <v>3926</v>
      </c>
      <c r="Q124" s="24">
        <f t="shared" si="32"/>
        <v>0.45</v>
      </c>
      <c r="R124" s="715">
        <f t="shared" ca="1" si="33"/>
        <v>20376</v>
      </c>
      <c r="S124" s="361">
        <f t="shared" ca="1" si="34"/>
        <v>63</v>
      </c>
      <c r="T124" s="799">
        <f>剩余房源售价清单!I105</f>
        <v>25302</v>
      </c>
      <c r="U124" s="799">
        <f t="shared" ca="1" si="24"/>
        <v>0.80531183305667531</v>
      </c>
    </row>
    <row r="125" spans="1:21">
      <c r="A125" s="2985" t="str">
        <f>清单!D104</f>
        <v>2-20</v>
      </c>
      <c r="B125" s="717">
        <f>清单!G104</f>
        <v>117.22</v>
      </c>
      <c r="C125" s="24">
        <f t="shared" si="25"/>
        <v>1.02</v>
      </c>
      <c r="D125" s="3020" t="s">
        <v>3932</v>
      </c>
      <c r="E125" s="24">
        <f t="shared" si="26"/>
        <v>0.94</v>
      </c>
      <c r="F125" s="719" t="s">
        <v>3843</v>
      </c>
      <c r="G125" s="24">
        <f t="shared" si="27"/>
        <v>0.97</v>
      </c>
      <c r="H125" s="719" t="s">
        <v>3316</v>
      </c>
      <c r="I125" s="24">
        <f t="shared" si="28"/>
        <v>1</v>
      </c>
      <c r="J125" s="719"/>
      <c r="K125" s="24">
        <f t="shared" si="29"/>
        <v>1</v>
      </c>
      <c r="L125" s="719"/>
      <c r="M125" s="24">
        <f t="shared" si="30"/>
        <v>1</v>
      </c>
      <c r="N125" s="719"/>
      <c r="O125" s="24">
        <f t="shared" si="31"/>
        <v>1</v>
      </c>
      <c r="P125" s="719" t="s">
        <v>3926</v>
      </c>
      <c r="Q125" s="24">
        <f t="shared" si="32"/>
        <v>0.45</v>
      </c>
      <c r="R125" s="715">
        <f t="shared" ca="1" si="33"/>
        <v>17793</v>
      </c>
      <c r="S125" s="361">
        <f t="shared" ca="1" si="34"/>
        <v>209</v>
      </c>
      <c r="T125" s="799">
        <f>剩余房源售价清单!I106</f>
        <v>18255</v>
      </c>
      <c r="U125" s="799">
        <f t="shared" ca="1" si="24"/>
        <v>0.97469186524239937</v>
      </c>
    </row>
    <row r="126" spans="1:21">
      <c r="A126" s="2985" t="str">
        <f>清单!D105</f>
        <v>2-21</v>
      </c>
      <c r="B126" s="717">
        <f>清单!G105</f>
        <v>80.87</v>
      </c>
      <c r="C126" s="24">
        <f t="shared" si="25"/>
        <v>1.04</v>
      </c>
      <c r="D126" s="3020" t="s">
        <v>3932</v>
      </c>
      <c r="E126" s="24">
        <f t="shared" si="26"/>
        <v>0.94</v>
      </c>
      <c r="F126" s="719" t="s">
        <v>3843</v>
      </c>
      <c r="G126" s="24">
        <f t="shared" si="27"/>
        <v>0.97</v>
      </c>
      <c r="H126" s="719" t="s">
        <v>3316</v>
      </c>
      <c r="I126" s="24">
        <f t="shared" si="28"/>
        <v>1</v>
      </c>
      <c r="J126" s="719"/>
      <c r="K126" s="24">
        <f t="shared" si="29"/>
        <v>1</v>
      </c>
      <c r="L126" s="719"/>
      <c r="M126" s="24">
        <f t="shared" si="30"/>
        <v>1</v>
      </c>
      <c r="N126" s="719"/>
      <c r="O126" s="24">
        <f t="shared" si="31"/>
        <v>1</v>
      </c>
      <c r="P126" s="719" t="s">
        <v>3926</v>
      </c>
      <c r="Q126" s="24">
        <f t="shared" si="32"/>
        <v>0.45</v>
      </c>
      <c r="R126" s="715">
        <f t="shared" ca="1" si="33"/>
        <v>18142</v>
      </c>
      <c r="S126" s="361">
        <f t="shared" ca="1" si="34"/>
        <v>147</v>
      </c>
      <c r="T126" s="799">
        <f>剩余房源售价清单!I107</f>
        <v>20027</v>
      </c>
      <c r="U126" s="799">
        <f t="shared" ca="1" si="24"/>
        <v>0.90587706596095274</v>
      </c>
    </row>
    <row r="127" spans="1:21">
      <c r="A127" s="2985" t="str">
        <f>清单!D106</f>
        <v>2-22</v>
      </c>
      <c r="B127" s="717">
        <f>清单!G106</f>
        <v>61.68</v>
      </c>
      <c r="C127" s="24">
        <f t="shared" si="25"/>
        <v>1.04</v>
      </c>
      <c r="D127" s="3020" t="s">
        <v>3932</v>
      </c>
      <c r="E127" s="24">
        <f t="shared" si="26"/>
        <v>0.94</v>
      </c>
      <c r="F127" s="719" t="s">
        <v>3843</v>
      </c>
      <c r="G127" s="24">
        <f t="shared" si="27"/>
        <v>0.97</v>
      </c>
      <c r="H127" s="719" t="s">
        <v>3316</v>
      </c>
      <c r="I127" s="24">
        <f t="shared" si="28"/>
        <v>1</v>
      </c>
      <c r="J127" s="719"/>
      <c r="K127" s="24">
        <f t="shared" si="29"/>
        <v>1</v>
      </c>
      <c r="L127" s="719"/>
      <c r="M127" s="24">
        <f t="shared" si="30"/>
        <v>1</v>
      </c>
      <c r="N127" s="719"/>
      <c r="O127" s="24">
        <f t="shared" si="31"/>
        <v>1</v>
      </c>
      <c r="P127" s="719" t="s">
        <v>3926</v>
      </c>
      <c r="Q127" s="24">
        <f t="shared" si="32"/>
        <v>0.45</v>
      </c>
      <c r="R127" s="715">
        <f t="shared" ca="1" si="33"/>
        <v>18142</v>
      </c>
      <c r="S127" s="361">
        <f t="shared" ca="1" si="34"/>
        <v>112</v>
      </c>
      <c r="T127" s="799">
        <f>剩余房源售价清单!I108</f>
        <v>18697</v>
      </c>
      <c r="U127" s="799">
        <f t="shared" ca="1" si="24"/>
        <v>0.97031609349093439</v>
      </c>
    </row>
    <row r="128" spans="1:21">
      <c r="A128" s="2985" t="str">
        <f>清单!D107</f>
        <v>2-23</v>
      </c>
      <c r="B128" s="717">
        <f>清单!G107</f>
        <v>58.63</v>
      </c>
      <c r="C128" s="24">
        <f t="shared" si="25"/>
        <v>1.06</v>
      </c>
      <c r="D128" s="3020" t="s">
        <v>3932</v>
      </c>
      <c r="E128" s="24">
        <f t="shared" si="26"/>
        <v>0.94</v>
      </c>
      <c r="F128" s="719" t="s">
        <v>3844</v>
      </c>
      <c r="G128" s="24">
        <f t="shared" si="27"/>
        <v>1</v>
      </c>
      <c r="H128" s="719" t="s">
        <v>3316</v>
      </c>
      <c r="I128" s="24">
        <f t="shared" si="28"/>
        <v>1</v>
      </c>
      <c r="J128" s="719"/>
      <c r="K128" s="24">
        <f t="shared" si="29"/>
        <v>1</v>
      </c>
      <c r="L128" s="719"/>
      <c r="M128" s="24">
        <f t="shared" si="30"/>
        <v>1</v>
      </c>
      <c r="N128" s="719"/>
      <c r="O128" s="24">
        <f t="shared" si="31"/>
        <v>1</v>
      </c>
      <c r="P128" s="719" t="s">
        <v>3926</v>
      </c>
      <c r="Q128" s="24">
        <f t="shared" si="32"/>
        <v>0.45</v>
      </c>
      <c r="R128" s="715">
        <f t="shared" ca="1" si="33"/>
        <v>19063</v>
      </c>
      <c r="S128" s="361">
        <f t="shared" ca="1" si="34"/>
        <v>112</v>
      </c>
      <c r="T128" s="799">
        <f>剩余房源售价清单!I109</f>
        <v>19444</v>
      </c>
      <c r="U128" s="799">
        <f t="shared" ca="1" si="24"/>
        <v>0.98040526640608927</v>
      </c>
    </row>
    <row r="129" spans="1:21">
      <c r="A129" s="2985" t="str">
        <f>清单!D108</f>
        <v>2-24</v>
      </c>
      <c r="B129" s="717">
        <f>清单!G108</f>
        <v>112.93</v>
      </c>
      <c r="C129" s="24">
        <f t="shared" si="25"/>
        <v>1.02</v>
      </c>
      <c r="D129" s="3020" t="s">
        <v>3932</v>
      </c>
      <c r="E129" s="24">
        <f t="shared" si="26"/>
        <v>0.94</v>
      </c>
      <c r="F129" s="719" t="s">
        <v>3844</v>
      </c>
      <c r="G129" s="24">
        <f t="shared" si="27"/>
        <v>1</v>
      </c>
      <c r="H129" s="719" t="s">
        <v>3316</v>
      </c>
      <c r="I129" s="24">
        <f t="shared" si="28"/>
        <v>1</v>
      </c>
      <c r="J129" s="719"/>
      <c r="K129" s="24">
        <f t="shared" si="29"/>
        <v>1</v>
      </c>
      <c r="L129" s="719"/>
      <c r="M129" s="24">
        <f t="shared" si="30"/>
        <v>1</v>
      </c>
      <c r="N129" s="719"/>
      <c r="O129" s="24">
        <f t="shared" si="31"/>
        <v>1</v>
      </c>
      <c r="P129" s="719" t="s">
        <v>3926</v>
      </c>
      <c r="Q129" s="24">
        <f t="shared" si="32"/>
        <v>0.45</v>
      </c>
      <c r="R129" s="715">
        <f t="shared" ca="1" si="33"/>
        <v>18344</v>
      </c>
      <c r="S129" s="361">
        <f t="shared" ca="1" si="34"/>
        <v>207</v>
      </c>
      <c r="T129" s="799">
        <f>剩余房源售价清单!I110</f>
        <v>22238</v>
      </c>
      <c r="U129" s="799">
        <f t="shared" ca="1" si="24"/>
        <v>0.82489432502922921</v>
      </c>
    </row>
    <row r="130" spans="1:21">
      <c r="A130" s="2985" t="str">
        <f>清单!D109</f>
        <v>2-28</v>
      </c>
      <c r="B130" s="717">
        <f>清单!G109</f>
        <v>81.86</v>
      </c>
      <c r="C130" s="24">
        <f t="shared" si="25"/>
        <v>1.04</v>
      </c>
      <c r="D130" s="3020" t="s">
        <v>3932</v>
      </c>
      <c r="E130" s="24">
        <f t="shared" si="26"/>
        <v>0.94</v>
      </c>
      <c r="F130" s="719" t="s">
        <v>3843</v>
      </c>
      <c r="G130" s="24">
        <f t="shared" si="27"/>
        <v>0.97</v>
      </c>
      <c r="H130" s="719" t="s">
        <v>3316</v>
      </c>
      <c r="I130" s="24">
        <f t="shared" si="28"/>
        <v>1</v>
      </c>
      <c r="J130" s="719"/>
      <c r="K130" s="24">
        <f t="shared" si="29"/>
        <v>1</v>
      </c>
      <c r="L130" s="719"/>
      <c r="M130" s="24">
        <f t="shared" si="30"/>
        <v>1</v>
      </c>
      <c r="N130" s="719"/>
      <c r="O130" s="24">
        <f t="shared" si="31"/>
        <v>1</v>
      </c>
      <c r="P130" s="719" t="s">
        <v>3926</v>
      </c>
      <c r="Q130" s="24">
        <f t="shared" si="32"/>
        <v>0.45</v>
      </c>
      <c r="R130" s="715">
        <f t="shared" ca="1" si="33"/>
        <v>18142</v>
      </c>
      <c r="S130" s="361">
        <f t="shared" ca="1" si="34"/>
        <v>149</v>
      </c>
      <c r="T130" s="799">
        <f>剩余房源售价清单!I111</f>
        <v>22044</v>
      </c>
      <c r="U130" s="799">
        <f t="shared" ca="1" si="24"/>
        <v>0.82299038287062243</v>
      </c>
    </row>
    <row r="131" spans="1:21">
      <c r="A131" s="2985" t="str">
        <f>清单!D110</f>
        <v>2-29</v>
      </c>
      <c r="B131" s="717">
        <f>清单!G110</f>
        <v>81.459999999999994</v>
      </c>
      <c r="C131" s="24">
        <f t="shared" si="25"/>
        <v>1.04</v>
      </c>
      <c r="D131" s="3020" t="s">
        <v>3932</v>
      </c>
      <c r="E131" s="24">
        <f t="shared" si="26"/>
        <v>0.94</v>
      </c>
      <c r="F131" s="719" t="s">
        <v>3843</v>
      </c>
      <c r="G131" s="24">
        <f t="shared" si="27"/>
        <v>0.97</v>
      </c>
      <c r="H131" s="719" t="s">
        <v>3316</v>
      </c>
      <c r="I131" s="24">
        <f t="shared" si="28"/>
        <v>1</v>
      </c>
      <c r="J131" s="719"/>
      <c r="K131" s="24">
        <f t="shared" si="29"/>
        <v>1</v>
      </c>
      <c r="L131" s="719"/>
      <c r="M131" s="24">
        <f t="shared" si="30"/>
        <v>1</v>
      </c>
      <c r="N131" s="719"/>
      <c r="O131" s="24">
        <f t="shared" si="31"/>
        <v>1</v>
      </c>
      <c r="P131" s="719" t="s">
        <v>3926</v>
      </c>
      <c r="Q131" s="24">
        <f t="shared" si="32"/>
        <v>0.45</v>
      </c>
      <c r="R131" s="715">
        <f t="shared" ca="1" si="33"/>
        <v>18142</v>
      </c>
      <c r="S131" s="361">
        <f t="shared" ca="1" si="34"/>
        <v>148</v>
      </c>
      <c r="T131" s="799">
        <f>剩余房源售价清单!I112</f>
        <v>20168</v>
      </c>
      <c r="U131" s="799">
        <f t="shared" ca="1" si="24"/>
        <v>0.89954383181277275</v>
      </c>
    </row>
    <row r="132" spans="1:21">
      <c r="A132" s="2985" t="str">
        <f>清单!D111</f>
        <v>2-30</v>
      </c>
      <c r="B132" s="717">
        <f>清单!G111</f>
        <v>81.34</v>
      </c>
      <c r="C132" s="24">
        <f t="shared" si="25"/>
        <v>1.04</v>
      </c>
      <c r="D132" s="3020" t="s">
        <v>3932</v>
      </c>
      <c r="E132" s="24">
        <f t="shared" si="26"/>
        <v>0.94</v>
      </c>
      <c r="F132" s="719" t="s">
        <v>3843</v>
      </c>
      <c r="G132" s="24">
        <f t="shared" si="27"/>
        <v>0.97</v>
      </c>
      <c r="H132" s="719" t="s">
        <v>3316</v>
      </c>
      <c r="I132" s="24">
        <f t="shared" si="28"/>
        <v>1</v>
      </c>
      <c r="J132" s="719"/>
      <c r="K132" s="24">
        <f t="shared" si="29"/>
        <v>1</v>
      </c>
      <c r="L132" s="719"/>
      <c r="M132" s="24">
        <f t="shared" si="30"/>
        <v>1</v>
      </c>
      <c r="N132" s="719"/>
      <c r="O132" s="24">
        <f t="shared" si="31"/>
        <v>1</v>
      </c>
      <c r="P132" s="719" t="s">
        <v>3926</v>
      </c>
      <c r="Q132" s="24">
        <f t="shared" si="32"/>
        <v>0.45</v>
      </c>
      <c r="R132" s="715">
        <f t="shared" ca="1" si="33"/>
        <v>18142</v>
      </c>
      <c r="S132" s="361">
        <f t="shared" ca="1" si="34"/>
        <v>148</v>
      </c>
      <c r="T132" s="799">
        <f>剩余房源售价清单!I113</f>
        <v>19597</v>
      </c>
      <c r="U132" s="799">
        <f t="shared" ca="1" si="24"/>
        <v>0.92575394192988725</v>
      </c>
    </row>
    <row r="133" spans="1:21">
      <c r="A133" s="2985" t="str">
        <f>清单!D112</f>
        <v>2-31</v>
      </c>
      <c r="B133" s="717">
        <f>清单!G112</f>
        <v>81.459999999999994</v>
      </c>
      <c r="C133" s="24">
        <f t="shared" si="25"/>
        <v>1.04</v>
      </c>
      <c r="D133" s="3020" t="s">
        <v>3932</v>
      </c>
      <c r="E133" s="24">
        <f t="shared" si="26"/>
        <v>0.94</v>
      </c>
      <c r="F133" s="719" t="s">
        <v>3843</v>
      </c>
      <c r="G133" s="24">
        <f t="shared" si="27"/>
        <v>0.97</v>
      </c>
      <c r="H133" s="719" t="s">
        <v>3316</v>
      </c>
      <c r="I133" s="24">
        <f t="shared" si="28"/>
        <v>1</v>
      </c>
      <c r="J133" s="719"/>
      <c r="K133" s="24">
        <f t="shared" si="29"/>
        <v>1</v>
      </c>
      <c r="L133" s="719"/>
      <c r="M133" s="24">
        <f t="shared" si="30"/>
        <v>1</v>
      </c>
      <c r="N133" s="719"/>
      <c r="O133" s="24">
        <f t="shared" si="31"/>
        <v>1</v>
      </c>
      <c r="P133" s="719" t="s">
        <v>3926</v>
      </c>
      <c r="Q133" s="24">
        <f t="shared" si="32"/>
        <v>0.45</v>
      </c>
      <c r="R133" s="715">
        <f t="shared" ca="1" si="33"/>
        <v>18142</v>
      </c>
      <c r="S133" s="361">
        <f t="shared" ca="1" si="34"/>
        <v>148</v>
      </c>
      <c r="T133" s="799">
        <f>剩余房源售价清单!I114</f>
        <v>19678</v>
      </c>
      <c r="U133" s="799">
        <f t="shared" ca="1" si="24"/>
        <v>0.92194328691940242</v>
      </c>
    </row>
    <row r="134" spans="1:21">
      <c r="A134" s="2985" t="str">
        <f>清单!D113</f>
        <v>2-32</v>
      </c>
      <c r="B134" s="717">
        <f>清单!G113</f>
        <v>81.459999999999994</v>
      </c>
      <c r="C134" s="24">
        <f t="shared" si="25"/>
        <v>1.04</v>
      </c>
      <c r="D134" s="3020" t="s">
        <v>3932</v>
      </c>
      <c r="E134" s="24">
        <f t="shared" si="26"/>
        <v>0.94</v>
      </c>
      <c r="F134" s="719" t="s">
        <v>3843</v>
      </c>
      <c r="G134" s="24">
        <f t="shared" si="27"/>
        <v>0.97</v>
      </c>
      <c r="H134" s="719" t="s">
        <v>3316</v>
      </c>
      <c r="I134" s="24">
        <f t="shared" si="28"/>
        <v>1</v>
      </c>
      <c r="J134" s="719"/>
      <c r="K134" s="24">
        <f t="shared" si="29"/>
        <v>1</v>
      </c>
      <c r="L134" s="719"/>
      <c r="M134" s="24">
        <f t="shared" si="30"/>
        <v>1</v>
      </c>
      <c r="N134" s="719"/>
      <c r="O134" s="24">
        <f t="shared" si="31"/>
        <v>1</v>
      </c>
      <c r="P134" s="719" t="s">
        <v>3926</v>
      </c>
      <c r="Q134" s="24">
        <f t="shared" si="32"/>
        <v>0.45</v>
      </c>
      <c r="R134" s="715">
        <f t="shared" ca="1" si="33"/>
        <v>18142</v>
      </c>
      <c r="S134" s="361">
        <f t="shared" ca="1" si="34"/>
        <v>148</v>
      </c>
      <c r="T134" s="799">
        <f>剩余房源售价清单!I115</f>
        <v>19596</v>
      </c>
      <c r="U134" s="799">
        <f t="shared" ca="1" si="24"/>
        <v>0.9258011839150847</v>
      </c>
    </row>
    <row r="135" spans="1:21">
      <c r="A135" s="2985" t="str">
        <f>清单!D114</f>
        <v>2-33</v>
      </c>
      <c r="B135" s="717">
        <f>清单!G114</f>
        <v>81.34</v>
      </c>
      <c r="C135" s="24">
        <f t="shared" si="25"/>
        <v>1.04</v>
      </c>
      <c r="D135" s="3020" t="s">
        <v>3932</v>
      </c>
      <c r="E135" s="24">
        <f t="shared" si="26"/>
        <v>0.94</v>
      </c>
      <c r="F135" s="719" t="s">
        <v>3843</v>
      </c>
      <c r="G135" s="24">
        <f t="shared" si="27"/>
        <v>0.97</v>
      </c>
      <c r="H135" s="719" t="s">
        <v>3316</v>
      </c>
      <c r="I135" s="24">
        <f t="shared" si="28"/>
        <v>1</v>
      </c>
      <c r="J135" s="719"/>
      <c r="K135" s="24">
        <f t="shared" si="29"/>
        <v>1</v>
      </c>
      <c r="L135" s="719"/>
      <c r="M135" s="24">
        <f t="shared" si="30"/>
        <v>1</v>
      </c>
      <c r="N135" s="719"/>
      <c r="O135" s="24">
        <f t="shared" si="31"/>
        <v>1</v>
      </c>
      <c r="P135" s="719" t="s">
        <v>3926</v>
      </c>
      <c r="Q135" s="24">
        <f t="shared" si="32"/>
        <v>0.45</v>
      </c>
      <c r="R135" s="715">
        <f t="shared" ca="1" si="33"/>
        <v>18142</v>
      </c>
      <c r="S135" s="361">
        <f t="shared" ca="1" si="34"/>
        <v>148</v>
      </c>
      <c r="T135" s="799">
        <f>剩余房源售价清单!I116</f>
        <v>19433</v>
      </c>
      <c r="U135" s="799">
        <f t="shared" ca="1" si="24"/>
        <v>0.93356661349251269</v>
      </c>
    </row>
    <row r="136" spans="1:21">
      <c r="A136" s="2985" t="str">
        <f>清单!D115</f>
        <v>2-34</v>
      </c>
      <c r="B136" s="717">
        <f>清单!G115</f>
        <v>81.459999999999994</v>
      </c>
      <c r="C136" s="24">
        <f t="shared" si="25"/>
        <v>1.04</v>
      </c>
      <c r="D136" s="3020" t="s">
        <v>3932</v>
      </c>
      <c r="E136" s="24">
        <f t="shared" si="26"/>
        <v>0.94</v>
      </c>
      <c r="F136" s="719" t="s">
        <v>3843</v>
      </c>
      <c r="G136" s="24">
        <f t="shared" si="27"/>
        <v>0.97</v>
      </c>
      <c r="H136" s="719" t="s">
        <v>3316</v>
      </c>
      <c r="I136" s="24">
        <f t="shared" si="28"/>
        <v>1</v>
      </c>
      <c r="J136" s="719"/>
      <c r="K136" s="24">
        <f t="shared" si="29"/>
        <v>1</v>
      </c>
      <c r="L136" s="719"/>
      <c r="M136" s="24">
        <f t="shared" si="30"/>
        <v>1</v>
      </c>
      <c r="N136" s="719"/>
      <c r="O136" s="24">
        <f t="shared" si="31"/>
        <v>1</v>
      </c>
      <c r="P136" s="719" t="s">
        <v>3926</v>
      </c>
      <c r="Q136" s="24">
        <f t="shared" si="32"/>
        <v>0.45</v>
      </c>
      <c r="R136" s="715">
        <f t="shared" ca="1" si="33"/>
        <v>18142</v>
      </c>
      <c r="S136" s="361">
        <f t="shared" ca="1" si="34"/>
        <v>148</v>
      </c>
      <c r="T136" s="799">
        <f>剩余房源售价清单!I117</f>
        <v>20004</v>
      </c>
      <c r="U136" s="799">
        <f t="shared" ca="1" si="24"/>
        <v>0.90691861627674464</v>
      </c>
    </row>
    <row r="137" spans="1:21">
      <c r="A137" s="2985" t="str">
        <f>清单!D116</f>
        <v>2-35</v>
      </c>
      <c r="B137" s="717">
        <f>清单!G116</f>
        <v>81.459999999999994</v>
      </c>
      <c r="C137" s="24">
        <f t="shared" si="25"/>
        <v>1.04</v>
      </c>
      <c r="D137" s="3020" t="s">
        <v>3932</v>
      </c>
      <c r="E137" s="24">
        <f t="shared" si="26"/>
        <v>0.94</v>
      </c>
      <c r="F137" s="719" t="s">
        <v>3843</v>
      </c>
      <c r="G137" s="24">
        <f t="shared" si="27"/>
        <v>0.97</v>
      </c>
      <c r="H137" s="719" t="s">
        <v>3316</v>
      </c>
      <c r="I137" s="24">
        <f t="shared" si="28"/>
        <v>1</v>
      </c>
      <c r="J137" s="719"/>
      <c r="K137" s="24">
        <f t="shared" si="29"/>
        <v>1</v>
      </c>
      <c r="L137" s="719"/>
      <c r="M137" s="24">
        <f t="shared" si="30"/>
        <v>1</v>
      </c>
      <c r="N137" s="719"/>
      <c r="O137" s="24">
        <f t="shared" si="31"/>
        <v>1</v>
      </c>
      <c r="P137" s="719" t="s">
        <v>3926</v>
      </c>
      <c r="Q137" s="24">
        <f t="shared" si="32"/>
        <v>0.45</v>
      </c>
      <c r="R137" s="715">
        <f t="shared" ca="1" si="33"/>
        <v>18142</v>
      </c>
      <c r="S137" s="361">
        <f t="shared" ca="1" si="34"/>
        <v>148</v>
      </c>
      <c r="T137" s="799">
        <f>剩余房源售价清单!I118</f>
        <v>20249</v>
      </c>
      <c r="U137" s="799">
        <f t="shared" ca="1" si="24"/>
        <v>0.89594547878907604</v>
      </c>
    </row>
    <row r="138" spans="1:21">
      <c r="A138" s="2985" t="str">
        <f>清单!D117</f>
        <v>2-36</v>
      </c>
      <c r="B138" s="717">
        <f>清单!G117</f>
        <v>81.59</v>
      </c>
      <c r="C138" s="24">
        <f t="shared" si="25"/>
        <v>1.04</v>
      </c>
      <c r="D138" s="3020" t="s">
        <v>3932</v>
      </c>
      <c r="E138" s="24">
        <f t="shared" si="26"/>
        <v>0.94</v>
      </c>
      <c r="F138" s="719" t="s">
        <v>3843</v>
      </c>
      <c r="G138" s="24">
        <f t="shared" si="27"/>
        <v>0.97</v>
      </c>
      <c r="H138" s="719" t="s">
        <v>3316</v>
      </c>
      <c r="I138" s="24">
        <f t="shared" si="28"/>
        <v>1</v>
      </c>
      <c r="J138" s="719"/>
      <c r="K138" s="24">
        <f t="shared" si="29"/>
        <v>1</v>
      </c>
      <c r="L138" s="719"/>
      <c r="M138" s="24">
        <f t="shared" si="30"/>
        <v>1</v>
      </c>
      <c r="N138" s="719"/>
      <c r="O138" s="24">
        <f t="shared" si="31"/>
        <v>1</v>
      </c>
      <c r="P138" s="719" t="s">
        <v>3926</v>
      </c>
      <c r="Q138" s="24">
        <f t="shared" si="32"/>
        <v>0.45</v>
      </c>
      <c r="R138" s="715">
        <f t="shared" ca="1" si="33"/>
        <v>18142</v>
      </c>
      <c r="S138" s="361">
        <f t="shared" ca="1" si="34"/>
        <v>148</v>
      </c>
      <c r="T138" s="799">
        <f>剩余房源售价清单!I119</f>
        <v>20494</v>
      </c>
      <c r="U138" s="799">
        <f t="shared" ca="1" si="24"/>
        <v>0.88523470283985561</v>
      </c>
    </row>
    <row r="139" spans="1:21">
      <c r="A139" s="2985" t="str">
        <f>清单!D118</f>
        <v>2-37</v>
      </c>
      <c r="B139" s="717">
        <f>清单!G118</f>
        <v>65.23</v>
      </c>
      <c r="C139" s="24">
        <f t="shared" si="25"/>
        <v>1.04</v>
      </c>
      <c r="D139" s="3020" t="s">
        <v>3932</v>
      </c>
      <c r="E139" s="24">
        <f t="shared" si="26"/>
        <v>0.94</v>
      </c>
      <c r="F139" s="719" t="s">
        <v>3843</v>
      </c>
      <c r="G139" s="24">
        <f t="shared" si="27"/>
        <v>0.97</v>
      </c>
      <c r="H139" s="719" t="s">
        <v>3316</v>
      </c>
      <c r="I139" s="24">
        <f t="shared" si="28"/>
        <v>1</v>
      </c>
      <c r="J139" s="719"/>
      <c r="K139" s="24">
        <f t="shared" si="29"/>
        <v>1</v>
      </c>
      <c r="L139" s="719"/>
      <c r="M139" s="24">
        <f t="shared" si="30"/>
        <v>1</v>
      </c>
      <c r="N139" s="719"/>
      <c r="O139" s="24">
        <f t="shared" si="31"/>
        <v>1</v>
      </c>
      <c r="P139" s="719" t="s">
        <v>3926</v>
      </c>
      <c r="Q139" s="24">
        <f t="shared" si="32"/>
        <v>0.45</v>
      </c>
      <c r="R139" s="715">
        <f t="shared" ca="1" si="33"/>
        <v>18142</v>
      </c>
      <c r="S139" s="361">
        <f t="shared" ca="1" si="34"/>
        <v>118</v>
      </c>
      <c r="T139" s="799">
        <f>剩余房源售价清单!I120</f>
        <v>18684</v>
      </c>
      <c r="U139" s="799">
        <f t="shared" ca="1" si="24"/>
        <v>0.97099122243630909</v>
      </c>
    </row>
    <row r="140" spans="1:21">
      <c r="A140" s="2985" t="str">
        <f>清单!D119</f>
        <v>2-38</v>
      </c>
      <c r="B140" s="717">
        <f>清单!G119</f>
        <v>43.26</v>
      </c>
      <c r="C140" s="24">
        <f t="shared" si="25"/>
        <v>1.08</v>
      </c>
      <c r="D140" s="3020" t="s">
        <v>3932</v>
      </c>
      <c r="E140" s="24">
        <f t="shared" si="26"/>
        <v>0.94</v>
      </c>
      <c r="F140" s="719" t="s">
        <v>3908</v>
      </c>
      <c r="G140" s="24">
        <f t="shared" si="27"/>
        <v>1.03</v>
      </c>
      <c r="H140" s="719" t="s">
        <v>3316</v>
      </c>
      <c r="I140" s="24">
        <f t="shared" si="28"/>
        <v>1</v>
      </c>
      <c r="J140" s="719"/>
      <c r="K140" s="24">
        <f t="shared" si="29"/>
        <v>1</v>
      </c>
      <c r="L140" s="719"/>
      <c r="M140" s="24">
        <f t="shared" si="30"/>
        <v>1</v>
      </c>
      <c r="N140" s="719"/>
      <c r="O140" s="24">
        <f t="shared" si="31"/>
        <v>1</v>
      </c>
      <c r="P140" s="719" t="s">
        <v>3926</v>
      </c>
      <c r="Q140" s="24">
        <f t="shared" si="32"/>
        <v>0.45</v>
      </c>
      <c r="R140" s="715">
        <f t="shared" ca="1" si="33"/>
        <v>20005</v>
      </c>
      <c r="S140" s="361">
        <f t="shared" ca="1" si="34"/>
        <v>87</v>
      </c>
      <c r="T140" s="799">
        <f>剩余房源售价清单!I121</f>
        <v>27920</v>
      </c>
      <c r="U140" s="799">
        <f t="shared" ca="1" si="24"/>
        <v>0.71651146131805155</v>
      </c>
    </row>
    <row r="141" spans="1:21">
      <c r="A141" s="2985" t="str">
        <f>清单!D120</f>
        <v>2-39</v>
      </c>
      <c r="B141" s="717">
        <f>清单!G120</f>
        <v>42.29</v>
      </c>
      <c r="C141" s="24">
        <f t="shared" si="25"/>
        <v>1.08</v>
      </c>
      <c r="D141" s="3020" t="s">
        <v>3932</v>
      </c>
      <c r="E141" s="24">
        <f t="shared" si="26"/>
        <v>0.94</v>
      </c>
      <c r="F141" s="719" t="s">
        <v>3843</v>
      </c>
      <c r="G141" s="24">
        <f t="shared" si="27"/>
        <v>0.97</v>
      </c>
      <c r="H141" s="719" t="s">
        <v>3316</v>
      </c>
      <c r="I141" s="24">
        <f t="shared" si="28"/>
        <v>1</v>
      </c>
      <c r="J141" s="719"/>
      <c r="K141" s="24">
        <f t="shared" si="29"/>
        <v>1</v>
      </c>
      <c r="L141" s="719"/>
      <c r="M141" s="24">
        <f t="shared" si="30"/>
        <v>1</v>
      </c>
      <c r="N141" s="719"/>
      <c r="O141" s="24">
        <f t="shared" si="31"/>
        <v>1</v>
      </c>
      <c r="P141" s="719" t="s">
        <v>3926</v>
      </c>
      <c r="Q141" s="24">
        <f t="shared" si="32"/>
        <v>0.45</v>
      </c>
      <c r="R141" s="715">
        <f t="shared" ca="1" si="33"/>
        <v>18840</v>
      </c>
      <c r="S141" s="361">
        <f t="shared" ca="1" si="34"/>
        <v>80</v>
      </c>
      <c r="T141" s="799">
        <f>剩余房源售价清单!I122</f>
        <v>19951</v>
      </c>
      <c r="U141" s="799">
        <f t="shared" ca="1" si="24"/>
        <v>0.94431356824219337</v>
      </c>
    </row>
    <row r="142" spans="1:21">
      <c r="A142" s="2985" t="str">
        <f>清单!D121</f>
        <v>2-40</v>
      </c>
      <c r="B142" s="717">
        <f>清单!G121</f>
        <v>30.64</v>
      </c>
      <c r="C142" s="24">
        <f t="shared" si="25"/>
        <v>1.1000000000000001</v>
      </c>
      <c r="D142" s="3020" t="s">
        <v>3932</v>
      </c>
      <c r="E142" s="24">
        <f t="shared" si="26"/>
        <v>0.94</v>
      </c>
      <c r="F142" s="719" t="s">
        <v>3844</v>
      </c>
      <c r="G142" s="24">
        <f t="shared" si="27"/>
        <v>1</v>
      </c>
      <c r="H142" s="719" t="s">
        <v>3316</v>
      </c>
      <c r="I142" s="24">
        <f t="shared" si="28"/>
        <v>1</v>
      </c>
      <c r="J142" s="719"/>
      <c r="K142" s="24">
        <f t="shared" si="29"/>
        <v>1</v>
      </c>
      <c r="L142" s="719"/>
      <c r="M142" s="24">
        <f t="shared" si="30"/>
        <v>1</v>
      </c>
      <c r="N142" s="719"/>
      <c r="O142" s="24">
        <f t="shared" si="31"/>
        <v>1</v>
      </c>
      <c r="P142" s="719" t="s">
        <v>3926</v>
      </c>
      <c r="Q142" s="24">
        <f t="shared" si="32"/>
        <v>0.45</v>
      </c>
      <c r="R142" s="715">
        <f t="shared" ca="1" si="33"/>
        <v>19782</v>
      </c>
      <c r="S142" s="361">
        <f t="shared" ca="1" si="34"/>
        <v>61</v>
      </c>
      <c r="T142" s="799">
        <f>剩余房源售价清单!I123</f>
        <v>26778</v>
      </c>
      <c r="U142" s="799">
        <f t="shared" ca="1" si="24"/>
        <v>0.7387407573381134</v>
      </c>
    </row>
    <row r="143" spans="1:21">
      <c r="A143" s="2985" t="str">
        <f>清单!D122</f>
        <v>2-41</v>
      </c>
      <c r="B143" s="717">
        <f>清单!G122</f>
        <v>129.61000000000001</v>
      </c>
      <c r="C143" s="24">
        <f t="shared" si="25"/>
        <v>1</v>
      </c>
      <c r="D143" s="3020" t="s">
        <v>3844</v>
      </c>
      <c r="E143" s="24">
        <f t="shared" si="26"/>
        <v>0.97</v>
      </c>
      <c r="F143" s="719" t="s">
        <v>3908</v>
      </c>
      <c r="G143" s="24">
        <f t="shared" si="27"/>
        <v>1.03</v>
      </c>
      <c r="H143" s="719" t="s">
        <v>3316</v>
      </c>
      <c r="I143" s="24">
        <f t="shared" si="28"/>
        <v>1</v>
      </c>
      <c r="J143" s="719"/>
      <c r="K143" s="24">
        <f t="shared" si="29"/>
        <v>1</v>
      </c>
      <c r="L143" s="719"/>
      <c r="M143" s="24">
        <f t="shared" si="30"/>
        <v>1</v>
      </c>
      <c r="N143" s="719"/>
      <c r="O143" s="24">
        <f t="shared" si="31"/>
        <v>1</v>
      </c>
      <c r="P143" s="719" t="s">
        <v>3926</v>
      </c>
      <c r="Q143" s="24">
        <f t="shared" si="32"/>
        <v>0.45</v>
      </c>
      <c r="R143" s="715">
        <f t="shared" ca="1" si="33"/>
        <v>19115</v>
      </c>
      <c r="S143" s="361">
        <f t="shared" ca="1" si="34"/>
        <v>248</v>
      </c>
      <c r="T143" s="799">
        <f>剩余房源售价清单!I124</f>
        <v>22303</v>
      </c>
      <c r="U143" s="799">
        <f t="shared" ca="1" si="24"/>
        <v>0.85705958839617991</v>
      </c>
    </row>
    <row r="144" spans="1:21">
      <c r="A144" s="2985" t="str">
        <f>清单!D123</f>
        <v>2-42</v>
      </c>
      <c r="B144" s="717">
        <f>清单!G123</f>
        <v>84.58</v>
      </c>
      <c r="C144" s="24">
        <f t="shared" si="25"/>
        <v>1.04</v>
      </c>
      <c r="D144" s="3020" t="s">
        <v>3932</v>
      </c>
      <c r="E144" s="24">
        <f t="shared" si="26"/>
        <v>0.94</v>
      </c>
      <c r="F144" s="719" t="s">
        <v>3843</v>
      </c>
      <c r="G144" s="24">
        <f t="shared" si="27"/>
        <v>0.97</v>
      </c>
      <c r="H144" s="719" t="s">
        <v>3316</v>
      </c>
      <c r="I144" s="24">
        <f t="shared" si="28"/>
        <v>1</v>
      </c>
      <c r="J144" s="719"/>
      <c r="K144" s="24">
        <f t="shared" si="29"/>
        <v>1</v>
      </c>
      <c r="L144" s="719"/>
      <c r="M144" s="24">
        <f t="shared" si="30"/>
        <v>1</v>
      </c>
      <c r="N144" s="719"/>
      <c r="O144" s="24">
        <f t="shared" si="31"/>
        <v>1</v>
      </c>
      <c r="P144" s="719" t="s">
        <v>3926</v>
      </c>
      <c r="Q144" s="24">
        <f t="shared" si="32"/>
        <v>0.45</v>
      </c>
      <c r="R144" s="715">
        <f t="shared" ca="1" si="33"/>
        <v>18142</v>
      </c>
      <c r="S144" s="361">
        <f t="shared" ca="1" si="34"/>
        <v>153</v>
      </c>
      <c r="T144" s="799">
        <f>剩余房源售价清单!I125</f>
        <v>18325</v>
      </c>
      <c r="U144" s="799">
        <f t="shared" ca="1" si="24"/>
        <v>0.99001364256480218</v>
      </c>
    </row>
    <row r="145" spans="1:21">
      <c r="A145" s="2985" t="str">
        <f>清单!D124</f>
        <v>2-43</v>
      </c>
      <c r="B145" s="717">
        <f>清单!G124</f>
        <v>91.13</v>
      </c>
      <c r="C145" s="24">
        <f t="shared" si="25"/>
        <v>1.02</v>
      </c>
      <c r="D145" s="3020" t="s">
        <v>3932</v>
      </c>
      <c r="E145" s="24">
        <f t="shared" si="26"/>
        <v>0.94</v>
      </c>
      <c r="F145" s="3020" t="s">
        <v>3931</v>
      </c>
      <c r="G145" s="24">
        <f t="shared" si="27"/>
        <v>1</v>
      </c>
      <c r="H145" s="719" t="s">
        <v>3316</v>
      </c>
      <c r="I145" s="24">
        <f t="shared" si="28"/>
        <v>1</v>
      </c>
      <c r="J145" s="719"/>
      <c r="K145" s="24">
        <f t="shared" si="29"/>
        <v>1</v>
      </c>
      <c r="L145" s="719"/>
      <c r="M145" s="24">
        <f t="shared" si="30"/>
        <v>1</v>
      </c>
      <c r="N145" s="719"/>
      <c r="O145" s="24">
        <f t="shared" si="31"/>
        <v>1</v>
      </c>
      <c r="P145" s="719" t="s">
        <v>3926</v>
      </c>
      <c r="Q145" s="24">
        <f t="shared" si="32"/>
        <v>0.45</v>
      </c>
      <c r="R145" s="715">
        <f t="shared" ca="1" si="33"/>
        <v>18344</v>
      </c>
      <c r="S145" s="361">
        <f t="shared" ca="1" si="34"/>
        <v>167</v>
      </c>
      <c r="T145" s="799">
        <f>剩余房源售价清单!I126</f>
        <v>21046</v>
      </c>
      <c r="U145" s="799">
        <f t="shared" ca="1" si="24"/>
        <v>0.8716145585859546</v>
      </c>
    </row>
    <row r="146" spans="1:21">
      <c r="A146" s="2985" t="str">
        <f>清单!D125</f>
        <v>2-44</v>
      </c>
      <c r="B146" s="717">
        <f>清单!G125</f>
        <v>86.27</v>
      </c>
      <c r="C146" s="24">
        <f t="shared" si="25"/>
        <v>1.04</v>
      </c>
      <c r="D146" s="3020" t="s">
        <v>3932</v>
      </c>
      <c r="E146" s="24">
        <f t="shared" si="26"/>
        <v>0.94</v>
      </c>
      <c r="F146" s="719" t="s">
        <v>3843</v>
      </c>
      <c r="G146" s="24">
        <f t="shared" si="27"/>
        <v>0.97</v>
      </c>
      <c r="H146" s="719" t="s">
        <v>3316</v>
      </c>
      <c r="I146" s="24">
        <f t="shared" si="28"/>
        <v>1</v>
      </c>
      <c r="J146" s="719"/>
      <c r="K146" s="24">
        <f t="shared" si="29"/>
        <v>1</v>
      </c>
      <c r="L146" s="719"/>
      <c r="M146" s="24">
        <f t="shared" si="30"/>
        <v>1</v>
      </c>
      <c r="N146" s="719"/>
      <c r="O146" s="24">
        <f t="shared" si="31"/>
        <v>1</v>
      </c>
      <c r="P146" s="719" t="s">
        <v>3926</v>
      </c>
      <c r="Q146" s="24">
        <f t="shared" si="32"/>
        <v>0.45</v>
      </c>
      <c r="R146" s="715">
        <f t="shared" ca="1" si="33"/>
        <v>18142</v>
      </c>
      <c r="S146" s="361">
        <f t="shared" ca="1" si="34"/>
        <v>157</v>
      </c>
      <c r="T146" s="799">
        <f>剩余房源售价清单!I127</f>
        <v>16795</v>
      </c>
      <c r="U146" s="799">
        <f t="shared" ca="1" si="24"/>
        <v>1.0802024412027389</v>
      </c>
    </row>
    <row r="147" spans="1:21">
      <c r="A147" s="2985" t="str">
        <f>清单!D126</f>
        <v>2-45</v>
      </c>
      <c r="B147" s="717">
        <f>清单!G126</f>
        <v>81.569999999999993</v>
      </c>
      <c r="C147" s="24">
        <f t="shared" si="25"/>
        <v>1.04</v>
      </c>
      <c r="D147" s="3020" t="s">
        <v>3932</v>
      </c>
      <c r="E147" s="24">
        <f t="shared" si="26"/>
        <v>0.94</v>
      </c>
      <c r="F147" s="719" t="s">
        <v>3843</v>
      </c>
      <c r="G147" s="24">
        <f t="shared" si="27"/>
        <v>0.97</v>
      </c>
      <c r="H147" s="719" t="s">
        <v>3316</v>
      </c>
      <c r="I147" s="24">
        <f t="shared" si="28"/>
        <v>1</v>
      </c>
      <c r="J147" s="719"/>
      <c r="K147" s="24">
        <f t="shared" si="29"/>
        <v>1</v>
      </c>
      <c r="L147" s="719"/>
      <c r="M147" s="24">
        <f t="shared" si="30"/>
        <v>1</v>
      </c>
      <c r="N147" s="719"/>
      <c r="O147" s="24">
        <f t="shared" si="31"/>
        <v>1</v>
      </c>
      <c r="P147" s="719" t="s">
        <v>3926</v>
      </c>
      <c r="Q147" s="24">
        <f t="shared" si="32"/>
        <v>0.45</v>
      </c>
      <c r="R147" s="715">
        <f t="shared" ca="1" si="33"/>
        <v>18142</v>
      </c>
      <c r="S147" s="361">
        <f t="shared" ca="1" si="34"/>
        <v>148</v>
      </c>
      <c r="T147" s="799">
        <f>剩余房源售价清单!I128</f>
        <v>16111</v>
      </c>
      <c r="U147" s="799">
        <f t="shared" ca="1" si="24"/>
        <v>1.1260629383650922</v>
      </c>
    </row>
    <row r="148" spans="1:21">
      <c r="A148" s="2985" t="str">
        <f>清单!D127</f>
        <v>2-46</v>
      </c>
      <c r="B148" s="717">
        <f>清单!G127</f>
        <v>92.23</v>
      </c>
      <c r="C148" s="24">
        <f t="shared" si="25"/>
        <v>1.02</v>
      </c>
      <c r="D148" s="3020" t="s">
        <v>3932</v>
      </c>
      <c r="E148" s="24">
        <f t="shared" si="26"/>
        <v>0.94</v>
      </c>
      <c r="F148" s="719" t="s">
        <v>3843</v>
      </c>
      <c r="G148" s="24">
        <f t="shared" si="27"/>
        <v>0.97</v>
      </c>
      <c r="H148" s="719" t="s">
        <v>3316</v>
      </c>
      <c r="I148" s="24">
        <f t="shared" si="28"/>
        <v>1</v>
      </c>
      <c r="J148" s="719"/>
      <c r="K148" s="24">
        <f t="shared" si="29"/>
        <v>1</v>
      </c>
      <c r="L148" s="719"/>
      <c r="M148" s="24">
        <f t="shared" si="30"/>
        <v>1</v>
      </c>
      <c r="N148" s="719"/>
      <c r="O148" s="24">
        <f t="shared" si="31"/>
        <v>1</v>
      </c>
      <c r="P148" s="719" t="s">
        <v>3926</v>
      </c>
      <c r="Q148" s="24">
        <f t="shared" si="32"/>
        <v>0.45</v>
      </c>
      <c r="R148" s="715">
        <f t="shared" ca="1" si="33"/>
        <v>17793</v>
      </c>
      <c r="S148" s="361">
        <f t="shared" ca="1" si="34"/>
        <v>164</v>
      </c>
      <c r="T148" s="799">
        <f>剩余房源售价清单!I129</f>
        <v>20228</v>
      </c>
      <c r="U148" s="799">
        <f t="shared" ca="1" si="24"/>
        <v>0.87962230571485067</v>
      </c>
    </row>
    <row r="149" spans="1:21">
      <c r="A149" s="2985" t="str">
        <f>清单!D128</f>
        <v>2-47</v>
      </c>
      <c r="B149" s="717">
        <f>清单!G128</f>
        <v>96.1</v>
      </c>
      <c r="C149" s="24">
        <f t="shared" si="25"/>
        <v>1.02</v>
      </c>
      <c r="D149" s="3020" t="s">
        <v>3932</v>
      </c>
      <c r="E149" s="24">
        <f t="shared" si="26"/>
        <v>0.94</v>
      </c>
      <c r="F149" s="719" t="s">
        <v>3843</v>
      </c>
      <c r="G149" s="24">
        <f t="shared" si="27"/>
        <v>0.97</v>
      </c>
      <c r="H149" s="719" t="s">
        <v>3316</v>
      </c>
      <c r="I149" s="24">
        <f t="shared" si="28"/>
        <v>1</v>
      </c>
      <c r="J149" s="719"/>
      <c r="K149" s="24">
        <f t="shared" si="29"/>
        <v>1</v>
      </c>
      <c r="L149" s="719"/>
      <c r="M149" s="24">
        <f t="shared" si="30"/>
        <v>1</v>
      </c>
      <c r="N149" s="719"/>
      <c r="O149" s="24">
        <f t="shared" si="31"/>
        <v>1</v>
      </c>
      <c r="P149" s="719" t="s">
        <v>3926</v>
      </c>
      <c r="Q149" s="24">
        <f t="shared" si="32"/>
        <v>0.45</v>
      </c>
      <c r="R149" s="715">
        <f t="shared" ca="1" si="33"/>
        <v>17793</v>
      </c>
      <c r="S149" s="361">
        <f t="shared" ca="1" si="34"/>
        <v>171</v>
      </c>
      <c r="T149" s="799">
        <f>剩余房源售价清单!I130</f>
        <v>17471</v>
      </c>
      <c r="U149" s="799">
        <f t="shared" ca="1" si="24"/>
        <v>1.0184305420410966</v>
      </c>
    </row>
    <row r="150" spans="1:21">
      <c r="A150" s="2985" t="str">
        <f>清单!D129</f>
        <v>2-48</v>
      </c>
      <c r="B150" s="717">
        <f>清单!G129</f>
        <v>91.23</v>
      </c>
      <c r="C150" s="24">
        <f t="shared" si="25"/>
        <v>1.02</v>
      </c>
      <c r="D150" s="3020" t="s">
        <v>3932</v>
      </c>
      <c r="E150" s="24">
        <f t="shared" si="26"/>
        <v>0.94</v>
      </c>
      <c r="F150" s="719" t="s">
        <v>3843</v>
      </c>
      <c r="G150" s="24">
        <f t="shared" si="27"/>
        <v>0.97</v>
      </c>
      <c r="H150" s="719" t="s">
        <v>3316</v>
      </c>
      <c r="I150" s="24">
        <f t="shared" si="28"/>
        <v>1</v>
      </c>
      <c r="J150" s="719"/>
      <c r="K150" s="24">
        <f t="shared" si="29"/>
        <v>1</v>
      </c>
      <c r="L150" s="719"/>
      <c r="M150" s="24">
        <f t="shared" si="30"/>
        <v>1</v>
      </c>
      <c r="N150" s="719"/>
      <c r="O150" s="24">
        <f t="shared" si="31"/>
        <v>1</v>
      </c>
      <c r="P150" s="719" t="s">
        <v>3926</v>
      </c>
      <c r="Q150" s="24">
        <f t="shared" si="32"/>
        <v>0.45</v>
      </c>
      <c r="R150" s="715">
        <f t="shared" ca="1" si="33"/>
        <v>17793</v>
      </c>
      <c r="S150" s="361">
        <f t="shared" ca="1" si="34"/>
        <v>162</v>
      </c>
      <c r="T150" s="799">
        <f>剩余房源售价清单!I131</f>
        <v>19495</v>
      </c>
      <c r="U150" s="799">
        <f t="shared" ca="1" si="24"/>
        <v>0.91269556296486276</v>
      </c>
    </row>
    <row r="151" spans="1:21">
      <c r="A151" s="2985" t="str">
        <f>清单!D130</f>
        <v>2-49</v>
      </c>
      <c r="B151" s="717">
        <f>清单!G130</f>
        <v>109.86</v>
      </c>
      <c r="C151" s="24">
        <f t="shared" si="25"/>
        <v>1.02</v>
      </c>
      <c r="D151" s="3020" t="s">
        <v>3932</v>
      </c>
      <c r="E151" s="24">
        <f t="shared" si="26"/>
        <v>0.94</v>
      </c>
      <c r="F151" s="719" t="s">
        <v>3843</v>
      </c>
      <c r="G151" s="24">
        <f t="shared" si="27"/>
        <v>0.97</v>
      </c>
      <c r="H151" s="719" t="s">
        <v>3316</v>
      </c>
      <c r="I151" s="24">
        <f t="shared" si="28"/>
        <v>1</v>
      </c>
      <c r="J151" s="719"/>
      <c r="K151" s="24">
        <f t="shared" si="29"/>
        <v>1</v>
      </c>
      <c r="L151" s="719"/>
      <c r="M151" s="24">
        <f t="shared" si="30"/>
        <v>1</v>
      </c>
      <c r="N151" s="719"/>
      <c r="O151" s="24">
        <f t="shared" si="31"/>
        <v>1</v>
      </c>
      <c r="P151" s="719" t="s">
        <v>3926</v>
      </c>
      <c r="Q151" s="24">
        <f t="shared" si="32"/>
        <v>0.45</v>
      </c>
      <c r="R151" s="715">
        <f t="shared" ca="1" si="33"/>
        <v>17793</v>
      </c>
      <c r="S151" s="361">
        <f t="shared" ca="1" si="34"/>
        <v>195</v>
      </c>
      <c r="T151" s="799">
        <f>剩余房源售价清单!I132</f>
        <v>16758</v>
      </c>
      <c r="U151" s="799">
        <f t="shared" ca="1" si="24"/>
        <v>1.0617615467239527</v>
      </c>
    </row>
    <row r="152" spans="1:21">
      <c r="A152" s="2985" t="str">
        <f>清单!D131</f>
        <v>2-50</v>
      </c>
      <c r="B152" s="717">
        <f>清单!G131</f>
        <v>99.1</v>
      </c>
      <c r="C152" s="24">
        <f t="shared" si="25"/>
        <v>1.02</v>
      </c>
      <c r="D152" s="3020" t="s">
        <v>3932</v>
      </c>
      <c r="E152" s="24">
        <f t="shared" si="26"/>
        <v>0.94</v>
      </c>
      <c r="F152" s="719" t="s">
        <v>3843</v>
      </c>
      <c r="G152" s="24">
        <f t="shared" si="27"/>
        <v>0.97</v>
      </c>
      <c r="H152" s="719" t="s">
        <v>3316</v>
      </c>
      <c r="I152" s="24">
        <f t="shared" si="28"/>
        <v>1</v>
      </c>
      <c r="J152" s="719"/>
      <c r="K152" s="24">
        <f t="shared" si="29"/>
        <v>1</v>
      </c>
      <c r="L152" s="719"/>
      <c r="M152" s="24">
        <f t="shared" si="30"/>
        <v>1</v>
      </c>
      <c r="N152" s="719"/>
      <c r="O152" s="24">
        <f t="shared" si="31"/>
        <v>1</v>
      </c>
      <c r="P152" s="719" t="s">
        <v>3926</v>
      </c>
      <c r="Q152" s="24">
        <f t="shared" si="32"/>
        <v>0.45</v>
      </c>
      <c r="R152" s="715">
        <f t="shared" ca="1" si="33"/>
        <v>17793</v>
      </c>
      <c r="S152" s="361">
        <f t="shared" ca="1" si="34"/>
        <v>176</v>
      </c>
      <c r="T152" s="799">
        <f>剩余房源售价清单!I133</f>
        <v>19890</v>
      </c>
      <c r="U152" s="799">
        <f t="shared" ca="1" si="24"/>
        <v>0.89457013574660638</v>
      </c>
    </row>
    <row r="153" spans="1:21">
      <c r="A153" s="2985" t="str">
        <f>清单!D132</f>
        <v>2-51</v>
      </c>
      <c r="B153" s="717">
        <f>清单!G132</f>
        <v>80.81</v>
      </c>
      <c r="C153" s="24">
        <f t="shared" si="25"/>
        <v>1.04</v>
      </c>
      <c r="D153" s="3020" t="s">
        <v>3932</v>
      </c>
      <c r="E153" s="24">
        <f t="shared" si="26"/>
        <v>0.94</v>
      </c>
      <c r="F153" s="719" t="s">
        <v>3843</v>
      </c>
      <c r="G153" s="24">
        <f t="shared" si="27"/>
        <v>0.97</v>
      </c>
      <c r="H153" s="719" t="s">
        <v>3316</v>
      </c>
      <c r="I153" s="24">
        <f t="shared" si="28"/>
        <v>1</v>
      </c>
      <c r="J153" s="719"/>
      <c r="K153" s="24">
        <f t="shared" si="29"/>
        <v>1</v>
      </c>
      <c r="L153" s="719"/>
      <c r="M153" s="24">
        <f t="shared" si="30"/>
        <v>1</v>
      </c>
      <c r="N153" s="719"/>
      <c r="O153" s="24">
        <f t="shared" si="31"/>
        <v>1</v>
      </c>
      <c r="P153" s="719" t="s">
        <v>3926</v>
      </c>
      <c r="Q153" s="24">
        <f t="shared" si="32"/>
        <v>0.45</v>
      </c>
      <c r="R153" s="715">
        <f t="shared" ca="1" si="33"/>
        <v>18142</v>
      </c>
      <c r="S153" s="361">
        <f t="shared" ca="1" si="34"/>
        <v>147</v>
      </c>
      <c r="T153" s="799">
        <f>剩余房源售价清单!I134</f>
        <v>17084</v>
      </c>
      <c r="U153" s="799">
        <f t="shared" ref="U153:U216" ca="1" si="35">R153/T153</f>
        <v>1.0619292905642708</v>
      </c>
    </row>
    <row r="154" spans="1:21">
      <c r="A154" s="2985" t="str">
        <f>清单!D133</f>
        <v>2-52</v>
      </c>
      <c r="B154" s="717">
        <f>清单!G133</f>
        <v>88.82</v>
      </c>
      <c r="C154" s="24">
        <f t="shared" ref="C154:C217" si="36">IF(B154="",1,(LOOKUP(B154,$3:$3,$4:$4)-LOOKUP($B$24,$3:$3,$4:$4)+100)/100)</f>
        <v>1.04</v>
      </c>
      <c r="D154" s="3020" t="s">
        <v>3932</v>
      </c>
      <c r="E154" s="24">
        <f t="shared" ref="E154:E217" si="37">(SUMIF($5:$5,D154,$6:$6)-SUMIF($5:$5,$D$24,$6:$6)+100)/100</f>
        <v>0.94</v>
      </c>
      <c r="F154" s="719" t="s">
        <v>3843</v>
      </c>
      <c r="G154" s="24">
        <f t="shared" ref="G154:G217" si="38">(SUMIF($7:$7,F154,$8:$8)-SUMIF($7:$7,$F$24,$8:$8)+100)/100</f>
        <v>0.97</v>
      </c>
      <c r="H154" s="719" t="s">
        <v>3316</v>
      </c>
      <c r="I154" s="24">
        <f t="shared" ref="I154:I217" si="39">(SUMIF($9:$9,H154,$10:$10)-SUMIF($9:$9,$H$24,$10:$10)+100)/100</f>
        <v>1</v>
      </c>
      <c r="J154" s="719"/>
      <c r="K154" s="24">
        <f t="shared" ref="K154:K217" si="40">(SUMIF($11:$11,J154,$12:$12)-SUMIF($11:$11,$J$24,$12:$12)+100)/100</f>
        <v>1</v>
      </c>
      <c r="L154" s="719"/>
      <c r="M154" s="24">
        <f t="shared" ref="M154:M217" si="41">(SUMIF($13:$13,L154,$14:$14)-SUMIF($13:$13,$L$24,$14:$14)+100)/100</f>
        <v>1</v>
      </c>
      <c r="N154" s="719"/>
      <c r="O154" s="24">
        <f t="shared" ref="O154:O217" si="42">(SUMIF($15:$15,N154,$16:$16)-SUMIF($15:$15,$N$24,$16:$16)+100)/100</f>
        <v>1</v>
      </c>
      <c r="P154" s="719" t="s">
        <v>3926</v>
      </c>
      <c r="Q154" s="24">
        <f t="shared" ref="Q154:Q217" si="43">(SUMIF($17:$17,P154,$18:$18)-SUMIF($17:$17,$P$24,$18:$18)+100)/100</f>
        <v>0.45</v>
      </c>
      <c r="R154" s="715">
        <f t="shared" ref="R154:R217" ca="1" si="44">IF(B154="",0,ROUND($R$24*C154*E154*G154*I154*K154*M154*O154*Q154,0))</f>
        <v>18142</v>
      </c>
      <c r="S154" s="361">
        <f t="shared" ca="1" si="34"/>
        <v>161</v>
      </c>
      <c r="T154" s="799">
        <f>剩余房源售价清单!I135</f>
        <v>19989</v>
      </c>
      <c r="U154" s="799">
        <f t="shared" ca="1" si="35"/>
        <v>0.9075991795487518</v>
      </c>
    </row>
    <row r="155" spans="1:21">
      <c r="A155" s="2985" t="str">
        <f>清单!D134</f>
        <v>2-55</v>
      </c>
      <c r="B155" s="717">
        <f>清单!G134</f>
        <v>69.78</v>
      </c>
      <c r="C155" s="24">
        <f t="shared" si="36"/>
        <v>1.04</v>
      </c>
      <c r="D155" s="3020" t="s">
        <v>3932</v>
      </c>
      <c r="E155" s="24">
        <f t="shared" si="37"/>
        <v>0.94</v>
      </c>
      <c r="F155" s="719" t="s">
        <v>3843</v>
      </c>
      <c r="G155" s="24">
        <f t="shared" si="38"/>
        <v>0.97</v>
      </c>
      <c r="H155" s="719" t="s">
        <v>3316</v>
      </c>
      <c r="I155" s="24">
        <f t="shared" si="39"/>
        <v>1</v>
      </c>
      <c r="J155" s="719"/>
      <c r="K155" s="24">
        <f t="shared" si="40"/>
        <v>1</v>
      </c>
      <c r="L155" s="719"/>
      <c r="M155" s="24">
        <f t="shared" si="41"/>
        <v>1</v>
      </c>
      <c r="N155" s="719"/>
      <c r="O155" s="24">
        <f t="shared" si="42"/>
        <v>1</v>
      </c>
      <c r="P155" s="719" t="s">
        <v>3926</v>
      </c>
      <c r="Q155" s="24">
        <f t="shared" si="43"/>
        <v>0.45</v>
      </c>
      <c r="R155" s="715">
        <f t="shared" ca="1" si="44"/>
        <v>18142</v>
      </c>
      <c r="S155" s="361">
        <f t="shared" ca="1" si="34"/>
        <v>127</v>
      </c>
      <c r="T155" s="799">
        <f>剩余房源售价清单!I136</f>
        <v>22075</v>
      </c>
      <c r="U155" s="799">
        <f t="shared" ca="1" si="35"/>
        <v>0.82183465458663651</v>
      </c>
    </row>
    <row r="156" spans="1:21">
      <c r="A156" s="2985" t="str">
        <f>清单!D135</f>
        <v>2-57</v>
      </c>
      <c r="B156" s="717">
        <f>清单!G135</f>
        <v>54.52</v>
      </c>
      <c r="C156" s="24">
        <f t="shared" si="36"/>
        <v>1.06</v>
      </c>
      <c r="D156" s="3020" t="s">
        <v>3932</v>
      </c>
      <c r="E156" s="24">
        <f t="shared" si="37"/>
        <v>0.94</v>
      </c>
      <c r="F156" s="719" t="s">
        <v>3843</v>
      </c>
      <c r="G156" s="24">
        <f t="shared" si="38"/>
        <v>0.97</v>
      </c>
      <c r="H156" s="719" t="s">
        <v>3316</v>
      </c>
      <c r="I156" s="24">
        <f t="shared" si="39"/>
        <v>1</v>
      </c>
      <c r="J156" s="719"/>
      <c r="K156" s="24">
        <f t="shared" si="40"/>
        <v>1</v>
      </c>
      <c r="L156" s="719"/>
      <c r="M156" s="24">
        <f t="shared" si="41"/>
        <v>1</v>
      </c>
      <c r="N156" s="719"/>
      <c r="O156" s="24">
        <f t="shared" si="42"/>
        <v>1</v>
      </c>
      <c r="P156" s="719" t="s">
        <v>3926</v>
      </c>
      <c r="Q156" s="24">
        <f t="shared" si="43"/>
        <v>0.45</v>
      </c>
      <c r="R156" s="715">
        <f t="shared" ca="1" si="44"/>
        <v>18491</v>
      </c>
      <c r="S156" s="361">
        <f t="shared" ca="1" si="34"/>
        <v>101</v>
      </c>
      <c r="T156" s="799">
        <f>剩余房源售价清单!I137</f>
        <v>20748</v>
      </c>
      <c r="U156" s="799">
        <f t="shared" ca="1" si="35"/>
        <v>0.89121843069211493</v>
      </c>
    </row>
    <row r="157" spans="1:21">
      <c r="A157" s="2985" t="str">
        <f>清单!D136</f>
        <v>2-58</v>
      </c>
      <c r="B157" s="717">
        <f>清单!G136</f>
        <v>55.21</v>
      </c>
      <c r="C157" s="24">
        <f t="shared" si="36"/>
        <v>1.06</v>
      </c>
      <c r="D157" s="3020" t="s">
        <v>3932</v>
      </c>
      <c r="E157" s="24">
        <f t="shared" si="37"/>
        <v>0.94</v>
      </c>
      <c r="F157" s="719" t="s">
        <v>3843</v>
      </c>
      <c r="G157" s="24">
        <f t="shared" si="38"/>
        <v>0.97</v>
      </c>
      <c r="H157" s="719" t="s">
        <v>3316</v>
      </c>
      <c r="I157" s="24">
        <f t="shared" si="39"/>
        <v>1</v>
      </c>
      <c r="J157" s="719"/>
      <c r="K157" s="24">
        <f t="shared" si="40"/>
        <v>1</v>
      </c>
      <c r="L157" s="719"/>
      <c r="M157" s="24">
        <f t="shared" si="41"/>
        <v>1</v>
      </c>
      <c r="N157" s="719"/>
      <c r="O157" s="24">
        <f t="shared" si="42"/>
        <v>1</v>
      </c>
      <c r="P157" s="719" t="s">
        <v>3926</v>
      </c>
      <c r="Q157" s="24">
        <f t="shared" si="43"/>
        <v>0.45</v>
      </c>
      <c r="R157" s="715">
        <f t="shared" ca="1" si="44"/>
        <v>18491</v>
      </c>
      <c r="S157" s="361">
        <f t="shared" ca="1" si="34"/>
        <v>102</v>
      </c>
      <c r="T157" s="799">
        <f>剩余房源售价清单!I138</f>
        <v>20174</v>
      </c>
      <c r="U157" s="799">
        <f t="shared" ca="1" si="35"/>
        <v>0.91657579062159211</v>
      </c>
    </row>
    <row r="158" spans="1:21">
      <c r="A158" s="2985" t="str">
        <f>清单!D137</f>
        <v>2-59</v>
      </c>
      <c r="B158" s="717">
        <f>清单!G137</f>
        <v>55.33</v>
      </c>
      <c r="C158" s="24">
        <f t="shared" si="36"/>
        <v>1.06</v>
      </c>
      <c r="D158" s="3020" t="s">
        <v>3932</v>
      </c>
      <c r="E158" s="24">
        <f t="shared" si="37"/>
        <v>0.94</v>
      </c>
      <c r="F158" s="719" t="s">
        <v>3843</v>
      </c>
      <c r="G158" s="24">
        <f t="shared" si="38"/>
        <v>0.97</v>
      </c>
      <c r="H158" s="719" t="s">
        <v>3316</v>
      </c>
      <c r="I158" s="24">
        <f t="shared" si="39"/>
        <v>1</v>
      </c>
      <c r="J158" s="719"/>
      <c r="K158" s="24">
        <f t="shared" si="40"/>
        <v>1</v>
      </c>
      <c r="L158" s="719"/>
      <c r="M158" s="24">
        <f t="shared" si="41"/>
        <v>1</v>
      </c>
      <c r="N158" s="719"/>
      <c r="O158" s="24">
        <f t="shared" si="42"/>
        <v>1</v>
      </c>
      <c r="P158" s="719" t="s">
        <v>3926</v>
      </c>
      <c r="Q158" s="24">
        <f t="shared" si="43"/>
        <v>0.45</v>
      </c>
      <c r="R158" s="715">
        <f t="shared" ca="1" si="44"/>
        <v>18491</v>
      </c>
      <c r="S158" s="361">
        <f t="shared" ca="1" si="34"/>
        <v>102</v>
      </c>
      <c r="T158" s="799">
        <f>剩余房源售价清单!I139</f>
        <v>20418</v>
      </c>
      <c r="U158" s="799">
        <f t="shared" ca="1" si="35"/>
        <v>0.90562248995983941</v>
      </c>
    </row>
    <row r="159" spans="1:21">
      <c r="A159" s="2985" t="str">
        <f>清单!D138</f>
        <v>2-60</v>
      </c>
      <c r="B159" s="717">
        <f>清单!G138</f>
        <v>55.33</v>
      </c>
      <c r="C159" s="24">
        <f t="shared" si="36"/>
        <v>1.06</v>
      </c>
      <c r="D159" s="3020" t="s">
        <v>3932</v>
      </c>
      <c r="E159" s="24">
        <f t="shared" si="37"/>
        <v>0.94</v>
      </c>
      <c r="F159" s="719" t="s">
        <v>3843</v>
      </c>
      <c r="G159" s="24">
        <f t="shared" si="38"/>
        <v>0.97</v>
      </c>
      <c r="H159" s="719" t="s">
        <v>3316</v>
      </c>
      <c r="I159" s="24">
        <f t="shared" si="39"/>
        <v>1</v>
      </c>
      <c r="J159" s="719"/>
      <c r="K159" s="24">
        <f t="shared" si="40"/>
        <v>1</v>
      </c>
      <c r="L159" s="719"/>
      <c r="M159" s="24">
        <f t="shared" si="41"/>
        <v>1</v>
      </c>
      <c r="N159" s="719"/>
      <c r="O159" s="24">
        <f t="shared" si="42"/>
        <v>1</v>
      </c>
      <c r="P159" s="719" t="s">
        <v>3926</v>
      </c>
      <c r="Q159" s="24">
        <f t="shared" si="43"/>
        <v>0.45</v>
      </c>
      <c r="R159" s="715">
        <f t="shared" ca="1" si="44"/>
        <v>18491</v>
      </c>
      <c r="S159" s="361">
        <f t="shared" ca="1" si="34"/>
        <v>102</v>
      </c>
      <c r="T159" s="799">
        <f>剩余房源售价清单!I140</f>
        <v>20663</v>
      </c>
      <c r="U159" s="799">
        <f t="shared" ca="1" si="35"/>
        <v>0.89488457629579443</v>
      </c>
    </row>
    <row r="160" spans="1:21">
      <c r="A160" s="2985" t="str">
        <f>清单!D139</f>
        <v>2-62</v>
      </c>
      <c r="B160" s="717">
        <f>清单!G139</f>
        <v>55.33</v>
      </c>
      <c r="C160" s="24">
        <f t="shared" si="36"/>
        <v>1.06</v>
      </c>
      <c r="D160" s="3020" t="s">
        <v>3932</v>
      </c>
      <c r="E160" s="24">
        <f t="shared" si="37"/>
        <v>0.94</v>
      </c>
      <c r="F160" s="719" t="s">
        <v>3843</v>
      </c>
      <c r="G160" s="24">
        <f t="shared" si="38"/>
        <v>0.97</v>
      </c>
      <c r="H160" s="719" t="s">
        <v>3316</v>
      </c>
      <c r="I160" s="24">
        <f t="shared" si="39"/>
        <v>1</v>
      </c>
      <c r="J160" s="719"/>
      <c r="K160" s="24">
        <f t="shared" si="40"/>
        <v>1</v>
      </c>
      <c r="L160" s="719"/>
      <c r="M160" s="24">
        <f t="shared" si="41"/>
        <v>1</v>
      </c>
      <c r="N160" s="719"/>
      <c r="O160" s="24">
        <f t="shared" si="42"/>
        <v>1</v>
      </c>
      <c r="P160" s="719" t="s">
        <v>3926</v>
      </c>
      <c r="Q160" s="24">
        <f t="shared" si="43"/>
        <v>0.45</v>
      </c>
      <c r="R160" s="715">
        <f t="shared" ca="1" si="44"/>
        <v>18491</v>
      </c>
      <c r="S160" s="361">
        <f t="shared" ca="1" si="34"/>
        <v>102</v>
      </c>
      <c r="T160" s="799">
        <f>剩余房源售价清单!I141</f>
        <v>21152</v>
      </c>
      <c r="U160" s="799">
        <f t="shared" ca="1" si="35"/>
        <v>0.87419629349470496</v>
      </c>
    </row>
    <row r="161" spans="1:21">
      <c r="A161" s="2985" t="str">
        <f>清单!D140</f>
        <v>2-63</v>
      </c>
      <c r="B161" s="717">
        <f>清单!G140</f>
        <v>94.85</v>
      </c>
      <c r="C161" s="24">
        <f t="shared" si="36"/>
        <v>1.02</v>
      </c>
      <c r="D161" s="3020" t="s">
        <v>3932</v>
      </c>
      <c r="E161" s="24">
        <f t="shared" si="37"/>
        <v>0.94</v>
      </c>
      <c r="F161" s="719" t="s">
        <v>3908</v>
      </c>
      <c r="G161" s="24">
        <f t="shared" si="38"/>
        <v>1.03</v>
      </c>
      <c r="H161" s="719" t="s">
        <v>3316</v>
      </c>
      <c r="I161" s="24">
        <f t="shared" si="39"/>
        <v>1</v>
      </c>
      <c r="J161" s="719"/>
      <c r="K161" s="24">
        <f t="shared" si="40"/>
        <v>1</v>
      </c>
      <c r="L161" s="719"/>
      <c r="M161" s="24">
        <f t="shared" si="41"/>
        <v>1</v>
      </c>
      <c r="N161" s="719"/>
      <c r="O161" s="24">
        <f t="shared" si="42"/>
        <v>1</v>
      </c>
      <c r="P161" s="719" t="s">
        <v>3926</v>
      </c>
      <c r="Q161" s="24">
        <f t="shared" si="43"/>
        <v>0.45</v>
      </c>
      <c r="R161" s="715">
        <f t="shared" ca="1" si="44"/>
        <v>18894</v>
      </c>
      <c r="S161" s="361">
        <f t="shared" ca="1" si="34"/>
        <v>179</v>
      </c>
      <c r="T161" s="799">
        <f>剩余房源售价清单!I142</f>
        <v>26915</v>
      </c>
      <c r="U161" s="799">
        <f t="shared" ca="1" si="35"/>
        <v>0.70198773917889656</v>
      </c>
    </row>
    <row r="162" spans="1:21">
      <c r="A162" s="2985" t="str">
        <f>清单!D141</f>
        <v>2-64</v>
      </c>
      <c r="B162" s="717">
        <f>清单!G141</f>
        <v>68.47</v>
      </c>
      <c r="C162" s="24">
        <f t="shared" si="36"/>
        <v>1.04</v>
      </c>
      <c r="D162" s="3020" t="s">
        <v>3932</v>
      </c>
      <c r="E162" s="24">
        <f t="shared" si="37"/>
        <v>0.94</v>
      </c>
      <c r="F162" s="719" t="s">
        <v>3843</v>
      </c>
      <c r="G162" s="24">
        <f t="shared" si="38"/>
        <v>0.97</v>
      </c>
      <c r="H162" s="719" t="s">
        <v>3316</v>
      </c>
      <c r="I162" s="24">
        <f t="shared" si="39"/>
        <v>1</v>
      </c>
      <c r="J162" s="719"/>
      <c r="K162" s="24">
        <f t="shared" si="40"/>
        <v>1</v>
      </c>
      <c r="L162" s="719"/>
      <c r="M162" s="24">
        <f t="shared" si="41"/>
        <v>1</v>
      </c>
      <c r="N162" s="719"/>
      <c r="O162" s="24">
        <f t="shared" si="42"/>
        <v>1</v>
      </c>
      <c r="P162" s="719" t="s">
        <v>3926</v>
      </c>
      <c r="Q162" s="24">
        <f t="shared" si="43"/>
        <v>0.45</v>
      </c>
      <c r="R162" s="715">
        <f t="shared" ca="1" si="44"/>
        <v>18142</v>
      </c>
      <c r="S162" s="361">
        <f t="shared" ca="1" si="34"/>
        <v>124</v>
      </c>
      <c r="T162" s="799">
        <f>剩余房源售价清单!I143</f>
        <v>21916</v>
      </c>
      <c r="U162" s="799">
        <f t="shared" ca="1" si="35"/>
        <v>0.82779704325606862</v>
      </c>
    </row>
    <row r="163" spans="1:21">
      <c r="A163" s="2985" t="str">
        <f>清单!D142</f>
        <v>2-65</v>
      </c>
      <c r="B163" s="717">
        <f>清单!G142</f>
        <v>68.27</v>
      </c>
      <c r="C163" s="24">
        <f t="shared" si="36"/>
        <v>1.04</v>
      </c>
      <c r="D163" s="3020" t="s">
        <v>3932</v>
      </c>
      <c r="E163" s="24">
        <f t="shared" si="37"/>
        <v>0.94</v>
      </c>
      <c r="F163" s="719" t="s">
        <v>3843</v>
      </c>
      <c r="G163" s="24">
        <f t="shared" si="38"/>
        <v>0.97</v>
      </c>
      <c r="H163" s="719" t="s">
        <v>3316</v>
      </c>
      <c r="I163" s="24">
        <f t="shared" si="39"/>
        <v>1</v>
      </c>
      <c r="J163" s="719"/>
      <c r="K163" s="24">
        <f t="shared" si="40"/>
        <v>1</v>
      </c>
      <c r="L163" s="719"/>
      <c r="M163" s="24">
        <f t="shared" si="41"/>
        <v>1</v>
      </c>
      <c r="N163" s="719"/>
      <c r="O163" s="24">
        <f t="shared" si="42"/>
        <v>1</v>
      </c>
      <c r="P163" s="719" t="s">
        <v>3926</v>
      </c>
      <c r="Q163" s="24">
        <f t="shared" si="43"/>
        <v>0.45</v>
      </c>
      <c r="R163" s="715">
        <f t="shared" ca="1" si="44"/>
        <v>18142</v>
      </c>
      <c r="S163" s="361">
        <f t="shared" ca="1" si="34"/>
        <v>124</v>
      </c>
      <c r="T163" s="799">
        <f>剩余房源售价清单!I144</f>
        <v>20122</v>
      </c>
      <c r="U163" s="799">
        <f t="shared" ca="1" si="35"/>
        <v>0.90160023854487625</v>
      </c>
    </row>
    <row r="164" spans="1:21">
      <c r="A164" s="2985" t="str">
        <f>清单!D143</f>
        <v>2-66</v>
      </c>
      <c r="B164" s="717">
        <f>清单!G143</f>
        <v>68.400000000000006</v>
      </c>
      <c r="C164" s="24">
        <f t="shared" si="36"/>
        <v>1.04</v>
      </c>
      <c r="D164" s="3020" t="s">
        <v>3932</v>
      </c>
      <c r="E164" s="24">
        <f t="shared" si="37"/>
        <v>0.94</v>
      </c>
      <c r="F164" s="719" t="s">
        <v>3843</v>
      </c>
      <c r="G164" s="24">
        <f t="shared" si="38"/>
        <v>0.97</v>
      </c>
      <c r="H164" s="719" t="s">
        <v>3316</v>
      </c>
      <c r="I164" s="24">
        <f t="shared" si="39"/>
        <v>1</v>
      </c>
      <c r="J164" s="719"/>
      <c r="K164" s="24">
        <f t="shared" si="40"/>
        <v>1</v>
      </c>
      <c r="L164" s="719"/>
      <c r="M164" s="24">
        <f t="shared" si="41"/>
        <v>1</v>
      </c>
      <c r="N164" s="719"/>
      <c r="O164" s="24">
        <f t="shared" si="42"/>
        <v>1</v>
      </c>
      <c r="P164" s="719" t="s">
        <v>3926</v>
      </c>
      <c r="Q164" s="24">
        <f t="shared" si="43"/>
        <v>0.45</v>
      </c>
      <c r="R164" s="715">
        <f t="shared" ca="1" si="44"/>
        <v>18142</v>
      </c>
      <c r="S164" s="361">
        <f t="shared" ca="1" si="34"/>
        <v>124</v>
      </c>
      <c r="T164" s="799">
        <f>剩余房源售价清单!I145</f>
        <v>20692</v>
      </c>
      <c r="U164" s="799">
        <f t="shared" ca="1" si="35"/>
        <v>0.876763966750435</v>
      </c>
    </row>
    <row r="165" spans="1:21">
      <c r="A165" s="2985" t="str">
        <f>清单!D144</f>
        <v>2-67</v>
      </c>
      <c r="B165" s="717">
        <f>清单!G144</f>
        <v>68.27</v>
      </c>
      <c r="C165" s="24">
        <f t="shared" si="36"/>
        <v>1.04</v>
      </c>
      <c r="D165" s="3020" t="s">
        <v>3932</v>
      </c>
      <c r="E165" s="24">
        <f t="shared" si="37"/>
        <v>0.94</v>
      </c>
      <c r="F165" s="719" t="s">
        <v>3843</v>
      </c>
      <c r="G165" s="24">
        <f t="shared" si="38"/>
        <v>0.97</v>
      </c>
      <c r="H165" s="719" t="s">
        <v>3316</v>
      </c>
      <c r="I165" s="24">
        <f t="shared" si="39"/>
        <v>1</v>
      </c>
      <c r="J165" s="719"/>
      <c r="K165" s="24">
        <f t="shared" si="40"/>
        <v>1</v>
      </c>
      <c r="L165" s="719"/>
      <c r="M165" s="24">
        <f t="shared" si="41"/>
        <v>1</v>
      </c>
      <c r="N165" s="719"/>
      <c r="O165" s="24">
        <f t="shared" si="42"/>
        <v>1</v>
      </c>
      <c r="P165" s="719" t="s">
        <v>3926</v>
      </c>
      <c r="Q165" s="24">
        <f t="shared" si="43"/>
        <v>0.45</v>
      </c>
      <c r="R165" s="715">
        <f t="shared" ca="1" si="44"/>
        <v>18142</v>
      </c>
      <c r="S165" s="361">
        <f t="shared" ca="1" si="34"/>
        <v>124</v>
      </c>
      <c r="T165" s="799">
        <f>剩余房源售价清单!I146</f>
        <v>20611</v>
      </c>
      <c r="U165" s="799">
        <f t="shared" ca="1" si="35"/>
        <v>0.88020959681723354</v>
      </c>
    </row>
    <row r="166" spans="1:21">
      <c r="A166" s="2985" t="str">
        <f>清单!D145</f>
        <v>2-68</v>
      </c>
      <c r="B166" s="717">
        <f>清单!G145</f>
        <v>51.3</v>
      </c>
      <c r="C166" s="24">
        <f t="shared" si="36"/>
        <v>1.06</v>
      </c>
      <c r="D166" s="3020" t="s">
        <v>3932</v>
      </c>
      <c r="E166" s="24">
        <f t="shared" si="37"/>
        <v>0.94</v>
      </c>
      <c r="F166" s="719" t="s">
        <v>3844</v>
      </c>
      <c r="G166" s="24">
        <f t="shared" si="38"/>
        <v>1</v>
      </c>
      <c r="H166" s="719" t="s">
        <v>3316</v>
      </c>
      <c r="I166" s="24">
        <f t="shared" si="39"/>
        <v>1</v>
      </c>
      <c r="J166" s="719"/>
      <c r="K166" s="24">
        <f t="shared" si="40"/>
        <v>1</v>
      </c>
      <c r="L166" s="719"/>
      <c r="M166" s="24">
        <f t="shared" si="41"/>
        <v>1</v>
      </c>
      <c r="N166" s="719"/>
      <c r="O166" s="24">
        <f t="shared" si="42"/>
        <v>1</v>
      </c>
      <c r="P166" s="719" t="s">
        <v>3926</v>
      </c>
      <c r="Q166" s="24">
        <f t="shared" si="43"/>
        <v>0.45</v>
      </c>
      <c r="R166" s="715">
        <f t="shared" ca="1" si="44"/>
        <v>19063</v>
      </c>
      <c r="S166" s="361">
        <f t="shared" ca="1" si="34"/>
        <v>98</v>
      </c>
      <c r="T166" s="799">
        <f>剩余房源售价清单!I147</f>
        <v>23459</v>
      </c>
      <c r="U166" s="799">
        <f t="shared" ca="1" si="35"/>
        <v>0.81260923313014199</v>
      </c>
    </row>
    <row r="167" spans="1:21">
      <c r="A167" s="2985" t="str">
        <f>清单!D146</f>
        <v>2-72</v>
      </c>
      <c r="B167" s="717">
        <f>清单!G146</f>
        <v>79.05</v>
      </c>
      <c r="C167" s="24">
        <f t="shared" si="36"/>
        <v>1.04</v>
      </c>
      <c r="D167" s="3020" t="s">
        <v>3932</v>
      </c>
      <c r="E167" s="24">
        <f t="shared" si="37"/>
        <v>0.94</v>
      </c>
      <c r="F167" s="719" t="s">
        <v>3843</v>
      </c>
      <c r="G167" s="24">
        <f t="shared" si="38"/>
        <v>0.97</v>
      </c>
      <c r="H167" s="719" t="s">
        <v>3316</v>
      </c>
      <c r="I167" s="24">
        <f t="shared" si="39"/>
        <v>1</v>
      </c>
      <c r="J167" s="719"/>
      <c r="K167" s="24">
        <f t="shared" si="40"/>
        <v>1</v>
      </c>
      <c r="L167" s="719"/>
      <c r="M167" s="24">
        <f t="shared" si="41"/>
        <v>1</v>
      </c>
      <c r="N167" s="719"/>
      <c r="O167" s="24">
        <f t="shared" si="42"/>
        <v>1</v>
      </c>
      <c r="P167" s="719" t="s">
        <v>3926</v>
      </c>
      <c r="Q167" s="24">
        <f t="shared" si="43"/>
        <v>0.45</v>
      </c>
      <c r="R167" s="715">
        <f t="shared" ca="1" si="44"/>
        <v>18142</v>
      </c>
      <c r="S167" s="361">
        <f t="shared" ca="1" si="34"/>
        <v>143</v>
      </c>
      <c r="T167" s="799">
        <f>剩余房源售价清单!I148</f>
        <v>19817</v>
      </c>
      <c r="U167" s="799">
        <f t="shared" ca="1" si="35"/>
        <v>0.91547661099056366</v>
      </c>
    </row>
    <row r="168" spans="1:21">
      <c r="A168" s="2985" t="str">
        <f>清单!D147</f>
        <v>2-73</v>
      </c>
      <c r="B168" s="717">
        <f>清单!G147</f>
        <v>70.34</v>
      </c>
      <c r="C168" s="24">
        <f t="shared" si="36"/>
        <v>1.04</v>
      </c>
      <c r="D168" s="3020" t="s">
        <v>3932</v>
      </c>
      <c r="E168" s="24">
        <f t="shared" si="37"/>
        <v>0.94</v>
      </c>
      <c r="F168" s="719" t="s">
        <v>3843</v>
      </c>
      <c r="G168" s="24">
        <f t="shared" si="38"/>
        <v>0.97</v>
      </c>
      <c r="H168" s="719" t="s">
        <v>3316</v>
      </c>
      <c r="I168" s="24">
        <f t="shared" si="39"/>
        <v>1</v>
      </c>
      <c r="J168" s="719"/>
      <c r="K168" s="24">
        <f t="shared" si="40"/>
        <v>1</v>
      </c>
      <c r="L168" s="719"/>
      <c r="M168" s="24">
        <f t="shared" si="41"/>
        <v>1</v>
      </c>
      <c r="N168" s="719"/>
      <c r="O168" s="24">
        <f t="shared" si="42"/>
        <v>1</v>
      </c>
      <c r="P168" s="719" t="s">
        <v>3926</v>
      </c>
      <c r="Q168" s="24">
        <f t="shared" si="43"/>
        <v>0.45</v>
      </c>
      <c r="R168" s="715">
        <f t="shared" ca="1" si="44"/>
        <v>18142</v>
      </c>
      <c r="S168" s="361">
        <f t="shared" ca="1" si="34"/>
        <v>128</v>
      </c>
      <c r="T168" s="799">
        <f>剩余房源售价清单!I149</f>
        <v>19595</v>
      </c>
      <c r="U168" s="799">
        <f t="shared" ca="1" si="35"/>
        <v>0.92584843072212297</v>
      </c>
    </row>
    <row r="169" spans="1:21">
      <c r="A169" s="2985" t="str">
        <f>清单!D148</f>
        <v>2-75</v>
      </c>
      <c r="B169" s="717">
        <f>清单!G148</f>
        <v>56.57</v>
      </c>
      <c r="C169" s="24">
        <f t="shared" si="36"/>
        <v>1.06</v>
      </c>
      <c r="D169" s="3020" t="s">
        <v>3932</v>
      </c>
      <c r="E169" s="24">
        <f t="shared" si="37"/>
        <v>0.94</v>
      </c>
      <c r="F169" s="719" t="s">
        <v>3843</v>
      </c>
      <c r="G169" s="24">
        <f t="shared" si="38"/>
        <v>0.97</v>
      </c>
      <c r="H169" s="719" t="s">
        <v>3316</v>
      </c>
      <c r="I169" s="24">
        <f t="shared" si="39"/>
        <v>1</v>
      </c>
      <c r="J169" s="719"/>
      <c r="K169" s="24">
        <f t="shared" si="40"/>
        <v>1</v>
      </c>
      <c r="L169" s="719"/>
      <c r="M169" s="24">
        <f t="shared" si="41"/>
        <v>1</v>
      </c>
      <c r="N169" s="719"/>
      <c r="O169" s="24">
        <f t="shared" si="42"/>
        <v>1</v>
      </c>
      <c r="P169" s="719" t="s">
        <v>3926</v>
      </c>
      <c r="Q169" s="24">
        <f t="shared" si="43"/>
        <v>0.45</v>
      </c>
      <c r="R169" s="715">
        <f t="shared" ca="1" si="44"/>
        <v>18491</v>
      </c>
      <c r="S169" s="361">
        <f t="shared" ca="1" si="34"/>
        <v>105</v>
      </c>
      <c r="T169" s="799">
        <f>剩余房源售价清单!I150</f>
        <v>20137</v>
      </c>
      <c r="U169" s="799">
        <f t="shared" ca="1" si="35"/>
        <v>0.91825991955107511</v>
      </c>
    </row>
    <row r="170" spans="1:21">
      <c r="A170" s="2985" t="str">
        <f>清单!D149</f>
        <v>2-76</v>
      </c>
      <c r="B170" s="717">
        <f>清单!G149</f>
        <v>79.09</v>
      </c>
      <c r="C170" s="24">
        <f t="shared" si="36"/>
        <v>1.04</v>
      </c>
      <c r="D170" s="3020" t="s">
        <v>3932</v>
      </c>
      <c r="E170" s="24">
        <f t="shared" si="37"/>
        <v>0.94</v>
      </c>
      <c r="F170" s="719" t="s">
        <v>3843</v>
      </c>
      <c r="G170" s="24">
        <f t="shared" si="38"/>
        <v>0.97</v>
      </c>
      <c r="H170" s="719" t="s">
        <v>3316</v>
      </c>
      <c r="I170" s="24">
        <f t="shared" si="39"/>
        <v>1</v>
      </c>
      <c r="J170" s="719"/>
      <c r="K170" s="24">
        <f t="shared" si="40"/>
        <v>1</v>
      </c>
      <c r="L170" s="719"/>
      <c r="M170" s="24">
        <f t="shared" si="41"/>
        <v>1</v>
      </c>
      <c r="N170" s="719"/>
      <c r="O170" s="24">
        <f t="shared" si="42"/>
        <v>1</v>
      </c>
      <c r="P170" s="719" t="s">
        <v>3926</v>
      </c>
      <c r="Q170" s="24">
        <f t="shared" si="43"/>
        <v>0.45</v>
      </c>
      <c r="R170" s="715">
        <f t="shared" ca="1" si="44"/>
        <v>18142</v>
      </c>
      <c r="S170" s="361">
        <f t="shared" ca="1" si="34"/>
        <v>143</v>
      </c>
      <c r="T170" s="799">
        <f>剩余房源售价清单!I151</f>
        <v>20633</v>
      </c>
      <c r="U170" s="799">
        <f t="shared" ca="1" si="35"/>
        <v>0.87927107061503418</v>
      </c>
    </row>
    <row r="171" spans="1:21">
      <c r="A171" s="2985" t="str">
        <f>清单!D150</f>
        <v>2-77</v>
      </c>
      <c r="B171" s="717">
        <f>清单!G150</f>
        <v>79.12</v>
      </c>
      <c r="C171" s="24">
        <f t="shared" si="36"/>
        <v>1.04</v>
      </c>
      <c r="D171" s="3020" t="s">
        <v>3932</v>
      </c>
      <c r="E171" s="24">
        <f t="shared" si="37"/>
        <v>0.94</v>
      </c>
      <c r="F171" s="719" t="s">
        <v>3843</v>
      </c>
      <c r="G171" s="24">
        <f t="shared" si="38"/>
        <v>0.97</v>
      </c>
      <c r="H171" s="719" t="s">
        <v>3316</v>
      </c>
      <c r="I171" s="24">
        <f t="shared" si="39"/>
        <v>1</v>
      </c>
      <c r="J171" s="719"/>
      <c r="K171" s="24">
        <f t="shared" si="40"/>
        <v>1</v>
      </c>
      <c r="L171" s="719"/>
      <c r="M171" s="24">
        <f t="shared" si="41"/>
        <v>1</v>
      </c>
      <c r="N171" s="719"/>
      <c r="O171" s="24">
        <f t="shared" si="42"/>
        <v>1</v>
      </c>
      <c r="P171" s="719" t="s">
        <v>3926</v>
      </c>
      <c r="Q171" s="24">
        <f t="shared" si="43"/>
        <v>0.45</v>
      </c>
      <c r="R171" s="715">
        <f t="shared" ca="1" si="44"/>
        <v>18142</v>
      </c>
      <c r="S171" s="361">
        <f t="shared" ca="1" si="34"/>
        <v>144</v>
      </c>
      <c r="T171" s="799">
        <f>剩余房源售价清单!I152</f>
        <v>20714</v>
      </c>
      <c r="U171" s="799">
        <f t="shared" ca="1" si="35"/>
        <v>0.87583277010717386</v>
      </c>
    </row>
    <row r="172" spans="1:21">
      <c r="A172" s="2985" t="str">
        <f>清单!D151</f>
        <v>2-79</v>
      </c>
      <c r="B172" s="717">
        <f>清单!G151</f>
        <v>73.77</v>
      </c>
      <c r="C172" s="24">
        <f t="shared" si="36"/>
        <v>1.04</v>
      </c>
      <c r="D172" s="3020" t="s">
        <v>3932</v>
      </c>
      <c r="E172" s="24">
        <f t="shared" si="37"/>
        <v>0.94</v>
      </c>
      <c r="F172" s="719" t="s">
        <v>3843</v>
      </c>
      <c r="G172" s="24">
        <f t="shared" si="38"/>
        <v>0.97</v>
      </c>
      <c r="H172" s="719" t="s">
        <v>3316</v>
      </c>
      <c r="I172" s="24">
        <f t="shared" si="39"/>
        <v>1</v>
      </c>
      <c r="J172" s="719"/>
      <c r="K172" s="24">
        <f t="shared" si="40"/>
        <v>1</v>
      </c>
      <c r="L172" s="719"/>
      <c r="M172" s="24">
        <f t="shared" si="41"/>
        <v>1</v>
      </c>
      <c r="N172" s="719"/>
      <c r="O172" s="24">
        <f t="shared" si="42"/>
        <v>1</v>
      </c>
      <c r="P172" s="719" t="s">
        <v>3926</v>
      </c>
      <c r="Q172" s="24">
        <f t="shared" si="43"/>
        <v>0.45</v>
      </c>
      <c r="R172" s="715">
        <f t="shared" ca="1" si="44"/>
        <v>18142</v>
      </c>
      <c r="S172" s="361">
        <f t="shared" ca="1" si="34"/>
        <v>134</v>
      </c>
      <c r="T172" s="799">
        <f>剩余房源售价清单!I153</f>
        <v>20024</v>
      </c>
      <c r="U172" s="799">
        <f t="shared" ca="1" si="35"/>
        <v>0.90601278465840995</v>
      </c>
    </row>
    <row r="173" spans="1:21">
      <c r="A173" s="2985" t="str">
        <f>清单!D152</f>
        <v>2-80</v>
      </c>
      <c r="B173" s="717">
        <f>清单!G152</f>
        <v>73.77</v>
      </c>
      <c r="C173" s="24">
        <f t="shared" si="36"/>
        <v>1.04</v>
      </c>
      <c r="D173" s="3020" t="s">
        <v>3932</v>
      </c>
      <c r="E173" s="24">
        <f t="shared" si="37"/>
        <v>0.94</v>
      </c>
      <c r="F173" s="719" t="s">
        <v>3843</v>
      </c>
      <c r="G173" s="24">
        <f t="shared" si="38"/>
        <v>0.97</v>
      </c>
      <c r="H173" s="719" t="s">
        <v>3316</v>
      </c>
      <c r="I173" s="24">
        <f t="shared" si="39"/>
        <v>1</v>
      </c>
      <c r="J173" s="719"/>
      <c r="K173" s="24">
        <f t="shared" si="40"/>
        <v>1</v>
      </c>
      <c r="L173" s="719"/>
      <c r="M173" s="24">
        <f t="shared" si="41"/>
        <v>1</v>
      </c>
      <c r="N173" s="719"/>
      <c r="O173" s="24">
        <f t="shared" si="42"/>
        <v>1</v>
      </c>
      <c r="P173" s="719" t="s">
        <v>3926</v>
      </c>
      <c r="Q173" s="24">
        <f t="shared" si="43"/>
        <v>0.45</v>
      </c>
      <c r="R173" s="715">
        <f t="shared" ca="1" si="44"/>
        <v>18142</v>
      </c>
      <c r="S173" s="361">
        <f t="shared" ca="1" si="34"/>
        <v>134</v>
      </c>
      <c r="T173" s="799">
        <f>剩余房源售价清单!I154</f>
        <v>20595</v>
      </c>
      <c r="U173" s="799">
        <f t="shared" ca="1" si="35"/>
        <v>0.88089342073318766</v>
      </c>
    </row>
    <row r="174" spans="1:21">
      <c r="A174" s="2985" t="str">
        <f>清单!D153</f>
        <v>2-81</v>
      </c>
      <c r="B174" s="717">
        <f>清单!G153</f>
        <v>106.11</v>
      </c>
      <c r="C174" s="24">
        <f t="shared" si="36"/>
        <v>1.02</v>
      </c>
      <c r="D174" s="3020" t="s">
        <v>3932</v>
      </c>
      <c r="E174" s="24">
        <f t="shared" si="37"/>
        <v>0.94</v>
      </c>
      <c r="F174" s="719" t="s">
        <v>3843</v>
      </c>
      <c r="G174" s="24">
        <f t="shared" si="38"/>
        <v>0.97</v>
      </c>
      <c r="H174" s="719" t="s">
        <v>3316</v>
      </c>
      <c r="I174" s="24">
        <f t="shared" si="39"/>
        <v>1</v>
      </c>
      <c r="J174" s="719"/>
      <c r="K174" s="24">
        <f t="shared" si="40"/>
        <v>1</v>
      </c>
      <c r="L174" s="719"/>
      <c r="M174" s="24">
        <f t="shared" si="41"/>
        <v>1</v>
      </c>
      <c r="N174" s="719"/>
      <c r="O174" s="24">
        <f t="shared" si="42"/>
        <v>1</v>
      </c>
      <c r="P174" s="719" t="s">
        <v>3926</v>
      </c>
      <c r="Q174" s="24">
        <f t="shared" si="43"/>
        <v>0.45</v>
      </c>
      <c r="R174" s="715">
        <f t="shared" ca="1" si="44"/>
        <v>17793</v>
      </c>
      <c r="S174" s="361">
        <f t="shared" ca="1" si="34"/>
        <v>189</v>
      </c>
      <c r="T174" s="799">
        <f>剩余房源售价清单!I155</f>
        <v>21431</v>
      </c>
      <c r="U174" s="799">
        <f t="shared" ca="1" si="35"/>
        <v>0.83024590546404742</v>
      </c>
    </row>
    <row r="175" spans="1:21">
      <c r="A175" s="2985" t="str">
        <f>清单!D154</f>
        <v>2-82</v>
      </c>
      <c r="B175" s="717">
        <f>清单!G154</f>
        <v>105.93</v>
      </c>
      <c r="C175" s="24">
        <f t="shared" si="36"/>
        <v>1.02</v>
      </c>
      <c r="D175" s="3020" t="s">
        <v>3932</v>
      </c>
      <c r="E175" s="24">
        <f t="shared" si="37"/>
        <v>0.94</v>
      </c>
      <c r="F175" s="719" t="s">
        <v>3843</v>
      </c>
      <c r="G175" s="24">
        <f t="shared" si="38"/>
        <v>0.97</v>
      </c>
      <c r="H175" s="719" t="s">
        <v>3316</v>
      </c>
      <c r="I175" s="24">
        <f t="shared" si="39"/>
        <v>1</v>
      </c>
      <c r="J175" s="719"/>
      <c r="K175" s="24">
        <f t="shared" si="40"/>
        <v>1</v>
      </c>
      <c r="L175" s="719"/>
      <c r="M175" s="24">
        <f t="shared" si="41"/>
        <v>1</v>
      </c>
      <c r="N175" s="719"/>
      <c r="O175" s="24">
        <f t="shared" si="42"/>
        <v>1</v>
      </c>
      <c r="P175" s="719" t="s">
        <v>3926</v>
      </c>
      <c r="Q175" s="24">
        <f t="shared" si="43"/>
        <v>0.45</v>
      </c>
      <c r="R175" s="715">
        <f t="shared" ca="1" si="44"/>
        <v>17793</v>
      </c>
      <c r="S175" s="361">
        <f t="shared" ca="1" si="34"/>
        <v>188</v>
      </c>
      <c r="T175" s="799">
        <f>剩余房源售价清单!I156</f>
        <v>19717</v>
      </c>
      <c r="U175" s="799">
        <f t="shared" ca="1" si="35"/>
        <v>0.9024192321347061</v>
      </c>
    </row>
    <row r="176" spans="1:21">
      <c r="A176" s="2985" t="str">
        <f>清单!D155</f>
        <v>2-83</v>
      </c>
      <c r="B176" s="717">
        <f>清单!G155</f>
        <v>106.05</v>
      </c>
      <c r="C176" s="24">
        <f t="shared" si="36"/>
        <v>1.02</v>
      </c>
      <c r="D176" s="3020" t="s">
        <v>3932</v>
      </c>
      <c r="E176" s="24">
        <f t="shared" si="37"/>
        <v>0.94</v>
      </c>
      <c r="F176" s="719" t="s">
        <v>3843</v>
      </c>
      <c r="G176" s="24">
        <f t="shared" si="38"/>
        <v>0.97</v>
      </c>
      <c r="H176" s="719" t="s">
        <v>3316</v>
      </c>
      <c r="I176" s="24">
        <f t="shared" si="39"/>
        <v>1</v>
      </c>
      <c r="J176" s="719"/>
      <c r="K176" s="24">
        <f t="shared" si="40"/>
        <v>1</v>
      </c>
      <c r="L176" s="719"/>
      <c r="M176" s="24">
        <f t="shared" si="41"/>
        <v>1</v>
      </c>
      <c r="N176" s="719"/>
      <c r="O176" s="24">
        <f t="shared" si="42"/>
        <v>1</v>
      </c>
      <c r="P176" s="719" t="s">
        <v>3926</v>
      </c>
      <c r="Q176" s="24">
        <f t="shared" si="43"/>
        <v>0.45</v>
      </c>
      <c r="R176" s="715">
        <f t="shared" ca="1" si="44"/>
        <v>17793</v>
      </c>
      <c r="S176" s="361">
        <f t="shared" ca="1" si="34"/>
        <v>189</v>
      </c>
      <c r="T176" s="799">
        <f>剩余房源售价清单!I157</f>
        <v>20288</v>
      </c>
      <c r="U176" s="799">
        <f t="shared" ca="1" si="35"/>
        <v>0.87702089905362779</v>
      </c>
    </row>
    <row r="177" spans="1:21">
      <c r="A177" s="2985" t="str">
        <f>清单!D156</f>
        <v>2-88</v>
      </c>
      <c r="B177" s="717">
        <f>清单!G156</f>
        <v>16.760000000000002</v>
      </c>
      <c r="C177" s="24">
        <f t="shared" si="36"/>
        <v>1.1399999999999999</v>
      </c>
      <c r="D177" s="3020" t="s">
        <v>3932</v>
      </c>
      <c r="E177" s="24">
        <f t="shared" si="37"/>
        <v>0.94</v>
      </c>
      <c r="F177" s="719" t="s">
        <v>3843</v>
      </c>
      <c r="G177" s="24">
        <f t="shared" si="38"/>
        <v>0.97</v>
      </c>
      <c r="H177" s="719" t="s">
        <v>3316</v>
      </c>
      <c r="I177" s="24">
        <f t="shared" si="39"/>
        <v>1</v>
      </c>
      <c r="J177" s="719"/>
      <c r="K177" s="24">
        <f t="shared" si="40"/>
        <v>1</v>
      </c>
      <c r="L177" s="719"/>
      <c r="M177" s="24">
        <f t="shared" si="41"/>
        <v>1</v>
      </c>
      <c r="N177" s="719"/>
      <c r="O177" s="24">
        <f t="shared" si="42"/>
        <v>1</v>
      </c>
      <c r="P177" s="719" t="s">
        <v>3926</v>
      </c>
      <c r="Q177" s="24">
        <f t="shared" si="43"/>
        <v>0.45</v>
      </c>
      <c r="R177" s="715">
        <f t="shared" ca="1" si="44"/>
        <v>19887</v>
      </c>
      <c r="S177" s="361">
        <f t="shared" ca="1" si="34"/>
        <v>33</v>
      </c>
      <c r="T177" s="799">
        <f>剩余房源售价清单!I158</f>
        <v>19614</v>
      </c>
      <c r="U177" s="799">
        <f t="shared" ca="1" si="35"/>
        <v>1.0139186295503213</v>
      </c>
    </row>
    <row r="178" spans="1:21">
      <c r="A178" s="2985" t="str">
        <f>清单!D157</f>
        <v>2-91</v>
      </c>
      <c r="B178" s="717">
        <f>清单!G157</f>
        <v>66.56</v>
      </c>
      <c r="C178" s="24">
        <f t="shared" si="36"/>
        <v>1.04</v>
      </c>
      <c r="D178" s="719" t="s">
        <v>3933</v>
      </c>
      <c r="E178" s="24">
        <f t="shared" si="37"/>
        <v>0.91</v>
      </c>
      <c r="F178" s="719" t="s">
        <v>3843</v>
      </c>
      <c r="G178" s="24">
        <f t="shared" si="38"/>
        <v>0.97</v>
      </c>
      <c r="H178" s="719" t="s">
        <v>3316</v>
      </c>
      <c r="I178" s="24">
        <f t="shared" si="39"/>
        <v>1</v>
      </c>
      <c r="J178" s="719"/>
      <c r="K178" s="24">
        <f t="shared" si="40"/>
        <v>1</v>
      </c>
      <c r="L178" s="719"/>
      <c r="M178" s="24">
        <f t="shared" si="41"/>
        <v>1</v>
      </c>
      <c r="N178" s="719"/>
      <c r="O178" s="24">
        <f t="shared" si="42"/>
        <v>1</v>
      </c>
      <c r="P178" s="719" t="s">
        <v>3926</v>
      </c>
      <c r="Q178" s="24">
        <f t="shared" si="43"/>
        <v>0.45</v>
      </c>
      <c r="R178" s="715">
        <f t="shared" ca="1" si="44"/>
        <v>17563</v>
      </c>
      <c r="S178" s="361">
        <f t="shared" ca="1" si="34"/>
        <v>117</v>
      </c>
      <c r="T178" s="799">
        <f>剩余房源售价清单!I159</f>
        <v>17149</v>
      </c>
      <c r="U178" s="799">
        <f t="shared" ca="1" si="35"/>
        <v>1.0241413493498164</v>
      </c>
    </row>
    <row r="179" spans="1:21">
      <c r="A179" s="2985" t="str">
        <f>清单!D158</f>
        <v>2-92</v>
      </c>
      <c r="B179" s="717">
        <f>清单!G158</f>
        <v>122.93</v>
      </c>
      <c r="C179" s="24">
        <f t="shared" si="36"/>
        <v>1</v>
      </c>
      <c r="D179" s="719" t="s">
        <v>3935</v>
      </c>
      <c r="E179" s="24">
        <f t="shared" si="37"/>
        <v>0.88</v>
      </c>
      <c r="F179" s="719" t="s">
        <v>3844</v>
      </c>
      <c r="G179" s="24">
        <f t="shared" si="38"/>
        <v>1</v>
      </c>
      <c r="H179" s="719" t="s">
        <v>3911</v>
      </c>
      <c r="I179" s="24">
        <f t="shared" si="39"/>
        <v>0.96</v>
      </c>
      <c r="J179" s="719"/>
      <c r="K179" s="24">
        <f t="shared" si="40"/>
        <v>1</v>
      </c>
      <c r="L179" s="719"/>
      <c r="M179" s="24">
        <f t="shared" si="41"/>
        <v>1</v>
      </c>
      <c r="N179" s="719"/>
      <c r="O179" s="24">
        <f t="shared" si="42"/>
        <v>1</v>
      </c>
      <c r="P179" s="719" t="s">
        <v>3926</v>
      </c>
      <c r="Q179" s="24">
        <f t="shared" si="43"/>
        <v>0.45</v>
      </c>
      <c r="R179" s="715">
        <f t="shared" ca="1" si="44"/>
        <v>16163</v>
      </c>
      <c r="S179" s="361">
        <f t="shared" ca="1" si="34"/>
        <v>199</v>
      </c>
      <c r="T179" s="799">
        <f>剩余房源售价清单!I160</f>
        <v>13142</v>
      </c>
      <c r="U179" s="799">
        <f t="shared" ca="1" si="35"/>
        <v>1.2298736874143965</v>
      </c>
    </row>
    <row r="180" spans="1:21">
      <c r="A180" s="2985" t="str">
        <f>清单!D159</f>
        <v>2-93</v>
      </c>
      <c r="B180" s="717">
        <f>清单!G159</f>
        <v>63.17</v>
      </c>
      <c r="C180" s="24">
        <f t="shared" si="36"/>
        <v>1.04</v>
      </c>
      <c r="D180" s="719" t="s">
        <v>3935</v>
      </c>
      <c r="E180" s="24">
        <f t="shared" si="37"/>
        <v>0.88</v>
      </c>
      <c r="F180" s="719" t="s">
        <v>3843</v>
      </c>
      <c r="G180" s="24">
        <f t="shared" si="38"/>
        <v>0.97</v>
      </c>
      <c r="H180" s="719" t="s">
        <v>3911</v>
      </c>
      <c r="I180" s="24">
        <f t="shared" si="39"/>
        <v>0.96</v>
      </c>
      <c r="J180" s="719"/>
      <c r="K180" s="24">
        <f t="shared" si="40"/>
        <v>1</v>
      </c>
      <c r="L180" s="719"/>
      <c r="M180" s="24">
        <f t="shared" si="41"/>
        <v>1</v>
      </c>
      <c r="N180" s="719"/>
      <c r="O180" s="24">
        <f t="shared" si="42"/>
        <v>1</v>
      </c>
      <c r="P180" s="719" t="s">
        <v>3926</v>
      </c>
      <c r="Q180" s="24">
        <f t="shared" si="43"/>
        <v>0.45</v>
      </c>
      <c r="R180" s="715">
        <f t="shared" ca="1" si="44"/>
        <v>16305</v>
      </c>
      <c r="S180" s="361">
        <f t="shared" ca="1" si="34"/>
        <v>103</v>
      </c>
      <c r="T180" s="799">
        <f>剩余房源售价清单!I161</f>
        <v>14374</v>
      </c>
      <c r="U180" s="799">
        <f t="shared" ca="1" si="35"/>
        <v>1.1343397801586197</v>
      </c>
    </row>
    <row r="181" spans="1:21">
      <c r="A181" s="2985" t="str">
        <f>清单!D160</f>
        <v>2-94</v>
      </c>
      <c r="B181" s="717">
        <f>清单!G160</f>
        <v>63.17</v>
      </c>
      <c r="C181" s="24">
        <f t="shared" si="36"/>
        <v>1.04</v>
      </c>
      <c r="D181" s="719" t="s">
        <v>3935</v>
      </c>
      <c r="E181" s="24">
        <f t="shared" si="37"/>
        <v>0.88</v>
      </c>
      <c r="F181" s="719" t="s">
        <v>3843</v>
      </c>
      <c r="G181" s="24">
        <f t="shared" si="38"/>
        <v>0.97</v>
      </c>
      <c r="H181" s="719" t="s">
        <v>3911</v>
      </c>
      <c r="I181" s="24">
        <f t="shared" si="39"/>
        <v>0.96</v>
      </c>
      <c r="J181" s="719"/>
      <c r="K181" s="24">
        <f t="shared" si="40"/>
        <v>1</v>
      </c>
      <c r="L181" s="719"/>
      <c r="M181" s="24">
        <f t="shared" si="41"/>
        <v>1</v>
      </c>
      <c r="N181" s="719"/>
      <c r="O181" s="24">
        <f t="shared" si="42"/>
        <v>1</v>
      </c>
      <c r="P181" s="719" t="s">
        <v>3926</v>
      </c>
      <c r="Q181" s="24">
        <f t="shared" si="43"/>
        <v>0.45</v>
      </c>
      <c r="R181" s="715">
        <f t="shared" ca="1" si="44"/>
        <v>16305</v>
      </c>
      <c r="S181" s="361">
        <f t="shared" ca="1" si="34"/>
        <v>103</v>
      </c>
      <c r="T181" s="799">
        <f>剩余房源售价清单!I162</f>
        <v>14550</v>
      </c>
      <c r="U181" s="799">
        <f t="shared" ca="1" si="35"/>
        <v>1.1206185567010309</v>
      </c>
    </row>
    <row r="182" spans="1:21">
      <c r="A182" s="2985" t="str">
        <f>清单!D161</f>
        <v>2-95</v>
      </c>
      <c r="B182" s="717">
        <f>清单!G161</f>
        <v>63.17</v>
      </c>
      <c r="C182" s="24">
        <f t="shared" si="36"/>
        <v>1.04</v>
      </c>
      <c r="D182" s="719" t="s">
        <v>3935</v>
      </c>
      <c r="E182" s="24">
        <f t="shared" si="37"/>
        <v>0.88</v>
      </c>
      <c r="F182" s="719" t="s">
        <v>3843</v>
      </c>
      <c r="G182" s="24">
        <f t="shared" si="38"/>
        <v>0.97</v>
      </c>
      <c r="H182" s="719" t="s">
        <v>3911</v>
      </c>
      <c r="I182" s="24">
        <f t="shared" si="39"/>
        <v>0.96</v>
      </c>
      <c r="J182" s="719"/>
      <c r="K182" s="24">
        <f t="shared" si="40"/>
        <v>1</v>
      </c>
      <c r="L182" s="719"/>
      <c r="M182" s="24">
        <f t="shared" si="41"/>
        <v>1</v>
      </c>
      <c r="N182" s="719"/>
      <c r="O182" s="24">
        <f t="shared" si="42"/>
        <v>1</v>
      </c>
      <c r="P182" s="719" t="s">
        <v>3926</v>
      </c>
      <c r="Q182" s="24">
        <f t="shared" si="43"/>
        <v>0.45</v>
      </c>
      <c r="R182" s="715">
        <f t="shared" ca="1" si="44"/>
        <v>16305</v>
      </c>
      <c r="S182" s="361">
        <f t="shared" ca="1" si="34"/>
        <v>103</v>
      </c>
      <c r="T182" s="799">
        <f>剩余房源售价清单!I163</f>
        <v>14726</v>
      </c>
      <c r="U182" s="799">
        <f t="shared" ca="1" si="35"/>
        <v>1.1072253157680294</v>
      </c>
    </row>
    <row r="183" spans="1:21">
      <c r="A183" s="2985" t="str">
        <f>清单!D162</f>
        <v>2-96</v>
      </c>
      <c r="B183" s="717">
        <f>清单!G162</f>
        <v>63.17</v>
      </c>
      <c r="C183" s="24">
        <f t="shared" si="36"/>
        <v>1.04</v>
      </c>
      <c r="D183" s="719" t="s">
        <v>3935</v>
      </c>
      <c r="E183" s="24">
        <f t="shared" si="37"/>
        <v>0.88</v>
      </c>
      <c r="F183" s="719" t="s">
        <v>3843</v>
      </c>
      <c r="G183" s="24">
        <f t="shared" si="38"/>
        <v>0.97</v>
      </c>
      <c r="H183" s="719" t="s">
        <v>3911</v>
      </c>
      <c r="I183" s="24">
        <f t="shared" si="39"/>
        <v>0.96</v>
      </c>
      <c r="J183" s="719"/>
      <c r="K183" s="24">
        <f t="shared" si="40"/>
        <v>1</v>
      </c>
      <c r="L183" s="719"/>
      <c r="M183" s="24">
        <f t="shared" si="41"/>
        <v>1</v>
      </c>
      <c r="N183" s="719"/>
      <c r="O183" s="24">
        <f t="shared" si="42"/>
        <v>1</v>
      </c>
      <c r="P183" s="719" t="s">
        <v>3926</v>
      </c>
      <c r="Q183" s="24">
        <f t="shared" si="43"/>
        <v>0.45</v>
      </c>
      <c r="R183" s="715">
        <f t="shared" ca="1" si="44"/>
        <v>16305</v>
      </c>
      <c r="S183" s="361">
        <f t="shared" ca="1" si="34"/>
        <v>103</v>
      </c>
      <c r="T183" s="799">
        <f>剩余房源售价清单!I164</f>
        <v>14844</v>
      </c>
      <c r="U183" s="799">
        <f t="shared" ca="1" si="35"/>
        <v>1.0984236054971706</v>
      </c>
    </row>
    <row r="184" spans="1:21">
      <c r="A184" s="2985" t="str">
        <f>清单!D163</f>
        <v>2-97</v>
      </c>
      <c r="B184" s="717">
        <f>清单!G163</f>
        <v>63.17</v>
      </c>
      <c r="C184" s="24">
        <f t="shared" si="36"/>
        <v>1.04</v>
      </c>
      <c r="D184" s="719" t="s">
        <v>3935</v>
      </c>
      <c r="E184" s="24">
        <f t="shared" si="37"/>
        <v>0.88</v>
      </c>
      <c r="F184" s="719" t="s">
        <v>3843</v>
      </c>
      <c r="G184" s="24">
        <f t="shared" si="38"/>
        <v>0.97</v>
      </c>
      <c r="H184" s="719" t="s">
        <v>3911</v>
      </c>
      <c r="I184" s="24">
        <f t="shared" si="39"/>
        <v>0.96</v>
      </c>
      <c r="J184" s="719"/>
      <c r="K184" s="24">
        <f t="shared" si="40"/>
        <v>1</v>
      </c>
      <c r="L184" s="719"/>
      <c r="M184" s="24">
        <f t="shared" si="41"/>
        <v>1</v>
      </c>
      <c r="N184" s="719"/>
      <c r="O184" s="24">
        <f t="shared" si="42"/>
        <v>1</v>
      </c>
      <c r="P184" s="719" t="s">
        <v>3926</v>
      </c>
      <c r="Q184" s="24">
        <f t="shared" si="43"/>
        <v>0.45</v>
      </c>
      <c r="R184" s="715">
        <f t="shared" ca="1" si="44"/>
        <v>16305</v>
      </c>
      <c r="S184" s="361">
        <f t="shared" ca="1" si="34"/>
        <v>103</v>
      </c>
      <c r="T184" s="799">
        <f>剩余房源售价清单!I165</f>
        <v>14903</v>
      </c>
      <c r="U184" s="799">
        <f t="shared" ca="1" si="35"/>
        <v>1.0940750184526606</v>
      </c>
    </row>
    <row r="185" spans="1:21">
      <c r="A185" s="2985" t="str">
        <f>清单!D164</f>
        <v>2-98</v>
      </c>
      <c r="B185" s="717">
        <f>清单!G164</f>
        <v>63.17</v>
      </c>
      <c r="C185" s="24">
        <f t="shared" si="36"/>
        <v>1.04</v>
      </c>
      <c r="D185" s="719" t="s">
        <v>3935</v>
      </c>
      <c r="E185" s="24">
        <f t="shared" si="37"/>
        <v>0.88</v>
      </c>
      <c r="F185" s="719" t="s">
        <v>3843</v>
      </c>
      <c r="G185" s="24">
        <f t="shared" si="38"/>
        <v>0.97</v>
      </c>
      <c r="H185" s="719" t="s">
        <v>3911</v>
      </c>
      <c r="I185" s="24">
        <f t="shared" si="39"/>
        <v>0.96</v>
      </c>
      <c r="J185" s="719"/>
      <c r="K185" s="24">
        <f t="shared" si="40"/>
        <v>1</v>
      </c>
      <c r="L185" s="719"/>
      <c r="M185" s="24">
        <f t="shared" si="41"/>
        <v>1</v>
      </c>
      <c r="N185" s="719"/>
      <c r="O185" s="24">
        <f t="shared" si="42"/>
        <v>1</v>
      </c>
      <c r="P185" s="719" t="s">
        <v>3926</v>
      </c>
      <c r="Q185" s="24">
        <f t="shared" si="43"/>
        <v>0.45</v>
      </c>
      <c r="R185" s="715">
        <f t="shared" ca="1" si="44"/>
        <v>16305</v>
      </c>
      <c r="S185" s="361">
        <f t="shared" ca="1" si="34"/>
        <v>103</v>
      </c>
      <c r="T185" s="799">
        <f>剩余房源售价清单!I166</f>
        <v>14961</v>
      </c>
      <c r="U185" s="799">
        <f t="shared" ca="1" si="35"/>
        <v>1.0898335672749149</v>
      </c>
    </row>
    <row r="186" spans="1:21">
      <c r="A186" s="2985" t="str">
        <f>清单!D165</f>
        <v>2-99</v>
      </c>
      <c r="B186" s="717">
        <f>清单!G165</f>
        <v>63.17</v>
      </c>
      <c r="C186" s="24">
        <f t="shared" si="36"/>
        <v>1.04</v>
      </c>
      <c r="D186" s="719" t="s">
        <v>3935</v>
      </c>
      <c r="E186" s="24">
        <f t="shared" si="37"/>
        <v>0.88</v>
      </c>
      <c r="F186" s="719" t="s">
        <v>3843</v>
      </c>
      <c r="G186" s="24">
        <f t="shared" si="38"/>
        <v>0.97</v>
      </c>
      <c r="H186" s="719" t="s">
        <v>3911</v>
      </c>
      <c r="I186" s="24">
        <f t="shared" si="39"/>
        <v>0.96</v>
      </c>
      <c r="J186" s="719"/>
      <c r="K186" s="24">
        <f t="shared" si="40"/>
        <v>1</v>
      </c>
      <c r="L186" s="719"/>
      <c r="M186" s="24">
        <f t="shared" si="41"/>
        <v>1</v>
      </c>
      <c r="N186" s="719"/>
      <c r="O186" s="24">
        <f t="shared" si="42"/>
        <v>1</v>
      </c>
      <c r="P186" s="719" t="s">
        <v>3926</v>
      </c>
      <c r="Q186" s="24">
        <f t="shared" si="43"/>
        <v>0.45</v>
      </c>
      <c r="R186" s="715">
        <f t="shared" ca="1" si="44"/>
        <v>16305</v>
      </c>
      <c r="S186" s="361">
        <f t="shared" ca="1" si="34"/>
        <v>103</v>
      </c>
      <c r="T186" s="799">
        <f>剩余房源售价清单!I167</f>
        <v>15020</v>
      </c>
      <c r="U186" s="799">
        <f t="shared" ca="1" si="35"/>
        <v>1.0855525965379493</v>
      </c>
    </row>
    <row r="187" spans="1:21">
      <c r="A187" s="2985" t="str">
        <f>清单!D166</f>
        <v>2-100</v>
      </c>
      <c r="B187" s="717">
        <f>清单!G166</f>
        <v>59.6</v>
      </c>
      <c r="C187" s="24">
        <f t="shared" si="36"/>
        <v>1.06</v>
      </c>
      <c r="D187" s="719" t="s">
        <v>3935</v>
      </c>
      <c r="E187" s="24">
        <f t="shared" si="37"/>
        <v>0.88</v>
      </c>
      <c r="F187" s="719" t="s">
        <v>3843</v>
      </c>
      <c r="G187" s="24">
        <f t="shared" si="38"/>
        <v>0.97</v>
      </c>
      <c r="H187" s="719" t="s">
        <v>3911</v>
      </c>
      <c r="I187" s="24">
        <f t="shared" si="39"/>
        <v>0.96</v>
      </c>
      <c r="J187" s="719"/>
      <c r="K187" s="24">
        <f t="shared" si="40"/>
        <v>1</v>
      </c>
      <c r="L187" s="719"/>
      <c r="M187" s="24">
        <f t="shared" si="41"/>
        <v>1</v>
      </c>
      <c r="N187" s="719"/>
      <c r="O187" s="24">
        <f t="shared" si="42"/>
        <v>1</v>
      </c>
      <c r="P187" s="719" t="s">
        <v>3926</v>
      </c>
      <c r="Q187" s="24">
        <f t="shared" si="43"/>
        <v>0.45</v>
      </c>
      <c r="R187" s="715">
        <f t="shared" ca="1" si="44"/>
        <v>16618</v>
      </c>
      <c r="S187" s="361">
        <f t="shared" ref="S187:S222" ca="1" si="45">ROUND(R187*B187/10000,0)</f>
        <v>99</v>
      </c>
      <c r="T187" s="799">
        <f>剩余房源售价清单!I168</f>
        <v>15093</v>
      </c>
      <c r="U187" s="799">
        <f t="shared" ca="1" si="35"/>
        <v>1.101040217319287</v>
      </c>
    </row>
    <row r="188" spans="1:21">
      <c r="A188" s="2985" t="str">
        <f>清单!D167</f>
        <v>2-102</v>
      </c>
      <c r="B188" s="717">
        <f>清单!G167</f>
        <v>54.57</v>
      </c>
      <c r="C188" s="24">
        <f t="shared" si="36"/>
        <v>1.06</v>
      </c>
      <c r="D188" s="719" t="s">
        <v>3935</v>
      </c>
      <c r="E188" s="24">
        <f t="shared" si="37"/>
        <v>0.88</v>
      </c>
      <c r="F188" s="719" t="s">
        <v>3843</v>
      </c>
      <c r="G188" s="24">
        <f t="shared" si="38"/>
        <v>0.97</v>
      </c>
      <c r="H188" s="719" t="s">
        <v>3911</v>
      </c>
      <c r="I188" s="24">
        <f t="shared" si="39"/>
        <v>0.96</v>
      </c>
      <c r="J188" s="719"/>
      <c r="K188" s="24">
        <f t="shared" si="40"/>
        <v>1</v>
      </c>
      <c r="L188" s="719"/>
      <c r="M188" s="24">
        <f t="shared" si="41"/>
        <v>1</v>
      </c>
      <c r="N188" s="719"/>
      <c r="O188" s="24">
        <f t="shared" si="42"/>
        <v>1</v>
      </c>
      <c r="P188" s="719" t="s">
        <v>3926</v>
      </c>
      <c r="Q188" s="24">
        <f t="shared" si="43"/>
        <v>0.45</v>
      </c>
      <c r="R188" s="715">
        <f t="shared" ca="1" si="44"/>
        <v>16618</v>
      </c>
      <c r="S188" s="361">
        <f t="shared" ca="1" si="45"/>
        <v>91</v>
      </c>
      <c r="T188" s="799">
        <f>剩余房源售价清单!I169</f>
        <v>15668</v>
      </c>
      <c r="U188" s="799">
        <f t="shared" ca="1" si="35"/>
        <v>1.0606331376053102</v>
      </c>
    </row>
    <row r="189" spans="1:21">
      <c r="A189" s="2985" t="str">
        <f>清单!D168</f>
        <v>2-104</v>
      </c>
      <c r="B189" s="717">
        <f>清单!G168</f>
        <v>58.6</v>
      </c>
      <c r="C189" s="24">
        <f t="shared" si="36"/>
        <v>1.06</v>
      </c>
      <c r="D189" s="719" t="s">
        <v>3935</v>
      </c>
      <c r="E189" s="24">
        <f t="shared" si="37"/>
        <v>0.88</v>
      </c>
      <c r="F189" s="719" t="s">
        <v>3843</v>
      </c>
      <c r="G189" s="24">
        <f t="shared" si="38"/>
        <v>0.97</v>
      </c>
      <c r="H189" s="719" t="s">
        <v>3911</v>
      </c>
      <c r="I189" s="24">
        <f t="shared" si="39"/>
        <v>0.96</v>
      </c>
      <c r="J189" s="719"/>
      <c r="K189" s="24">
        <f t="shared" si="40"/>
        <v>1</v>
      </c>
      <c r="L189" s="719"/>
      <c r="M189" s="24">
        <f t="shared" si="41"/>
        <v>1</v>
      </c>
      <c r="N189" s="719"/>
      <c r="O189" s="24">
        <f t="shared" si="42"/>
        <v>1</v>
      </c>
      <c r="P189" s="719" t="s">
        <v>3926</v>
      </c>
      <c r="Q189" s="24">
        <f t="shared" si="43"/>
        <v>0.45</v>
      </c>
      <c r="R189" s="715">
        <f t="shared" ca="1" si="44"/>
        <v>16618</v>
      </c>
      <c r="S189" s="361">
        <f t="shared" ca="1" si="45"/>
        <v>97</v>
      </c>
      <c r="T189" s="799">
        <f>剩余房源售价清单!I170</f>
        <v>15955</v>
      </c>
      <c r="U189" s="799">
        <f t="shared" ca="1" si="35"/>
        <v>1.0415543716703228</v>
      </c>
    </row>
    <row r="190" spans="1:21">
      <c r="A190" s="2985" t="str">
        <f>清单!D169</f>
        <v>2-105</v>
      </c>
      <c r="B190" s="717">
        <f>清单!G169</f>
        <v>50.67</v>
      </c>
      <c r="C190" s="24">
        <f t="shared" si="36"/>
        <v>1.06</v>
      </c>
      <c r="D190" s="719" t="s">
        <v>3935</v>
      </c>
      <c r="E190" s="24">
        <f t="shared" si="37"/>
        <v>0.88</v>
      </c>
      <c r="F190" s="719" t="s">
        <v>3843</v>
      </c>
      <c r="G190" s="24">
        <f t="shared" si="38"/>
        <v>0.97</v>
      </c>
      <c r="H190" s="719" t="s">
        <v>3911</v>
      </c>
      <c r="I190" s="24">
        <f t="shared" si="39"/>
        <v>0.96</v>
      </c>
      <c r="J190" s="719"/>
      <c r="K190" s="24">
        <f t="shared" si="40"/>
        <v>1</v>
      </c>
      <c r="L190" s="719"/>
      <c r="M190" s="24">
        <f t="shared" si="41"/>
        <v>1</v>
      </c>
      <c r="N190" s="719"/>
      <c r="O190" s="24">
        <f t="shared" si="42"/>
        <v>1</v>
      </c>
      <c r="P190" s="719" t="s">
        <v>3926</v>
      </c>
      <c r="Q190" s="24">
        <f t="shared" si="43"/>
        <v>0.45</v>
      </c>
      <c r="R190" s="715">
        <f t="shared" ca="1" si="44"/>
        <v>16618</v>
      </c>
      <c r="S190" s="361">
        <f t="shared" ca="1" si="45"/>
        <v>84</v>
      </c>
      <c r="T190" s="799">
        <f>剩余房源售价清单!I171</f>
        <v>18076</v>
      </c>
      <c r="U190" s="799">
        <f t="shared" ca="1" si="35"/>
        <v>0.9193405620712547</v>
      </c>
    </row>
    <row r="191" spans="1:21">
      <c r="A191" s="2985" t="str">
        <f>清单!D170</f>
        <v>2-106</v>
      </c>
      <c r="B191" s="717">
        <f>清单!G170</f>
        <v>53.91</v>
      </c>
      <c r="C191" s="24">
        <f t="shared" si="36"/>
        <v>1.06</v>
      </c>
      <c r="D191" s="719" t="s">
        <v>3935</v>
      </c>
      <c r="E191" s="24">
        <f t="shared" si="37"/>
        <v>0.88</v>
      </c>
      <c r="F191" s="719" t="s">
        <v>3843</v>
      </c>
      <c r="G191" s="24">
        <f t="shared" si="38"/>
        <v>0.97</v>
      </c>
      <c r="H191" s="719" t="s">
        <v>3911</v>
      </c>
      <c r="I191" s="24">
        <f t="shared" si="39"/>
        <v>0.96</v>
      </c>
      <c r="J191" s="719"/>
      <c r="K191" s="24">
        <f t="shared" si="40"/>
        <v>1</v>
      </c>
      <c r="L191" s="719"/>
      <c r="M191" s="24">
        <f t="shared" si="41"/>
        <v>1</v>
      </c>
      <c r="N191" s="719"/>
      <c r="O191" s="24">
        <f t="shared" si="42"/>
        <v>1</v>
      </c>
      <c r="P191" s="719" t="s">
        <v>3926</v>
      </c>
      <c r="Q191" s="24">
        <f t="shared" si="43"/>
        <v>0.45</v>
      </c>
      <c r="R191" s="715">
        <f t="shared" ca="1" si="44"/>
        <v>16618</v>
      </c>
      <c r="S191" s="361">
        <f t="shared" ca="1" si="45"/>
        <v>90</v>
      </c>
      <c r="T191" s="799">
        <f>剩余房源售价清单!I172</f>
        <v>16283</v>
      </c>
      <c r="U191" s="799">
        <f t="shared" ca="1" si="35"/>
        <v>1.0205736043726585</v>
      </c>
    </row>
    <row r="192" spans="1:21">
      <c r="A192" s="2985" t="str">
        <f>清单!D171</f>
        <v>2-107</v>
      </c>
      <c r="B192" s="717">
        <f>清单!G171</f>
        <v>54.45</v>
      </c>
      <c r="C192" s="24">
        <f t="shared" si="36"/>
        <v>1.06</v>
      </c>
      <c r="D192" s="719" t="s">
        <v>3935</v>
      </c>
      <c r="E192" s="24">
        <f t="shared" si="37"/>
        <v>0.88</v>
      </c>
      <c r="F192" s="719" t="s">
        <v>3843</v>
      </c>
      <c r="G192" s="24">
        <f t="shared" si="38"/>
        <v>0.97</v>
      </c>
      <c r="H192" s="719" t="s">
        <v>3911</v>
      </c>
      <c r="I192" s="24">
        <f t="shared" si="39"/>
        <v>0.96</v>
      </c>
      <c r="J192" s="719"/>
      <c r="K192" s="24">
        <f t="shared" si="40"/>
        <v>1</v>
      </c>
      <c r="L192" s="719"/>
      <c r="M192" s="24">
        <f t="shared" si="41"/>
        <v>1</v>
      </c>
      <c r="N192" s="719"/>
      <c r="O192" s="24">
        <f t="shared" si="42"/>
        <v>1</v>
      </c>
      <c r="P192" s="719" t="s">
        <v>3926</v>
      </c>
      <c r="Q192" s="24">
        <f t="shared" si="43"/>
        <v>0.45</v>
      </c>
      <c r="R192" s="715">
        <f t="shared" ca="1" si="44"/>
        <v>16618</v>
      </c>
      <c r="S192" s="361">
        <f t="shared" ca="1" si="45"/>
        <v>90</v>
      </c>
      <c r="T192" s="799">
        <f>剩余房源售价清单!I173</f>
        <v>16158</v>
      </c>
      <c r="U192" s="799">
        <f t="shared" ca="1" si="35"/>
        <v>1.0284688699096423</v>
      </c>
    </row>
    <row r="193" spans="1:21">
      <c r="A193" s="2985" t="str">
        <f>清单!D172</f>
        <v>3-1</v>
      </c>
      <c r="B193" s="717">
        <f>清单!G172</f>
        <v>119.54</v>
      </c>
      <c r="C193" s="24">
        <f t="shared" si="36"/>
        <v>1.02</v>
      </c>
      <c r="D193" s="3020" t="s">
        <v>3931</v>
      </c>
      <c r="E193" s="24">
        <f t="shared" si="37"/>
        <v>0.97</v>
      </c>
      <c r="F193" s="719" t="s">
        <v>3844</v>
      </c>
      <c r="G193" s="24">
        <f t="shared" si="38"/>
        <v>1</v>
      </c>
      <c r="H193" s="719" t="s">
        <v>3316</v>
      </c>
      <c r="I193" s="24">
        <f t="shared" si="39"/>
        <v>1</v>
      </c>
      <c r="J193" s="719"/>
      <c r="K193" s="24">
        <f t="shared" si="40"/>
        <v>1</v>
      </c>
      <c r="L193" s="719"/>
      <c r="M193" s="24">
        <f t="shared" si="41"/>
        <v>1</v>
      </c>
      <c r="N193" s="719"/>
      <c r="O193" s="24">
        <f t="shared" si="42"/>
        <v>1</v>
      </c>
      <c r="P193" s="719" t="s">
        <v>3927</v>
      </c>
      <c r="Q193" s="24">
        <f t="shared" si="43"/>
        <v>0.35</v>
      </c>
      <c r="R193" s="715">
        <f t="shared" ca="1" si="44"/>
        <v>14723</v>
      </c>
      <c r="S193" s="361">
        <f t="shared" ca="1" si="45"/>
        <v>176</v>
      </c>
      <c r="T193" s="799">
        <f>剩余房源售价清单!I174</f>
        <v>17487</v>
      </c>
      <c r="U193" s="799">
        <f t="shared" ca="1" si="35"/>
        <v>0.8419397266540859</v>
      </c>
    </row>
    <row r="194" spans="1:21">
      <c r="A194" s="2985" t="str">
        <f>清单!D173</f>
        <v>3-2</v>
      </c>
      <c r="B194" s="717">
        <f>清单!G173</f>
        <v>103.92</v>
      </c>
      <c r="C194" s="24">
        <f t="shared" si="36"/>
        <v>1.02</v>
      </c>
      <c r="D194" s="3020" t="s">
        <v>3932</v>
      </c>
      <c r="E194" s="24">
        <f t="shared" si="37"/>
        <v>0.94</v>
      </c>
      <c r="F194" s="719" t="s">
        <v>3843</v>
      </c>
      <c r="G194" s="24">
        <f t="shared" si="38"/>
        <v>0.97</v>
      </c>
      <c r="H194" s="719" t="s">
        <v>3316</v>
      </c>
      <c r="I194" s="24">
        <f t="shared" si="39"/>
        <v>1</v>
      </c>
      <c r="J194" s="719"/>
      <c r="K194" s="24">
        <f t="shared" si="40"/>
        <v>1</v>
      </c>
      <c r="L194" s="719"/>
      <c r="M194" s="24">
        <f t="shared" si="41"/>
        <v>1</v>
      </c>
      <c r="N194" s="719"/>
      <c r="O194" s="24">
        <f t="shared" si="42"/>
        <v>1</v>
      </c>
      <c r="P194" s="719" t="s">
        <v>3927</v>
      </c>
      <c r="Q194" s="24">
        <f t="shared" si="43"/>
        <v>0.35</v>
      </c>
      <c r="R194" s="715">
        <f t="shared" ca="1" si="44"/>
        <v>13839</v>
      </c>
      <c r="S194" s="361">
        <f t="shared" ca="1" si="45"/>
        <v>144</v>
      </c>
      <c r="T194" s="799">
        <f>剩余房源售价清单!I175</f>
        <v>16290</v>
      </c>
      <c r="U194" s="799">
        <f t="shared" ca="1" si="35"/>
        <v>0.8495395948434622</v>
      </c>
    </row>
    <row r="195" spans="1:21">
      <c r="A195" s="2985" t="str">
        <f>清单!D174</f>
        <v>3-3</v>
      </c>
      <c r="B195" s="717">
        <f>清单!G174</f>
        <v>96.76</v>
      </c>
      <c r="C195" s="24">
        <f t="shared" si="36"/>
        <v>1.02</v>
      </c>
      <c r="D195" s="3020" t="s">
        <v>3932</v>
      </c>
      <c r="E195" s="24">
        <f t="shared" si="37"/>
        <v>0.94</v>
      </c>
      <c r="F195" s="719" t="s">
        <v>3843</v>
      </c>
      <c r="G195" s="24">
        <f t="shared" si="38"/>
        <v>0.97</v>
      </c>
      <c r="H195" s="719" t="s">
        <v>3316</v>
      </c>
      <c r="I195" s="24">
        <f t="shared" si="39"/>
        <v>1</v>
      </c>
      <c r="J195" s="719"/>
      <c r="K195" s="24">
        <f t="shared" si="40"/>
        <v>1</v>
      </c>
      <c r="L195" s="719"/>
      <c r="M195" s="24">
        <f t="shared" si="41"/>
        <v>1</v>
      </c>
      <c r="N195" s="719"/>
      <c r="O195" s="24">
        <f t="shared" si="42"/>
        <v>1</v>
      </c>
      <c r="P195" s="719" t="s">
        <v>3927</v>
      </c>
      <c r="Q195" s="24">
        <f t="shared" si="43"/>
        <v>0.35</v>
      </c>
      <c r="R195" s="715">
        <f t="shared" ca="1" si="44"/>
        <v>13839</v>
      </c>
      <c r="S195" s="361">
        <f t="shared" ca="1" si="45"/>
        <v>134</v>
      </c>
      <c r="T195" s="799">
        <f>剩余房源售价清单!I176</f>
        <v>16098</v>
      </c>
      <c r="U195" s="799">
        <f t="shared" ca="1" si="35"/>
        <v>0.85967200894521056</v>
      </c>
    </row>
    <row r="196" spans="1:21">
      <c r="A196" s="2985" t="str">
        <f>清单!D175</f>
        <v>3-4</v>
      </c>
      <c r="B196" s="717">
        <f>清单!G175</f>
        <v>129.21</v>
      </c>
      <c r="C196" s="24">
        <f t="shared" si="36"/>
        <v>1</v>
      </c>
      <c r="D196" s="3020" t="s">
        <v>3932</v>
      </c>
      <c r="E196" s="24">
        <f t="shared" si="37"/>
        <v>0.94</v>
      </c>
      <c r="F196" s="719" t="s">
        <v>3843</v>
      </c>
      <c r="G196" s="24">
        <f t="shared" si="38"/>
        <v>0.97</v>
      </c>
      <c r="H196" s="719" t="s">
        <v>3316</v>
      </c>
      <c r="I196" s="24">
        <f t="shared" si="39"/>
        <v>1</v>
      </c>
      <c r="J196" s="719"/>
      <c r="K196" s="24">
        <f t="shared" si="40"/>
        <v>1</v>
      </c>
      <c r="L196" s="719"/>
      <c r="M196" s="24">
        <f t="shared" si="41"/>
        <v>1</v>
      </c>
      <c r="N196" s="719"/>
      <c r="O196" s="24">
        <f t="shared" si="42"/>
        <v>1</v>
      </c>
      <c r="P196" s="719" t="s">
        <v>3927</v>
      </c>
      <c r="Q196" s="24">
        <f t="shared" si="43"/>
        <v>0.35</v>
      </c>
      <c r="R196" s="715">
        <f t="shared" ca="1" si="44"/>
        <v>13568</v>
      </c>
      <c r="S196" s="361">
        <f t="shared" ca="1" si="45"/>
        <v>175</v>
      </c>
      <c r="T196" s="799">
        <f>剩余房源售价清单!I177</f>
        <v>16600</v>
      </c>
      <c r="U196" s="799">
        <f t="shared" ca="1" si="35"/>
        <v>0.8173493975903614</v>
      </c>
    </row>
    <row r="197" spans="1:21">
      <c r="A197" s="2985" t="str">
        <f>清单!D176</f>
        <v>3-5</v>
      </c>
      <c r="B197" s="717">
        <f>清单!G176</f>
        <v>61.12</v>
      </c>
      <c r="C197" s="24">
        <f t="shared" si="36"/>
        <v>1.04</v>
      </c>
      <c r="D197" s="3020" t="s">
        <v>3932</v>
      </c>
      <c r="E197" s="24">
        <f t="shared" si="37"/>
        <v>0.94</v>
      </c>
      <c r="F197" s="719" t="s">
        <v>3844</v>
      </c>
      <c r="G197" s="24">
        <f t="shared" si="38"/>
        <v>1</v>
      </c>
      <c r="H197" s="719" t="s">
        <v>3316</v>
      </c>
      <c r="I197" s="24">
        <f t="shared" si="39"/>
        <v>1</v>
      </c>
      <c r="J197" s="719"/>
      <c r="K197" s="24">
        <f t="shared" si="40"/>
        <v>1</v>
      </c>
      <c r="L197" s="719"/>
      <c r="M197" s="24">
        <f t="shared" si="41"/>
        <v>1</v>
      </c>
      <c r="N197" s="719"/>
      <c r="O197" s="24">
        <f t="shared" si="42"/>
        <v>1</v>
      </c>
      <c r="P197" s="719" t="s">
        <v>3927</v>
      </c>
      <c r="Q197" s="24">
        <f t="shared" si="43"/>
        <v>0.35</v>
      </c>
      <c r="R197" s="715">
        <f t="shared" ca="1" si="44"/>
        <v>14547</v>
      </c>
      <c r="S197" s="361">
        <f t="shared" ca="1" si="45"/>
        <v>89</v>
      </c>
      <c r="T197" s="799">
        <f>剩余房源售价清单!I178</f>
        <v>16661</v>
      </c>
      <c r="U197" s="799">
        <f t="shared" ca="1" si="35"/>
        <v>0.87311685973230901</v>
      </c>
    </row>
    <row r="198" spans="1:21">
      <c r="A198" s="2985" t="str">
        <f>清单!D177</f>
        <v>3-6</v>
      </c>
      <c r="B198" s="717">
        <f>清单!G177</f>
        <v>54.82</v>
      </c>
      <c r="C198" s="24">
        <f t="shared" si="36"/>
        <v>1.06</v>
      </c>
      <c r="D198" s="3020" t="s">
        <v>3932</v>
      </c>
      <c r="E198" s="24">
        <f t="shared" si="37"/>
        <v>0.94</v>
      </c>
      <c r="F198" s="719" t="s">
        <v>3844</v>
      </c>
      <c r="G198" s="24">
        <f t="shared" si="38"/>
        <v>1</v>
      </c>
      <c r="H198" s="719" t="s">
        <v>3316</v>
      </c>
      <c r="I198" s="24">
        <f t="shared" si="39"/>
        <v>1</v>
      </c>
      <c r="J198" s="719"/>
      <c r="K198" s="24">
        <f t="shared" si="40"/>
        <v>1</v>
      </c>
      <c r="L198" s="719"/>
      <c r="M198" s="24">
        <f t="shared" si="41"/>
        <v>1</v>
      </c>
      <c r="N198" s="719"/>
      <c r="O198" s="24">
        <f t="shared" si="42"/>
        <v>1</v>
      </c>
      <c r="P198" s="719" t="s">
        <v>3927</v>
      </c>
      <c r="Q198" s="24">
        <f t="shared" si="43"/>
        <v>0.35</v>
      </c>
      <c r="R198" s="715">
        <f t="shared" ca="1" si="44"/>
        <v>14827</v>
      </c>
      <c r="S198" s="361">
        <f t="shared" ca="1" si="45"/>
        <v>81</v>
      </c>
      <c r="T198" s="799">
        <f>剩余房源售价清单!I179</f>
        <v>16554</v>
      </c>
      <c r="U198" s="799">
        <f t="shared" ca="1" si="35"/>
        <v>0.89567476138697599</v>
      </c>
    </row>
    <row r="199" spans="1:21">
      <c r="A199" s="2985" t="str">
        <f>清单!D178</f>
        <v>3-7</v>
      </c>
      <c r="B199" s="717">
        <f>清单!G178</f>
        <v>48.52</v>
      </c>
      <c r="C199" s="24">
        <f t="shared" si="36"/>
        <v>1.08</v>
      </c>
      <c r="D199" s="3020" t="s">
        <v>3932</v>
      </c>
      <c r="E199" s="24">
        <f t="shared" si="37"/>
        <v>0.94</v>
      </c>
      <c r="F199" s="719" t="s">
        <v>3844</v>
      </c>
      <c r="G199" s="24">
        <f t="shared" si="38"/>
        <v>1</v>
      </c>
      <c r="H199" s="719" t="s">
        <v>3316</v>
      </c>
      <c r="I199" s="24">
        <f t="shared" si="39"/>
        <v>1</v>
      </c>
      <c r="J199" s="719"/>
      <c r="K199" s="24">
        <f t="shared" si="40"/>
        <v>1</v>
      </c>
      <c r="L199" s="719"/>
      <c r="M199" s="24">
        <f t="shared" si="41"/>
        <v>1</v>
      </c>
      <c r="N199" s="719"/>
      <c r="O199" s="24">
        <f t="shared" si="42"/>
        <v>1</v>
      </c>
      <c r="P199" s="719" t="s">
        <v>3927</v>
      </c>
      <c r="Q199" s="24">
        <f t="shared" si="43"/>
        <v>0.35</v>
      </c>
      <c r="R199" s="715">
        <f t="shared" ca="1" si="44"/>
        <v>15106</v>
      </c>
      <c r="S199" s="361">
        <f t="shared" ca="1" si="45"/>
        <v>73</v>
      </c>
      <c r="T199" s="799">
        <f>剩余房源售价清单!I180</f>
        <v>16928</v>
      </c>
      <c r="U199" s="799">
        <f t="shared" ca="1" si="35"/>
        <v>0.8923676748582231</v>
      </c>
    </row>
    <row r="200" spans="1:21">
      <c r="A200" s="2985" t="str">
        <f>清单!D179</f>
        <v>3-8</v>
      </c>
      <c r="B200" s="717">
        <f>清单!G179</f>
        <v>95.67</v>
      </c>
      <c r="C200" s="24">
        <f t="shared" si="36"/>
        <v>1.02</v>
      </c>
      <c r="D200" s="3020" t="s">
        <v>3932</v>
      </c>
      <c r="E200" s="24">
        <f t="shared" si="37"/>
        <v>0.94</v>
      </c>
      <c r="F200" s="719" t="s">
        <v>3843</v>
      </c>
      <c r="G200" s="24">
        <f t="shared" si="38"/>
        <v>0.97</v>
      </c>
      <c r="H200" s="719" t="s">
        <v>3316</v>
      </c>
      <c r="I200" s="24">
        <f t="shared" si="39"/>
        <v>1</v>
      </c>
      <c r="J200" s="719"/>
      <c r="K200" s="24">
        <f t="shared" si="40"/>
        <v>1</v>
      </c>
      <c r="L200" s="719"/>
      <c r="M200" s="24">
        <f t="shared" si="41"/>
        <v>1</v>
      </c>
      <c r="N200" s="719"/>
      <c r="O200" s="24">
        <f t="shared" si="42"/>
        <v>1</v>
      </c>
      <c r="P200" s="719" t="s">
        <v>3927</v>
      </c>
      <c r="Q200" s="24">
        <f t="shared" si="43"/>
        <v>0.35</v>
      </c>
      <c r="R200" s="715">
        <f t="shared" ca="1" si="44"/>
        <v>13839</v>
      </c>
      <c r="S200" s="361">
        <f t="shared" ca="1" si="45"/>
        <v>132</v>
      </c>
      <c r="T200" s="799">
        <f>剩余房源售价清单!I181</f>
        <v>15560</v>
      </c>
      <c r="U200" s="799">
        <f t="shared" ca="1" si="35"/>
        <v>0.88939588688946014</v>
      </c>
    </row>
    <row r="201" spans="1:21">
      <c r="A201" s="2985" t="str">
        <f>清单!D180</f>
        <v>3-9</v>
      </c>
      <c r="B201" s="717">
        <f>清单!G180</f>
        <v>95.67</v>
      </c>
      <c r="C201" s="24">
        <f t="shared" si="36"/>
        <v>1.02</v>
      </c>
      <c r="D201" s="3020" t="s">
        <v>3932</v>
      </c>
      <c r="E201" s="24">
        <f t="shared" si="37"/>
        <v>0.94</v>
      </c>
      <c r="F201" s="719" t="s">
        <v>3843</v>
      </c>
      <c r="G201" s="24">
        <f t="shared" si="38"/>
        <v>0.97</v>
      </c>
      <c r="H201" s="719" t="s">
        <v>3316</v>
      </c>
      <c r="I201" s="24">
        <f t="shared" si="39"/>
        <v>1</v>
      </c>
      <c r="J201" s="719"/>
      <c r="K201" s="24">
        <f t="shared" si="40"/>
        <v>1</v>
      </c>
      <c r="L201" s="719"/>
      <c r="M201" s="24">
        <f t="shared" si="41"/>
        <v>1</v>
      </c>
      <c r="N201" s="719"/>
      <c r="O201" s="24">
        <f t="shared" si="42"/>
        <v>1</v>
      </c>
      <c r="P201" s="719" t="s">
        <v>3927</v>
      </c>
      <c r="Q201" s="24">
        <f t="shared" si="43"/>
        <v>0.35</v>
      </c>
      <c r="R201" s="715">
        <f t="shared" ca="1" si="44"/>
        <v>13839</v>
      </c>
      <c r="S201" s="361">
        <f t="shared" ca="1" si="45"/>
        <v>132</v>
      </c>
      <c r="T201" s="799">
        <f>剩余房源售价清单!I182</f>
        <v>15357</v>
      </c>
      <c r="U201" s="799">
        <f t="shared" ca="1" si="35"/>
        <v>0.90115256886110573</v>
      </c>
    </row>
    <row r="202" spans="1:21">
      <c r="A202" s="2985" t="str">
        <f>清单!D181</f>
        <v>3-10</v>
      </c>
      <c r="B202" s="717">
        <f>清单!G181</f>
        <v>94.04</v>
      </c>
      <c r="C202" s="24">
        <f t="shared" si="36"/>
        <v>1.02</v>
      </c>
      <c r="D202" s="3020" t="s">
        <v>3932</v>
      </c>
      <c r="E202" s="24">
        <f t="shared" si="37"/>
        <v>0.94</v>
      </c>
      <c r="F202" s="719" t="s">
        <v>3843</v>
      </c>
      <c r="G202" s="24">
        <f t="shared" si="38"/>
        <v>0.97</v>
      </c>
      <c r="H202" s="719" t="s">
        <v>3316</v>
      </c>
      <c r="I202" s="24">
        <f t="shared" si="39"/>
        <v>1</v>
      </c>
      <c r="J202" s="719"/>
      <c r="K202" s="24">
        <f t="shared" si="40"/>
        <v>1</v>
      </c>
      <c r="L202" s="719"/>
      <c r="M202" s="24">
        <f t="shared" si="41"/>
        <v>1</v>
      </c>
      <c r="N202" s="719"/>
      <c r="O202" s="24">
        <f t="shared" si="42"/>
        <v>1</v>
      </c>
      <c r="P202" s="719" t="s">
        <v>3927</v>
      </c>
      <c r="Q202" s="24">
        <f t="shared" si="43"/>
        <v>0.35</v>
      </c>
      <c r="R202" s="715">
        <f t="shared" ca="1" si="44"/>
        <v>13839</v>
      </c>
      <c r="S202" s="361">
        <f t="shared" ca="1" si="45"/>
        <v>130</v>
      </c>
      <c r="T202" s="799">
        <f>剩余房源售价清单!I183</f>
        <v>16305</v>
      </c>
      <c r="U202" s="799">
        <f t="shared" ca="1" si="35"/>
        <v>0.84875804967801283</v>
      </c>
    </row>
    <row r="203" spans="1:21">
      <c r="A203" s="2985" t="str">
        <f>清单!D182</f>
        <v>3-11</v>
      </c>
      <c r="B203" s="717">
        <f>清单!G182</f>
        <v>95.67</v>
      </c>
      <c r="C203" s="24">
        <f t="shared" si="36"/>
        <v>1.02</v>
      </c>
      <c r="D203" s="3020" t="s">
        <v>3932</v>
      </c>
      <c r="E203" s="24">
        <f t="shared" si="37"/>
        <v>0.94</v>
      </c>
      <c r="F203" s="719" t="s">
        <v>3843</v>
      </c>
      <c r="G203" s="24">
        <f t="shared" si="38"/>
        <v>0.97</v>
      </c>
      <c r="H203" s="719" t="s">
        <v>3316</v>
      </c>
      <c r="I203" s="24">
        <f t="shared" si="39"/>
        <v>1</v>
      </c>
      <c r="J203" s="719"/>
      <c r="K203" s="24">
        <f t="shared" si="40"/>
        <v>1</v>
      </c>
      <c r="L203" s="719"/>
      <c r="M203" s="24">
        <f t="shared" si="41"/>
        <v>1</v>
      </c>
      <c r="N203" s="719"/>
      <c r="O203" s="24">
        <f t="shared" si="42"/>
        <v>1</v>
      </c>
      <c r="P203" s="719" t="s">
        <v>3927</v>
      </c>
      <c r="Q203" s="24">
        <f t="shared" si="43"/>
        <v>0.35</v>
      </c>
      <c r="R203" s="715">
        <f t="shared" ca="1" si="44"/>
        <v>13839</v>
      </c>
      <c r="S203" s="361">
        <f t="shared" ca="1" si="45"/>
        <v>132</v>
      </c>
      <c r="T203" s="799">
        <f>剩余房源售价清单!I184</f>
        <v>15425</v>
      </c>
      <c r="U203" s="799">
        <f t="shared" ca="1" si="35"/>
        <v>0.89717990275526738</v>
      </c>
    </row>
    <row r="204" spans="1:21">
      <c r="A204" s="2985" t="str">
        <f>清单!D183</f>
        <v>3-12</v>
      </c>
      <c r="B204" s="717">
        <f>清单!G183</f>
        <v>95.67</v>
      </c>
      <c r="C204" s="24">
        <f t="shared" si="36"/>
        <v>1.02</v>
      </c>
      <c r="D204" s="3020" t="s">
        <v>3932</v>
      </c>
      <c r="E204" s="24">
        <f t="shared" si="37"/>
        <v>0.94</v>
      </c>
      <c r="F204" s="719" t="s">
        <v>3843</v>
      </c>
      <c r="G204" s="24">
        <f t="shared" si="38"/>
        <v>0.97</v>
      </c>
      <c r="H204" s="719" t="s">
        <v>3316</v>
      </c>
      <c r="I204" s="24">
        <f t="shared" si="39"/>
        <v>1</v>
      </c>
      <c r="J204" s="719"/>
      <c r="K204" s="24">
        <f t="shared" si="40"/>
        <v>1</v>
      </c>
      <c r="L204" s="719"/>
      <c r="M204" s="24">
        <f t="shared" si="41"/>
        <v>1</v>
      </c>
      <c r="N204" s="719"/>
      <c r="O204" s="24">
        <f t="shared" si="42"/>
        <v>1</v>
      </c>
      <c r="P204" s="719" t="s">
        <v>3927</v>
      </c>
      <c r="Q204" s="24">
        <f t="shared" si="43"/>
        <v>0.35</v>
      </c>
      <c r="R204" s="715">
        <f t="shared" ca="1" si="44"/>
        <v>13839</v>
      </c>
      <c r="S204" s="361">
        <f t="shared" ca="1" si="45"/>
        <v>132</v>
      </c>
      <c r="T204" s="799">
        <f>剩余房源售价清单!I185</f>
        <v>15560</v>
      </c>
      <c r="U204" s="799">
        <f t="shared" ca="1" si="35"/>
        <v>0.88939588688946014</v>
      </c>
    </row>
    <row r="205" spans="1:21">
      <c r="A205" s="2985" t="str">
        <f>清单!D184</f>
        <v>3-13</v>
      </c>
      <c r="B205" s="717">
        <f>清单!G184</f>
        <v>95.56</v>
      </c>
      <c r="C205" s="24">
        <f t="shared" si="36"/>
        <v>1.02</v>
      </c>
      <c r="D205" s="3020" t="s">
        <v>3932</v>
      </c>
      <c r="E205" s="24">
        <f t="shared" si="37"/>
        <v>0.94</v>
      </c>
      <c r="F205" s="719" t="s">
        <v>3843</v>
      </c>
      <c r="G205" s="24">
        <f t="shared" si="38"/>
        <v>0.97</v>
      </c>
      <c r="H205" s="719" t="s">
        <v>3316</v>
      </c>
      <c r="I205" s="24">
        <f t="shared" si="39"/>
        <v>1</v>
      </c>
      <c r="J205" s="719"/>
      <c r="K205" s="24">
        <f t="shared" si="40"/>
        <v>1</v>
      </c>
      <c r="L205" s="719"/>
      <c r="M205" s="24">
        <f t="shared" si="41"/>
        <v>1</v>
      </c>
      <c r="N205" s="719"/>
      <c r="O205" s="24">
        <f t="shared" si="42"/>
        <v>1</v>
      </c>
      <c r="P205" s="719" t="s">
        <v>3927</v>
      </c>
      <c r="Q205" s="24">
        <f t="shared" si="43"/>
        <v>0.35</v>
      </c>
      <c r="R205" s="715">
        <f t="shared" ca="1" si="44"/>
        <v>13839</v>
      </c>
      <c r="S205" s="361">
        <f t="shared" ca="1" si="45"/>
        <v>132</v>
      </c>
      <c r="T205" s="799">
        <f>剩余房源售价清单!I186</f>
        <v>15492</v>
      </c>
      <c r="U205" s="799">
        <f t="shared" ca="1" si="35"/>
        <v>0.89329976762199848</v>
      </c>
    </row>
    <row r="206" spans="1:21">
      <c r="A206" s="2985" t="str">
        <f>清单!D185</f>
        <v>3-14</v>
      </c>
      <c r="B206" s="717">
        <f>清单!G185</f>
        <v>94.18</v>
      </c>
      <c r="C206" s="24">
        <f t="shared" si="36"/>
        <v>1.02</v>
      </c>
      <c r="D206" s="3020" t="s">
        <v>3932</v>
      </c>
      <c r="E206" s="24">
        <f t="shared" si="37"/>
        <v>0.94</v>
      </c>
      <c r="F206" s="719" t="s">
        <v>3843</v>
      </c>
      <c r="G206" s="24">
        <f t="shared" si="38"/>
        <v>0.97</v>
      </c>
      <c r="H206" s="719" t="s">
        <v>3316</v>
      </c>
      <c r="I206" s="24">
        <f t="shared" si="39"/>
        <v>1</v>
      </c>
      <c r="J206" s="719"/>
      <c r="K206" s="24">
        <f t="shared" si="40"/>
        <v>1</v>
      </c>
      <c r="L206" s="719"/>
      <c r="M206" s="24">
        <f t="shared" si="41"/>
        <v>1</v>
      </c>
      <c r="N206" s="719"/>
      <c r="O206" s="24">
        <f t="shared" si="42"/>
        <v>1</v>
      </c>
      <c r="P206" s="719" t="s">
        <v>3927</v>
      </c>
      <c r="Q206" s="24">
        <f t="shared" si="43"/>
        <v>0.35</v>
      </c>
      <c r="R206" s="715">
        <f t="shared" ca="1" si="44"/>
        <v>13839</v>
      </c>
      <c r="S206" s="361">
        <f t="shared" ca="1" si="45"/>
        <v>130</v>
      </c>
      <c r="T206" s="799">
        <f>剩余房源售价清单!I187</f>
        <v>17251</v>
      </c>
      <c r="U206" s="799">
        <f t="shared" ca="1" si="35"/>
        <v>0.80221436438467331</v>
      </c>
    </row>
    <row r="207" spans="1:21">
      <c r="A207" s="2985" t="str">
        <f>清单!D186</f>
        <v>3-15</v>
      </c>
      <c r="B207" s="717">
        <f>清单!G186</f>
        <v>63.78</v>
      </c>
      <c r="C207" s="24">
        <f t="shared" si="36"/>
        <v>1.04</v>
      </c>
      <c r="D207" s="3020" t="s">
        <v>3932</v>
      </c>
      <c r="E207" s="24">
        <f t="shared" si="37"/>
        <v>0.94</v>
      </c>
      <c r="F207" s="719" t="s">
        <v>3844</v>
      </c>
      <c r="G207" s="24">
        <f t="shared" si="38"/>
        <v>1</v>
      </c>
      <c r="H207" s="719" t="s">
        <v>3316</v>
      </c>
      <c r="I207" s="24">
        <f t="shared" si="39"/>
        <v>1</v>
      </c>
      <c r="J207" s="719"/>
      <c r="K207" s="24">
        <f t="shared" si="40"/>
        <v>1</v>
      </c>
      <c r="L207" s="719"/>
      <c r="M207" s="24">
        <f t="shared" si="41"/>
        <v>1</v>
      </c>
      <c r="N207" s="719"/>
      <c r="O207" s="24">
        <f t="shared" si="42"/>
        <v>1</v>
      </c>
      <c r="P207" s="719" t="s">
        <v>3927</v>
      </c>
      <c r="Q207" s="24">
        <f t="shared" si="43"/>
        <v>0.35</v>
      </c>
      <c r="R207" s="715">
        <f t="shared" ca="1" si="44"/>
        <v>14547</v>
      </c>
      <c r="S207" s="361">
        <f t="shared" ca="1" si="45"/>
        <v>93</v>
      </c>
      <c r="T207" s="799">
        <f>剩余房源售价清单!I188</f>
        <v>16719</v>
      </c>
      <c r="U207" s="799">
        <f t="shared" ca="1" si="35"/>
        <v>0.87008792391889467</v>
      </c>
    </row>
    <row r="208" spans="1:21">
      <c r="A208" s="2985" t="str">
        <f>清单!D187</f>
        <v>3-16</v>
      </c>
      <c r="B208" s="717">
        <f>清单!G187</f>
        <v>63.78</v>
      </c>
      <c r="C208" s="24">
        <f t="shared" si="36"/>
        <v>1.04</v>
      </c>
      <c r="D208" s="3020" t="s">
        <v>3932</v>
      </c>
      <c r="E208" s="24">
        <f t="shared" si="37"/>
        <v>0.94</v>
      </c>
      <c r="F208" s="719" t="s">
        <v>3844</v>
      </c>
      <c r="G208" s="24">
        <f t="shared" si="38"/>
        <v>1</v>
      </c>
      <c r="H208" s="719" t="s">
        <v>3316</v>
      </c>
      <c r="I208" s="24">
        <f t="shared" si="39"/>
        <v>1</v>
      </c>
      <c r="J208" s="719"/>
      <c r="K208" s="24">
        <f t="shared" si="40"/>
        <v>1</v>
      </c>
      <c r="L208" s="719"/>
      <c r="M208" s="24">
        <f t="shared" si="41"/>
        <v>1</v>
      </c>
      <c r="N208" s="719"/>
      <c r="O208" s="24">
        <f t="shared" si="42"/>
        <v>1</v>
      </c>
      <c r="P208" s="719" t="s">
        <v>3927</v>
      </c>
      <c r="Q208" s="24">
        <f t="shared" si="43"/>
        <v>0.35</v>
      </c>
      <c r="R208" s="715">
        <f t="shared" ca="1" si="44"/>
        <v>14547</v>
      </c>
      <c r="S208" s="361">
        <f t="shared" ca="1" si="45"/>
        <v>93</v>
      </c>
      <c r="T208" s="799">
        <f>剩余房源售价清单!I189</f>
        <v>16854</v>
      </c>
      <c r="U208" s="799">
        <f t="shared" ca="1" si="35"/>
        <v>0.86311854752580985</v>
      </c>
    </row>
    <row r="209" spans="1:21">
      <c r="A209" s="2985" t="str">
        <f>清单!D188</f>
        <v>3-17</v>
      </c>
      <c r="B209" s="717">
        <f>清单!G188</f>
        <v>61.3</v>
      </c>
      <c r="C209" s="24">
        <f t="shared" si="36"/>
        <v>1.04</v>
      </c>
      <c r="D209" s="3020" t="s">
        <v>3932</v>
      </c>
      <c r="E209" s="24">
        <f t="shared" si="37"/>
        <v>0.94</v>
      </c>
      <c r="F209" s="719" t="s">
        <v>3844</v>
      </c>
      <c r="G209" s="24">
        <f t="shared" si="38"/>
        <v>1</v>
      </c>
      <c r="H209" s="719" t="s">
        <v>3316</v>
      </c>
      <c r="I209" s="24">
        <f t="shared" si="39"/>
        <v>1</v>
      </c>
      <c r="J209" s="719"/>
      <c r="K209" s="24">
        <f t="shared" si="40"/>
        <v>1</v>
      </c>
      <c r="L209" s="719"/>
      <c r="M209" s="24">
        <f t="shared" si="41"/>
        <v>1</v>
      </c>
      <c r="N209" s="719"/>
      <c r="O209" s="24">
        <f t="shared" si="42"/>
        <v>1</v>
      </c>
      <c r="P209" s="719" t="s">
        <v>3927</v>
      </c>
      <c r="Q209" s="24">
        <f t="shared" si="43"/>
        <v>0.35</v>
      </c>
      <c r="R209" s="715">
        <f t="shared" ca="1" si="44"/>
        <v>14547</v>
      </c>
      <c r="S209" s="361">
        <f t="shared" ca="1" si="45"/>
        <v>89</v>
      </c>
      <c r="T209" s="799">
        <f>剩余房源售价清单!I190</f>
        <v>16796</v>
      </c>
      <c r="U209" s="799">
        <f t="shared" ca="1" si="35"/>
        <v>0.86609907120743035</v>
      </c>
    </row>
    <row r="210" spans="1:21">
      <c r="A210" s="2985" t="str">
        <f>清单!D189</f>
        <v>3-18</v>
      </c>
      <c r="B210" s="717">
        <f>清单!G189</f>
        <v>115.83</v>
      </c>
      <c r="C210" s="24">
        <f t="shared" si="36"/>
        <v>1.02</v>
      </c>
      <c r="D210" s="3020" t="s">
        <v>3932</v>
      </c>
      <c r="E210" s="24">
        <f t="shared" si="37"/>
        <v>0.94</v>
      </c>
      <c r="F210" s="719" t="s">
        <v>3844</v>
      </c>
      <c r="G210" s="24">
        <f t="shared" si="38"/>
        <v>1</v>
      </c>
      <c r="H210" s="719" t="s">
        <v>3316</v>
      </c>
      <c r="I210" s="24">
        <f t="shared" si="39"/>
        <v>1</v>
      </c>
      <c r="J210" s="719"/>
      <c r="K210" s="24">
        <f t="shared" si="40"/>
        <v>1</v>
      </c>
      <c r="L210" s="719"/>
      <c r="M210" s="24">
        <f t="shared" si="41"/>
        <v>1</v>
      </c>
      <c r="N210" s="719"/>
      <c r="O210" s="24">
        <f t="shared" si="42"/>
        <v>1</v>
      </c>
      <c r="P210" s="719" t="s">
        <v>3927</v>
      </c>
      <c r="Q210" s="24">
        <f t="shared" si="43"/>
        <v>0.35</v>
      </c>
      <c r="R210" s="715">
        <f t="shared" ca="1" si="44"/>
        <v>14267</v>
      </c>
      <c r="S210" s="361">
        <f t="shared" ca="1" si="45"/>
        <v>165</v>
      </c>
      <c r="T210" s="799">
        <f>剩余房源售价清单!I191</f>
        <v>15600</v>
      </c>
      <c r="U210" s="799">
        <f t="shared" ca="1" si="35"/>
        <v>0.914551282051282</v>
      </c>
    </row>
    <row r="211" spans="1:21">
      <c r="A211" s="2985" t="str">
        <f>清单!D190</f>
        <v>3-19</v>
      </c>
      <c r="B211" s="717">
        <f>清单!G190</f>
        <v>78.86</v>
      </c>
      <c r="C211" s="24">
        <f t="shared" si="36"/>
        <v>1.04</v>
      </c>
      <c r="D211" s="3020" t="s">
        <v>3932</v>
      </c>
      <c r="E211" s="24">
        <f t="shared" si="37"/>
        <v>0.94</v>
      </c>
      <c r="F211" s="3020" t="s">
        <v>3932</v>
      </c>
      <c r="G211" s="24">
        <f t="shared" si="38"/>
        <v>0.97</v>
      </c>
      <c r="H211" s="719" t="s">
        <v>3316</v>
      </c>
      <c r="I211" s="24">
        <f t="shared" si="39"/>
        <v>1</v>
      </c>
      <c r="J211" s="719"/>
      <c r="K211" s="24">
        <f t="shared" si="40"/>
        <v>1</v>
      </c>
      <c r="L211" s="719"/>
      <c r="M211" s="24">
        <f t="shared" si="41"/>
        <v>1</v>
      </c>
      <c r="N211" s="719"/>
      <c r="O211" s="24">
        <f t="shared" si="42"/>
        <v>1</v>
      </c>
      <c r="P211" s="719" t="s">
        <v>3927</v>
      </c>
      <c r="Q211" s="24">
        <f t="shared" si="43"/>
        <v>0.35</v>
      </c>
      <c r="R211" s="715">
        <f t="shared" ca="1" si="44"/>
        <v>14111</v>
      </c>
      <c r="S211" s="361">
        <f t="shared" ca="1" si="45"/>
        <v>111</v>
      </c>
      <c r="T211" s="799">
        <f>剩余房源售价清单!I192</f>
        <v>16268</v>
      </c>
      <c r="U211" s="799">
        <f t="shared" ca="1" si="35"/>
        <v>0.86740840914679129</v>
      </c>
    </row>
    <row r="212" spans="1:21">
      <c r="A212" s="2985" t="str">
        <f>清单!D191</f>
        <v>3-20</v>
      </c>
      <c r="B212" s="717">
        <f>清单!G191</f>
        <v>60.95</v>
      </c>
      <c r="C212" s="24">
        <f t="shared" si="36"/>
        <v>1.04</v>
      </c>
      <c r="D212" s="3020" t="s">
        <v>3932</v>
      </c>
      <c r="E212" s="24">
        <f t="shared" si="37"/>
        <v>0.94</v>
      </c>
      <c r="F212" s="719" t="s">
        <v>3844</v>
      </c>
      <c r="G212" s="24">
        <f t="shared" si="38"/>
        <v>1</v>
      </c>
      <c r="H212" s="719" t="s">
        <v>3316</v>
      </c>
      <c r="I212" s="24">
        <f t="shared" si="39"/>
        <v>1</v>
      </c>
      <c r="J212" s="719"/>
      <c r="K212" s="24">
        <f t="shared" si="40"/>
        <v>1</v>
      </c>
      <c r="L212" s="719"/>
      <c r="M212" s="24">
        <f t="shared" si="41"/>
        <v>1</v>
      </c>
      <c r="N212" s="719"/>
      <c r="O212" s="24">
        <f t="shared" si="42"/>
        <v>1</v>
      </c>
      <c r="P212" s="719" t="s">
        <v>3927</v>
      </c>
      <c r="Q212" s="24">
        <f t="shared" si="43"/>
        <v>0.35</v>
      </c>
      <c r="R212" s="715">
        <f t="shared" ca="1" si="44"/>
        <v>14547</v>
      </c>
      <c r="S212" s="361">
        <f t="shared" ca="1" si="45"/>
        <v>89</v>
      </c>
      <c r="T212" s="799">
        <f>剩余房源售价清单!I193</f>
        <v>17878</v>
      </c>
      <c r="U212" s="799">
        <f t="shared" ca="1" si="35"/>
        <v>0.81368161986799414</v>
      </c>
    </row>
    <row r="213" spans="1:21">
      <c r="A213" s="2985" t="str">
        <f>清单!D192</f>
        <v>3-21</v>
      </c>
      <c r="B213" s="717">
        <f>清单!G192</f>
        <v>169.17</v>
      </c>
      <c r="C213" s="24">
        <f t="shared" si="36"/>
        <v>0.98</v>
      </c>
      <c r="D213" s="3020" t="s">
        <v>3930</v>
      </c>
      <c r="E213" s="24">
        <f t="shared" si="37"/>
        <v>1</v>
      </c>
      <c r="F213" s="3020" t="s">
        <v>3930</v>
      </c>
      <c r="G213" s="24">
        <f t="shared" si="38"/>
        <v>1.03</v>
      </c>
      <c r="H213" s="719" t="s">
        <v>3316</v>
      </c>
      <c r="I213" s="24">
        <f t="shared" si="39"/>
        <v>1</v>
      </c>
      <c r="J213" s="719"/>
      <c r="K213" s="24">
        <f t="shared" si="40"/>
        <v>1</v>
      </c>
      <c r="L213" s="719"/>
      <c r="M213" s="24">
        <f t="shared" si="41"/>
        <v>1</v>
      </c>
      <c r="N213" s="719"/>
      <c r="O213" s="24">
        <f t="shared" si="42"/>
        <v>1</v>
      </c>
      <c r="P213" s="719" t="s">
        <v>3927</v>
      </c>
      <c r="Q213" s="24">
        <f t="shared" si="43"/>
        <v>0.35</v>
      </c>
      <c r="R213" s="715">
        <f t="shared" ca="1" si="44"/>
        <v>15020</v>
      </c>
      <c r="S213" s="361">
        <f t="shared" ca="1" si="45"/>
        <v>254</v>
      </c>
      <c r="T213" s="799">
        <f>剩余房源售价清单!I194</f>
        <v>18396</v>
      </c>
      <c r="U213" s="799">
        <f t="shared" ca="1" si="35"/>
        <v>0.81648184387910416</v>
      </c>
    </row>
    <row r="214" spans="1:21">
      <c r="A214" s="2985" t="str">
        <f>清单!D193</f>
        <v>3-22</v>
      </c>
      <c r="B214" s="717">
        <f>清单!G193</f>
        <v>41.98</v>
      </c>
      <c r="C214" s="24">
        <f t="shared" si="36"/>
        <v>1.08</v>
      </c>
      <c r="D214" s="3020" t="s">
        <v>3931</v>
      </c>
      <c r="E214" s="24">
        <f t="shared" si="37"/>
        <v>0.97</v>
      </c>
      <c r="F214" s="719" t="s">
        <v>3844</v>
      </c>
      <c r="G214" s="24">
        <f t="shared" si="38"/>
        <v>1</v>
      </c>
      <c r="H214" s="719" t="s">
        <v>3316</v>
      </c>
      <c r="I214" s="24">
        <f t="shared" si="39"/>
        <v>1</v>
      </c>
      <c r="J214" s="719"/>
      <c r="K214" s="24">
        <f t="shared" si="40"/>
        <v>1</v>
      </c>
      <c r="L214" s="719"/>
      <c r="M214" s="24">
        <f t="shared" si="41"/>
        <v>1</v>
      </c>
      <c r="N214" s="719"/>
      <c r="O214" s="24">
        <f t="shared" si="42"/>
        <v>1</v>
      </c>
      <c r="P214" s="719" t="s">
        <v>3927</v>
      </c>
      <c r="Q214" s="24">
        <f t="shared" si="43"/>
        <v>0.35</v>
      </c>
      <c r="R214" s="715">
        <f t="shared" ca="1" si="44"/>
        <v>15589</v>
      </c>
      <c r="S214" s="361">
        <f t="shared" ca="1" si="45"/>
        <v>65</v>
      </c>
      <c r="T214" s="799">
        <f>剩余房源售价清单!I195</f>
        <v>18732</v>
      </c>
      <c r="U214" s="799">
        <f t="shared" ca="1" si="35"/>
        <v>0.83221225710014946</v>
      </c>
    </row>
    <row r="215" spans="1:21">
      <c r="A215" s="2985" t="str">
        <f>清单!D194</f>
        <v>3-23</v>
      </c>
      <c r="B215" s="717">
        <f>清单!G194</f>
        <v>109.8</v>
      </c>
      <c r="C215" s="24">
        <f t="shared" si="36"/>
        <v>1.02</v>
      </c>
      <c r="D215" s="3020" t="s">
        <v>3931</v>
      </c>
      <c r="E215" s="24">
        <f t="shared" si="37"/>
        <v>0.97</v>
      </c>
      <c r="F215" s="719" t="s">
        <v>3844</v>
      </c>
      <c r="G215" s="24">
        <f t="shared" si="38"/>
        <v>1</v>
      </c>
      <c r="H215" s="719" t="s">
        <v>3316</v>
      </c>
      <c r="I215" s="24">
        <f t="shared" si="39"/>
        <v>1</v>
      </c>
      <c r="J215" s="719"/>
      <c r="K215" s="24">
        <f t="shared" si="40"/>
        <v>1</v>
      </c>
      <c r="L215" s="719"/>
      <c r="M215" s="24">
        <f t="shared" si="41"/>
        <v>1</v>
      </c>
      <c r="N215" s="719"/>
      <c r="O215" s="24">
        <f t="shared" si="42"/>
        <v>1</v>
      </c>
      <c r="P215" s="719" t="s">
        <v>3927</v>
      </c>
      <c r="Q215" s="24">
        <f t="shared" si="43"/>
        <v>0.35</v>
      </c>
      <c r="R215" s="715">
        <f t="shared" ca="1" si="44"/>
        <v>14723</v>
      </c>
      <c r="S215" s="361">
        <f t="shared" ca="1" si="45"/>
        <v>162</v>
      </c>
      <c r="T215" s="799">
        <f>剩余房源售价清单!I196</f>
        <v>17498</v>
      </c>
      <c r="U215" s="799">
        <f t="shared" ca="1" si="35"/>
        <v>0.84141044690821809</v>
      </c>
    </row>
    <row r="216" spans="1:21">
      <c r="A216" s="2985" t="str">
        <f>清单!D195</f>
        <v>3-25</v>
      </c>
      <c r="B216" s="717">
        <f>清单!G195</f>
        <v>80.08</v>
      </c>
      <c r="C216" s="24">
        <f t="shared" si="36"/>
        <v>1.04</v>
      </c>
      <c r="D216" s="3020" t="s">
        <v>3932</v>
      </c>
      <c r="E216" s="24">
        <f t="shared" si="37"/>
        <v>0.94</v>
      </c>
      <c r="F216" s="3020" t="s">
        <v>3932</v>
      </c>
      <c r="G216" s="24">
        <f t="shared" si="38"/>
        <v>0.97</v>
      </c>
      <c r="H216" s="719" t="s">
        <v>3316</v>
      </c>
      <c r="I216" s="24">
        <f t="shared" si="39"/>
        <v>1</v>
      </c>
      <c r="J216" s="719"/>
      <c r="K216" s="24">
        <f t="shared" si="40"/>
        <v>1</v>
      </c>
      <c r="L216" s="719"/>
      <c r="M216" s="24">
        <f t="shared" si="41"/>
        <v>1</v>
      </c>
      <c r="N216" s="719"/>
      <c r="O216" s="24">
        <f t="shared" si="42"/>
        <v>1</v>
      </c>
      <c r="P216" s="719" t="s">
        <v>3927</v>
      </c>
      <c r="Q216" s="24">
        <f t="shared" si="43"/>
        <v>0.35</v>
      </c>
      <c r="R216" s="715">
        <f t="shared" ca="1" si="44"/>
        <v>14111</v>
      </c>
      <c r="S216" s="361">
        <f t="shared" ca="1" si="45"/>
        <v>113</v>
      </c>
      <c r="T216" s="799">
        <f>剩余房源售价清单!I197</f>
        <v>19170</v>
      </c>
      <c r="U216" s="799">
        <f t="shared" ca="1" si="35"/>
        <v>0.73609806990088678</v>
      </c>
    </row>
    <row r="217" spans="1:21">
      <c r="A217" s="2985" t="str">
        <f>清单!D196</f>
        <v>3-26</v>
      </c>
      <c r="B217" s="717">
        <f>清单!G196</f>
        <v>80.48</v>
      </c>
      <c r="C217" s="24">
        <f t="shared" si="36"/>
        <v>1.04</v>
      </c>
      <c r="D217" s="3020" t="s">
        <v>3932</v>
      </c>
      <c r="E217" s="24">
        <f t="shared" si="37"/>
        <v>0.94</v>
      </c>
      <c r="F217" s="3020" t="s">
        <v>3932</v>
      </c>
      <c r="G217" s="24">
        <f t="shared" si="38"/>
        <v>0.97</v>
      </c>
      <c r="H217" s="719" t="s">
        <v>3316</v>
      </c>
      <c r="I217" s="24">
        <f t="shared" si="39"/>
        <v>1</v>
      </c>
      <c r="J217" s="719"/>
      <c r="K217" s="24">
        <f t="shared" si="40"/>
        <v>1</v>
      </c>
      <c r="L217" s="719"/>
      <c r="M217" s="24">
        <f t="shared" si="41"/>
        <v>1</v>
      </c>
      <c r="N217" s="719"/>
      <c r="O217" s="24">
        <f t="shared" si="42"/>
        <v>1</v>
      </c>
      <c r="P217" s="719" t="s">
        <v>3927</v>
      </c>
      <c r="Q217" s="24">
        <f t="shared" si="43"/>
        <v>0.35</v>
      </c>
      <c r="R217" s="715">
        <f t="shared" ca="1" si="44"/>
        <v>14111</v>
      </c>
      <c r="S217" s="361">
        <f t="shared" ca="1" si="45"/>
        <v>114</v>
      </c>
      <c r="T217" s="799">
        <f>剩余房源售价清单!I198</f>
        <v>17413</v>
      </c>
      <c r="U217" s="799">
        <f t="shared" ref="U217:U280" ca="1" si="46">R217/T217</f>
        <v>0.81037156147705736</v>
      </c>
    </row>
    <row r="218" spans="1:21">
      <c r="A218" s="2985" t="str">
        <f>清单!D197</f>
        <v>3-27</v>
      </c>
      <c r="B218" s="717">
        <f>清单!G197</f>
        <v>80.37</v>
      </c>
      <c r="C218" s="24">
        <f t="shared" ref="C218:C281" si="47">IF(B218="",1,(LOOKUP(B218,$3:$3,$4:$4)-LOOKUP($B$24,$3:$3,$4:$4)+100)/100)</f>
        <v>1.04</v>
      </c>
      <c r="D218" s="3020" t="s">
        <v>3932</v>
      </c>
      <c r="E218" s="24">
        <f t="shared" ref="E218:E281" si="48">(SUMIF($5:$5,D218,$6:$6)-SUMIF($5:$5,$D$24,$6:$6)+100)/100</f>
        <v>0.94</v>
      </c>
      <c r="F218" s="3020" t="s">
        <v>3932</v>
      </c>
      <c r="G218" s="24">
        <f t="shared" ref="G218:G281" si="49">(SUMIF($7:$7,F218,$8:$8)-SUMIF($7:$7,$F$24,$8:$8)+100)/100</f>
        <v>0.97</v>
      </c>
      <c r="H218" s="719" t="s">
        <v>3316</v>
      </c>
      <c r="I218" s="24">
        <f t="shared" ref="I218:I281" si="50">(SUMIF($9:$9,H218,$10:$10)-SUMIF($9:$9,$H$24,$10:$10)+100)/100</f>
        <v>1</v>
      </c>
      <c r="J218" s="719"/>
      <c r="K218" s="24">
        <f t="shared" ref="K218:K281" si="51">(SUMIF($11:$11,J218,$12:$12)-SUMIF($11:$11,$J$24,$12:$12)+100)/100</f>
        <v>1</v>
      </c>
      <c r="L218" s="719"/>
      <c r="M218" s="24">
        <f t="shared" ref="M218:M281" si="52">(SUMIF($13:$13,L218,$14:$14)-SUMIF($13:$13,$L$24,$14:$14)+100)/100</f>
        <v>1</v>
      </c>
      <c r="N218" s="719"/>
      <c r="O218" s="24">
        <f t="shared" ref="O218:O281" si="53">(SUMIF($15:$15,N218,$16:$16)-SUMIF($15:$15,$N$24,$16:$16)+100)/100</f>
        <v>1</v>
      </c>
      <c r="P218" s="719" t="s">
        <v>3927</v>
      </c>
      <c r="Q218" s="24">
        <f t="shared" ref="Q218:Q281" si="54">(SUMIF($17:$17,P218,$18:$18)-SUMIF($17:$17,$P$24,$18:$18)+100)/100</f>
        <v>0.35</v>
      </c>
      <c r="R218" s="715">
        <f t="shared" ref="R218:R281" ca="1" si="55">IF(B218="",0,ROUND($R$24*C218*E218*G218*I218*K218*M218*O218*Q218,0))</f>
        <v>14111</v>
      </c>
      <c r="S218" s="361">
        <f t="shared" ca="1" si="45"/>
        <v>113</v>
      </c>
      <c r="T218" s="799">
        <f>剩余房源售价清单!I199</f>
        <v>16940</v>
      </c>
      <c r="U218" s="799">
        <f t="shared" ca="1" si="46"/>
        <v>0.83299881936245568</v>
      </c>
    </row>
    <row r="219" spans="1:21">
      <c r="A219" s="2985" t="str">
        <f>清单!D198</f>
        <v>3-28</v>
      </c>
      <c r="B219" s="717">
        <f>清单!G198</f>
        <v>80.48</v>
      </c>
      <c r="C219" s="24">
        <f t="shared" si="47"/>
        <v>1.04</v>
      </c>
      <c r="D219" s="3020" t="s">
        <v>3932</v>
      </c>
      <c r="E219" s="24">
        <f t="shared" si="48"/>
        <v>0.94</v>
      </c>
      <c r="F219" s="3020" t="s">
        <v>3932</v>
      </c>
      <c r="G219" s="24">
        <f t="shared" si="49"/>
        <v>0.97</v>
      </c>
      <c r="H219" s="719" t="s">
        <v>3316</v>
      </c>
      <c r="I219" s="24">
        <f t="shared" si="50"/>
        <v>1</v>
      </c>
      <c r="J219" s="719"/>
      <c r="K219" s="24">
        <f t="shared" si="51"/>
        <v>1</v>
      </c>
      <c r="L219" s="719"/>
      <c r="M219" s="24">
        <f t="shared" si="52"/>
        <v>1</v>
      </c>
      <c r="N219" s="719"/>
      <c r="O219" s="24">
        <f t="shared" si="53"/>
        <v>1</v>
      </c>
      <c r="P219" s="719" t="s">
        <v>3927</v>
      </c>
      <c r="Q219" s="24">
        <f t="shared" si="54"/>
        <v>0.35</v>
      </c>
      <c r="R219" s="715">
        <f t="shared" ca="1" si="55"/>
        <v>14111</v>
      </c>
      <c r="S219" s="361">
        <f t="shared" ca="1" si="45"/>
        <v>114</v>
      </c>
      <c r="T219" s="799">
        <f>剩余房源售价清单!I200</f>
        <v>17008</v>
      </c>
      <c r="U219" s="799">
        <f t="shared" ca="1" si="46"/>
        <v>0.82966839134524928</v>
      </c>
    </row>
    <row r="220" spans="1:21">
      <c r="A220" s="2985" t="str">
        <f>清单!D199</f>
        <v>3-29</v>
      </c>
      <c r="B220" s="717">
        <f>清单!G199</f>
        <v>80.48</v>
      </c>
      <c r="C220" s="24">
        <f t="shared" si="47"/>
        <v>1.04</v>
      </c>
      <c r="D220" s="3020" t="s">
        <v>3932</v>
      </c>
      <c r="E220" s="24">
        <f t="shared" si="48"/>
        <v>0.94</v>
      </c>
      <c r="F220" s="3020" t="s">
        <v>3932</v>
      </c>
      <c r="G220" s="24">
        <f t="shared" si="49"/>
        <v>0.97</v>
      </c>
      <c r="H220" s="719" t="s">
        <v>3316</v>
      </c>
      <c r="I220" s="24">
        <f t="shared" si="50"/>
        <v>1</v>
      </c>
      <c r="J220" s="719"/>
      <c r="K220" s="24">
        <f t="shared" si="51"/>
        <v>1</v>
      </c>
      <c r="L220" s="719"/>
      <c r="M220" s="24">
        <f t="shared" si="52"/>
        <v>1</v>
      </c>
      <c r="N220" s="719"/>
      <c r="O220" s="24">
        <f t="shared" si="53"/>
        <v>1</v>
      </c>
      <c r="P220" s="719" t="s">
        <v>3927</v>
      </c>
      <c r="Q220" s="24">
        <f t="shared" si="54"/>
        <v>0.35</v>
      </c>
      <c r="R220" s="715">
        <f t="shared" ca="1" si="55"/>
        <v>14111</v>
      </c>
      <c r="S220" s="361">
        <f t="shared" ca="1" si="45"/>
        <v>114</v>
      </c>
      <c r="T220" s="799">
        <f>剩余房源售价清单!I201</f>
        <v>16940</v>
      </c>
      <c r="U220" s="799">
        <f t="shared" ca="1" si="46"/>
        <v>0.83299881936245568</v>
      </c>
    </row>
    <row r="221" spans="1:21">
      <c r="A221" s="2985" t="str">
        <f>清单!D200</f>
        <v>3-30</v>
      </c>
      <c r="B221" s="717">
        <f>清单!G200</f>
        <v>80.37</v>
      </c>
      <c r="C221" s="24">
        <f t="shared" si="47"/>
        <v>1.04</v>
      </c>
      <c r="D221" s="3020" t="s">
        <v>3932</v>
      </c>
      <c r="E221" s="24">
        <f t="shared" si="48"/>
        <v>0.94</v>
      </c>
      <c r="F221" s="3020" t="s">
        <v>3932</v>
      </c>
      <c r="G221" s="24">
        <f t="shared" si="49"/>
        <v>0.97</v>
      </c>
      <c r="H221" s="719" t="s">
        <v>3316</v>
      </c>
      <c r="I221" s="24">
        <f t="shared" si="50"/>
        <v>1</v>
      </c>
      <c r="J221" s="719"/>
      <c r="K221" s="24">
        <f t="shared" si="51"/>
        <v>1</v>
      </c>
      <c r="L221" s="719"/>
      <c r="M221" s="24">
        <f t="shared" si="52"/>
        <v>1</v>
      </c>
      <c r="N221" s="719"/>
      <c r="O221" s="24">
        <f t="shared" si="53"/>
        <v>1</v>
      </c>
      <c r="P221" s="719" t="s">
        <v>3927</v>
      </c>
      <c r="Q221" s="24">
        <f t="shared" si="54"/>
        <v>0.35</v>
      </c>
      <c r="R221" s="715">
        <f t="shared" ca="1" si="55"/>
        <v>14111</v>
      </c>
      <c r="S221" s="361">
        <f t="shared" ca="1" si="45"/>
        <v>113</v>
      </c>
      <c r="T221" s="799">
        <f>剩余房源售价清单!I202</f>
        <v>16738</v>
      </c>
      <c r="U221" s="799">
        <f t="shared" ca="1" si="46"/>
        <v>0.84305173855896764</v>
      </c>
    </row>
    <row r="222" spans="1:21">
      <c r="A222" s="2985" t="str">
        <f>清单!D201</f>
        <v>3-31</v>
      </c>
      <c r="B222" s="717">
        <f>清单!G201</f>
        <v>80.48</v>
      </c>
      <c r="C222" s="24">
        <f t="shared" si="47"/>
        <v>1.04</v>
      </c>
      <c r="D222" s="3020" t="s">
        <v>3932</v>
      </c>
      <c r="E222" s="24">
        <f t="shared" si="48"/>
        <v>0.94</v>
      </c>
      <c r="F222" s="3020" t="s">
        <v>3932</v>
      </c>
      <c r="G222" s="24">
        <f t="shared" si="49"/>
        <v>0.97</v>
      </c>
      <c r="H222" s="719" t="s">
        <v>3316</v>
      </c>
      <c r="I222" s="24">
        <f t="shared" si="50"/>
        <v>1</v>
      </c>
      <c r="J222" s="719"/>
      <c r="K222" s="24">
        <f t="shared" si="51"/>
        <v>1</v>
      </c>
      <c r="L222" s="719"/>
      <c r="M222" s="24">
        <f t="shared" si="52"/>
        <v>1</v>
      </c>
      <c r="N222" s="719"/>
      <c r="O222" s="24">
        <f t="shared" si="53"/>
        <v>1</v>
      </c>
      <c r="P222" s="719" t="s">
        <v>3927</v>
      </c>
      <c r="Q222" s="24">
        <f t="shared" si="54"/>
        <v>0.35</v>
      </c>
      <c r="R222" s="715">
        <f t="shared" ca="1" si="55"/>
        <v>14111</v>
      </c>
      <c r="S222" s="361">
        <f t="shared" ca="1" si="45"/>
        <v>114</v>
      </c>
      <c r="T222" s="799">
        <f>剩余房源售价清单!I203</f>
        <v>17143</v>
      </c>
      <c r="U222" s="799">
        <f t="shared" ca="1" si="46"/>
        <v>0.82313480720993992</v>
      </c>
    </row>
    <row r="223" spans="1:21">
      <c r="A223" s="2985" t="str">
        <f>清单!D202</f>
        <v>3-32</v>
      </c>
      <c r="B223" s="717">
        <f>清单!G202</f>
        <v>80.48</v>
      </c>
      <c r="C223" s="24">
        <f t="shared" si="47"/>
        <v>1.04</v>
      </c>
      <c r="D223" s="3020" t="s">
        <v>3932</v>
      </c>
      <c r="E223" s="24">
        <f t="shared" si="48"/>
        <v>0.94</v>
      </c>
      <c r="F223" s="3020" t="s">
        <v>3843</v>
      </c>
      <c r="G223" s="24">
        <f t="shared" si="49"/>
        <v>0.97</v>
      </c>
      <c r="H223" s="719" t="s">
        <v>3316</v>
      </c>
      <c r="I223" s="24">
        <f t="shared" si="50"/>
        <v>1</v>
      </c>
      <c r="J223" s="719"/>
      <c r="K223" s="24">
        <f t="shared" si="51"/>
        <v>1</v>
      </c>
      <c r="L223" s="719"/>
      <c r="M223" s="24">
        <f t="shared" si="52"/>
        <v>1</v>
      </c>
      <c r="N223" s="719"/>
      <c r="O223" s="24">
        <f t="shared" si="53"/>
        <v>1</v>
      </c>
      <c r="P223" s="719" t="s">
        <v>3927</v>
      </c>
      <c r="Q223" s="24">
        <f t="shared" si="54"/>
        <v>0.35</v>
      </c>
      <c r="R223" s="715">
        <f t="shared" ca="1" si="55"/>
        <v>14111</v>
      </c>
      <c r="S223" s="361">
        <f t="shared" ref="S223:S286" ca="1" si="56">ROUND(R223*B223/10000,0)</f>
        <v>114</v>
      </c>
      <c r="T223" s="799">
        <f>剩余房源售价清单!I204</f>
        <v>17345</v>
      </c>
      <c r="U223" s="799">
        <f t="shared" ca="1" si="46"/>
        <v>0.81354857307581441</v>
      </c>
    </row>
    <row r="224" spans="1:21">
      <c r="A224" s="2985" t="str">
        <f>清单!D203</f>
        <v>3-33</v>
      </c>
      <c r="B224" s="717">
        <f>清单!G203</f>
        <v>80.61</v>
      </c>
      <c r="C224" s="24">
        <f t="shared" si="47"/>
        <v>1.04</v>
      </c>
      <c r="D224" s="3020" t="s">
        <v>3932</v>
      </c>
      <c r="E224" s="24">
        <f t="shared" si="48"/>
        <v>0.94</v>
      </c>
      <c r="F224" s="3020" t="s">
        <v>3932</v>
      </c>
      <c r="G224" s="24">
        <f t="shared" si="49"/>
        <v>0.97</v>
      </c>
      <c r="H224" s="719" t="s">
        <v>3316</v>
      </c>
      <c r="I224" s="24">
        <f t="shared" si="50"/>
        <v>1</v>
      </c>
      <c r="J224" s="719"/>
      <c r="K224" s="24">
        <f t="shared" si="51"/>
        <v>1</v>
      </c>
      <c r="L224" s="719"/>
      <c r="M224" s="24">
        <f t="shared" si="52"/>
        <v>1</v>
      </c>
      <c r="N224" s="719"/>
      <c r="O224" s="24">
        <f t="shared" si="53"/>
        <v>1</v>
      </c>
      <c r="P224" s="719" t="s">
        <v>3927</v>
      </c>
      <c r="Q224" s="24">
        <f t="shared" si="54"/>
        <v>0.35</v>
      </c>
      <c r="R224" s="715">
        <f t="shared" ca="1" si="55"/>
        <v>14111</v>
      </c>
      <c r="S224" s="361">
        <f t="shared" ca="1" si="56"/>
        <v>114</v>
      </c>
      <c r="T224" s="799">
        <f>剩余房源售价清单!I205</f>
        <v>17548</v>
      </c>
      <c r="U224" s="799">
        <f t="shared" ca="1" si="46"/>
        <v>0.80413722361522677</v>
      </c>
    </row>
    <row r="225" spans="1:21">
      <c r="A225" s="2985" t="str">
        <f>清单!D204</f>
        <v>3-34</v>
      </c>
      <c r="B225" s="717">
        <f>清单!G204</f>
        <v>64.459999999999994</v>
      </c>
      <c r="C225" s="24">
        <f t="shared" si="47"/>
        <v>1.04</v>
      </c>
      <c r="D225" s="3020" t="s">
        <v>3932</v>
      </c>
      <c r="E225" s="24">
        <f t="shared" si="48"/>
        <v>0.94</v>
      </c>
      <c r="F225" s="3020" t="s">
        <v>3932</v>
      </c>
      <c r="G225" s="24">
        <f t="shared" si="49"/>
        <v>0.97</v>
      </c>
      <c r="H225" s="719" t="s">
        <v>3316</v>
      </c>
      <c r="I225" s="24">
        <f t="shared" si="50"/>
        <v>1</v>
      </c>
      <c r="J225" s="719"/>
      <c r="K225" s="24">
        <f t="shared" si="51"/>
        <v>1</v>
      </c>
      <c r="L225" s="719"/>
      <c r="M225" s="24">
        <f t="shared" si="52"/>
        <v>1</v>
      </c>
      <c r="N225" s="719"/>
      <c r="O225" s="24">
        <f t="shared" si="53"/>
        <v>1</v>
      </c>
      <c r="P225" s="719" t="s">
        <v>3927</v>
      </c>
      <c r="Q225" s="24">
        <f t="shared" si="54"/>
        <v>0.35</v>
      </c>
      <c r="R225" s="715">
        <f t="shared" ca="1" si="55"/>
        <v>14111</v>
      </c>
      <c r="S225" s="361">
        <f t="shared" ca="1" si="56"/>
        <v>91</v>
      </c>
      <c r="T225" s="799">
        <f>剩余房源售价清单!I206</f>
        <v>16716</v>
      </c>
      <c r="U225" s="799">
        <f t="shared" ca="1" si="46"/>
        <v>0.84416128260349366</v>
      </c>
    </row>
    <row r="226" spans="1:21">
      <c r="A226" s="2985" t="str">
        <f>清单!D205</f>
        <v>3-36</v>
      </c>
      <c r="B226" s="717">
        <f>清单!G205</f>
        <v>41.79</v>
      </c>
      <c r="C226" s="24">
        <f t="shared" si="47"/>
        <v>1.08</v>
      </c>
      <c r="D226" s="3020" t="s">
        <v>3932</v>
      </c>
      <c r="E226" s="24">
        <f t="shared" si="48"/>
        <v>0.94</v>
      </c>
      <c r="F226" s="3020" t="s">
        <v>3931</v>
      </c>
      <c r="G226" s="24">
        <f t="shared" si="49"/>
        <v>1</v>
      </c>
      <c r="H226" s="719" t="s">
        <v>3316</v>
      </c>
      <c r="I226" s="24">
        <f t="shared" si="50"/>
        <v>1</v>
      </c>
      <c r="J226" s="719"/>
      <c r="K226" s="24">
        <f t="shared" si="51"/>
        <v>1</v>
      </c>
      <c r="L226" s="719"/>
      <c r="M226" s="24">
        <f t="shared" si="52"/>
        <v>1</v>
      </c>
      <c r="N226" s="719"/>
      <c r="O226" s="24">
        <f t="shared" si="53"/>
        <v>1</v>
      </c>
      <c r="P226" s="719" t="s">
        <v>3927</v>
      </c>
      <c r="Q226" s="24">
        <f t="shared" si="54"/>
        <v>0.35</v>
      </c>
      <c r="R226" s="715">
        <f t="shared" ca="1" si="55"/>
        <v>15106</v>
      </c>
      <c r="S226" s="361">
        <f t="shared" ca="1" si="56"/>
        <v>63</v>
      </c>
      <c r="T226" s="799">
        <f>剩余房源售价清单!I207</f>
        <v>17585</v>
      </c>
      <c r="U226" s="799">
        <f t="shared" ca="1" si="46"/>
        <v>0.85902758032413984</v>
      </c>
    </row>
    <row r="227" spans="1:21">
      <c r="A227" s="2985" t="str">
        <f>清单!D206</f>
        <v>3-37</v>
      </c>
      <c r="B227" s="717">
        <f>清单!G206</f>
        <v>30.28</v>
      </c>
      <c r="C227" s="24">
        <f t="shared" si="47"/>
        <v>1.1000000000000001</v>
      </c>
      <c r="D227" s="3020" t="s">
        <v>3932</v>
      </c>
      <c r="E227" s="24">
        <f t="shared" si="48"/>
        <v>0.94</v>
      </c>
      <c r="F227" s="3020" t="s">
        <v>3931</v>
      </c>
      <c r="G227" s="24">
        <f t="shared" si="49"/>
        <v>1</v>
      </c>
      <c r="H227" s="719" t="s">
        <v>3316</v>
      </c>
      <c r="I227" s="24">
        <f t="shared" si="50"/>
        <v>1</v>
      </c>
      <c r="J227" s="719"/>
      <c r="K227" s="24">
        <f t="shared" si="51"/>
        <v>1</v>
      </c>
      <c r="L227" s="719"/>
      <c r="M227" s="24">
        <f t="shared" si="52"/>
        <v>1</v>
      </c>
      <c r="N227" s="719"/>
      <c r="O227" s="24">
        <f t="shared" si="53"/>
        <v>1</v>
      </c>
      <c r="P227" s="719" t="s">
        <v>3927</v>
      </c>
      <c r="Q227" s="24">
        <f t="shared" si="54"/>
        <v>0.35</v>
      </c>
      <c r="R227" s="715">
        <f t="shared" ca="1" si="55"/>
        <v>15386</v>
      </c>
      <c r="S227" s="361">
        <f t="shared" ca="1" si="56"/>
        <v>47</v>
      </c>
      <c r="T227" s="799">
        <f>剩余房源售价清单!I208</f>
        <v>22990</v>
      </c>
      <c r="U227" s="799">
        <f t="shared" ca="1" si="46"/>
        <v>0.66924749891257074</v>
      </c>
    </row>
    <row r="228" spans="1:21">
      <c r="A228" s="2985" t="str">
        <f>清单!D207</f>
        <v>3-38</v>
      </c>
      <c r="B228" s="717">
        <f>清单!G207</f>
        <v>128.06</v>
      </c>
      <c r="C228" s="24">
        <f t="shared" si="47"/>
        <v>1</v>
      </c>
      <c r="D228" s="3020" t="s">
        <v>3844</v>
      </c>
      <c r="E228" s="24">
        <f t="shared" si="48"/>
        <v>0.97</v>
      </c>
      <c r="F228" s="3020" t="s">
        <v>3930</v>
      </c>
      <c r="G228" s="24">
        <f t="shared" si="49"/>
        <v>1.03</v>
      </c>
      <c r="H228" s="719" t="s">
        <v>3316</v>
      </c>
      <c r="I228" s="24">
        <f t="shared" si="50"/>
        <v>1</v>
      </c>
      <c r="J228" s="719"/>
      <c r="K228" s="24">
        <f t="shared" si="51"/>
        <v>1</v>
      </c>
      <c r="L228" s="719"/>
      <c r="M228" s="24">
        <f t="shared" si="52"/>
        <v>1</v>
      </c>
      <c r="N228" s="719"/>
      <c r="O228" s="24">
        <f t="shared" si="53"/>
        <v>1</v>
      </c>
      <c r="P228" s="719" t="s">
        <v>3927</v>
      </c>
      <c r="Q228" s="24">
        <f t="shared" si="54"/>
        <v>0.35</v>
      </c>
      <c r="R228" s="715">
        <f t="shared" ca="1" si="55"/>
        <v>14867</v>
      </c>
      <c r="S228" s="361">
        <f t="shared" ca="1" si="56"/>
        <v>190</v>
      </c>
      <c r="T228" s="799">
        <f>剩余房源售价清单!I209</f>
        <v>17398</v>
      </c>
      <c r="U228" s="799">
        <f t="shared" ca="1" si="46"/>
        <v>0.85452350844924707</v>
      </c>
    </row>
    <row r="229" spans="1:21">
      <c r="A229" s="2985" t="str">
        <f>清单!D208</f>
        <v>3-39</v>
      </c>
      <c r="B229" s="717">
        <f>清单!G208</f>
        <v>82.58</v>
      </c>
      <c r="C229" s="24">
        <f t="shared" si="47"/>
        <v>1.04</v>
      </c>
      <c r="D229" s="3020" t="s">
        <v>3932</v>
      </c>
      <c r="E229" s="24">
        <f t="shared" si="48"/>
        <v>0.94</v>
      </c>
      <c r="F229" s="3020" t="s">
        <v>3932</v>
      </c>
      <c r="G229" s="24">
        <f t="shared" si="49"/>
        <v>0.97</v>
      </c>
      <c r="H229" s="719" t="s">
        <v>3316</v>
      </c>
      <c r="I229" s="24">
        <f t="shared" si="50"/>
        <v>1</v>
      </c>
      <c r="J229" s="719"/>
      <c r="K229" s="24">
        <f t="shared" si="51"/>
        <v>1</v>
      </c>
      <c r="L229" s="719"/>
      <c r="M229" s="24">
        <f t="shared" si="52"/>
        <v>1</v>
      </c>
      <c r="N229" s="719"/>
      <c r="O229" s="24">
        <f t="shared" si="53"/>
        <v>1</v>
      </c>
      <c r="P229" s="719" t="s">
        <v>3927</v>
      </c>
      <c r="Q229" s="24">
        <f t="shared" si="54"/>
        <v>0.35</v>
      </c>
      <c r="R229" s="715">
        <f t="shared" ca="1" si="55"/>
        <v>14111</v>
      </c>
      <c r="S229" s="361">
        <f t="shared" ca="1" si="56"/>
        <v>117</v>
      </c>
      <c r="T229" s="799">
        <f>剩余房源售价清单!I210</f>
        <v>15395</v>
      </c>
      <c r="U229" s="799">
        <f t="shared" ca="1" si="46"/>
        <v>0.91659629749918803</v>
      </c>
    </row>
    <row r="230" spans="1:21">
      <c r="A230" s="2985" t="str">
        <f>清单!D209</f>
        <v>3-40</v>
      </c>
      <c r="B230" s="717">
        <f>清单!G209</f>
        <v>90.04</v>
      </c>
      <c r="C230" s="24">
        <f t="shared" si="47"/>
        <v>1.02</v>
      </c>
      <c r="D230" s="3020" t="s">
        <v>3932</v>
      </c>
      <c r="E230" s="24">
        <f t="shared" si="48"/>
        <v>0.94</v>
      </c>
      <c r="F230" s="3020" t="s">
        <v>3931</v>
      </c>
      <c r="G230" s="24">
        <f t="shared" si="49"/>
        <v>1</v>
      </c>
      <c r="H230" s="719" t="s">
        <v>3316</v>
      </c>
      <c r="I230" s="24">
        <f t="shared" si="50"/>
        <v>1</v>
      </c>
      <c r="J230" s="719"/>
      <c r="K230" s="24">
        <f t="shared" si="51"/>
        <v>1</v>
      </c>
      <c r="L230" s="719"/>
      <c r="M230" s="24">
        <f t="shared" si="52"/>
        <v>1</v>
      </c>
      <c r="N230" s="719"/>
      <c r="O230" s="24">
        <f t="shared" si="53"/>
        <v>1</v>
      </c>
      <c r="P230" s="719" t="s">
        <v>3927</v>
      </c>
      <c r="Q230" s="24">
        <f t="shared" si="54"/>
        <v>0.35</v>
      </c>
      <c r="R230" s="715">
        <f t="shared" ca="1" si="55"/>
        <v>14267</v>
      </c>
      <c r="S230" s="361">
        <f t="shared" ca="1" si="56"/>
        <v>128</v>
      </c>
      <c r="T230" s="799">
        <f>剩余房源售价清单!I211</f>
        <v>14921</v>
      </c>
      <c r="U230" s="799">
        <f t="shared" ca="1" si="46"/>
        <v>0.95616915756316601</v>
      </c>
    </row>
    <row r="231" spans="1:21">
      <c r="A231" s="2985" t="str">
        <f>清单!D210</f>
        <v>3-41</v>
      </c>
      <c r="B231" s="717">
        <f>清单!G210</f>
        <v>85.25</v>
      </c>
      <c r="C231" s="24">
        <f t="shared" si="47"/>
        <v>1.04</v>
      </c>
      <c r="D231" s="3020" t="s">
        <v>3932</v>
      </c>
      <c r="E231" s="24">
        <f t="shared" si="48"/>
        <v>0.94</v>
      </c>
      <c r="F231" s="3020" t="s">
        <v>3932</v>
      </c>
      <c r="G231" s="24">
        <f t="shared" si="49"/>
        <v>0.97</v>
      </c>
      <c r="H231" s="719" t="s">
        <v>3316</v>
      </c>
      <c r="I231" s="24">
        <f t="shared" si="50"/>
        <v>1</v>
      </c>
      <c r="J231" s="719"/>
      <c r="K231" s="24">
        <f t="shared" si="51"/>
        <v>1</v>
      </c>
      <c r="L231" s="719"/>
      <c r="M231" s="24">
        <f t="shared" si="52"/>
        <v>1</v>
      </c>
      <c r="N231" s="719"/>
      <c r="O231" s="24">
        <f t="shared" si="53"/>
        <v>1</v>
      </c>
      <c r="P231" s="719" t="s">
        <v>3927</v>
      </c>
      <c r="Q231" s="24">
        <f t="shared" si="54"/>
        <v>0.35</v>
      </c>
      <c r="R231" s="715">
        <f t="shared" ca="1" si="55"/>
        <v>14111</v>
      </c>
      <c r="S231" s="361">
        <f t="shared" ca="1" si="56"/>
        <v>120</v>
      </c>
      <c r="T231" s="799">
        <f>剩余房源售价清单!I212</f>
        <v>14127</v>
      </c>
      <c r="U231" s="799">
        <f t="shared" ca="1" si="46"/>
        <v>0.99886741700290227</v>
      </c>
    </row>
    <row r="232" spans="1:21">
      <c r="A232" s="2985" t="str">
        <f>清单!D211</f>
        <v>3-42</v>
      </c>
      <c r="B232" s="717">
        <f>清单!G211</f>
        <v>80.59</v>
      </c>
      <c r="C232" s="24">
        <f t="shared" si="47"/>
        <v>1.04</v>
      </c>
      <c r="D232" s="3020" t="s">
        <v>3932</v>
      </c>
      <c r="E232" s="24">
        <f t="shared" si="48"/>
        <v>0.94</v>
      </c>
      <c r="F232" s="3020" t="s">
        <v>3932</v>
      </c>
      <c r="G232" s="24">
        <f t="shared" si="49"/>
        <v>0.97</v>
      </c>
      <c r="H232" s="719" t="s">
        <v>3316</v>
      </c>
      <c r="I232" s="24">
        <f t="shared" si="50"/>
        <v>1</v>
      </c>
      <c r="J232" s="719"/>
      <c r="K232" s="24">
        <f t="shared" si="51"/>
        <v>1</v>
      </c>
      <c r="L232" s="719"/>
      <c r="M232" s="24">
        <f t="shared" si="52"/>
        <v>1</v>
      </c>
      <c r="N232" s="719"/>
      <c r="O232" s="24">
        <f t="shared" si="53"/>
        <v>1</v>
      </c>
      <c r="P232" s="719" t="s">
        <v>3927</v>
      </c>
      <c r="Q232" s="24">
        <f t="shared" si="54"/>
        <v>0.35</v>
      </c>
      <c r="R232" s="715">
        <f t="shared" ca="1" si="55"/>
        <v>14111</v>
      </c>
      <c r="S232" s="361">
        <f t="shared" ca="1" si="56"/>
        <v>114</v>
      </c>
      <c r="T232" s="799">
        <f>剩余房源售价清单!I213</f>
        <v>13907</v>
      </c>
      <c r="U232" s="799">
        <f t="shared" ca="1" si="46"/>
        <v>1.0146688717911843</v>
      </c>
    </row>
    <row r="233" spans="1:21">
      <c r="A233" s="2985" t="str">
        <f>清单!D212</f>
        <v>3-44</v>
      </c>
      <c r="B233" s="717">
        <f>清单!G212</f>
        <v>94.2</v>
      </c>
      <c r="C233" s="24">
        <f t="shared" si="47"/>
        <v>1.02</v>
      </c>
      <c r="D233" s="3020" t="s">
        <v>3932</v>
      </c>
      <c r="E233" s="24">
        <f t="shared" si="48"/>
        <v>0.94</v>
      </c>
      <c r="F233" s="3020" t="s">
        <v>3932</v>
      </c>
      <c r="G233" s="24">
        <f t="shared" si="49"/>
        <v>0.97</v>
      </c>
      <c r="H233" s="719" t="s">
        <v>3316</v>
      </c>
      <c r="I233" s="24">
        <f t="shared" si="50"/>
        <v>1</v>
      </c>
      <c r="J233" s="719"/>
      <c r="K233" s="24">
        <f t="shared" si="51"/>
        <v>1</v>
      </c>
      <c r="L233" s="719"/>
      <c r="M233" s="24">
        <f t="shared" si="52"/>
        <v>1</v>
      </c>
      <c r="N233" s="719"/>
      <c r="O233" s="24">
        <f t="shared" si="53"/>
        <v>1</v>
      </c>
      <c r="P233" s="719" t="s">
        <v>3927</v>
      </c>
      <c r="Q233" s="24">
        <f t="shared" si="54"/>
        <v>0.35</v>
      </c>
      <c r="R233" s="715">
        <f t="shared" ca="1" si="55"/>
        <v>13839</v>
      </c>
      <c r="S233" s="361">
        <f t="shared" ca="1" si="56"/>
        <v>130</v>
      </c>
      <c r="T233" s="799">
        <f>剩余房源售价清单!I214</f>
        <v>14684</v>
      </c>
      <c r="U233" s="799">
        <f t="shared" ca="1" si="46"/>
        <v>0.94245437210569327</v>
      </c>
    </row>
    <row r="234" spans="1:21">
      <c r="A234" s="2985" t="str">
        <f>清单!D213</f>
        <v>3-45</v>
      </c>
      <c r="B234" s="717">
        <f>清单!G213</f>
        <v>90.14</v>
      </c>
      <c r="C234" s="24">
        <f t="shared" si="47"/>
        <v>1.02</v>
      </c>
      <c r="D234" s="3020" t="s">
        <v>3932</v>
      </c>
      <c r="E234" s="24">
        <f t="shared" si="48"/>
        <v>0.94</v>
      </c>
      <c r="F234" s="3020" t="s">
        <v>3932</v>
      </c>
      <c r="G234" s="24">
        <f t="shared" si="49"/>
        <v>0.97</v>
      </c>
      <c r="H234" s="719" t="s">
        <v>3316</v>
      </c>
      <c r="I234" s="24">
        <f t="shared" si="50"/>
        <v>1</v>
      </c>
      <c r="J234" s="719"/>
      <c r="K234" s="24">
        <f t="shared" si="51"/>
        <v>1</v>
      </c>
      <c r="L234" s="719"/>
      <c r="M234" s="24">
        <f t="shared" si="52"/>
        <v>1</v>
      </c>
      <c r="N234" s="719"/>
      <c r="O234" s="24">
        <f t="shared" si="53"/>
        <v>1</v>
      </c>
      <c r="P234" s="719" t="s">
        <v>3927</v>
      </c>
      <c r="Q234" s="24">
        <f t="shared" si="54"/>
        <v>0.35</v>
      </c>
      <c r="R234" s="715">
        <f t="shared" ca="1" si="55"/>
        <v>13839</v>
      </c>
      <c r="S234" s="361">
        <f t="shared" ca="1" si="56"/>
        <v>125</v>
      </c>
      <c r="T234" s="799">
        <f>剩余房源售价清单!I215</f>
        <v>14404</v>
      </c>
      <c r="U234" s="799">
        <f t="shared" ca="1" si="46"/>
        <v>0.96077478478200495</v>
      </c>
    </row>
    <row r="235" spans="1:21">
      <c r="A235" s="2985" t="str">
        <f>清单!D214</f>
        <v>3-46</v>
      </c>
      <c r="B235" s="717">
        <f>清单!G214</f>
        <v>107.81</v>
      </c>
      <c r="C235" s="24">
        <f t="shared" si="47"/>
        <v>1.02</v>
      </c>
      <c r="D235" s="3020" t="s">
        <v>3932</v>
      </c>
      <c r="E235" s="24">
        <f t="shared" si="48"/>
        <v>0.94</v>
      </c>
      <c r="F235" s="3020" t="s">
        <v>3932</v>
      </c>
      <c r="G235" s="24">
        <f t="shared" si="49"/>
        <v>0.97</v>
      </c>
      <c r="H235" s="719" t="s">
        <v>3316</v>
      </c>
      <c r="I235" s="24">
        <f t="shared" si="50"/>
        <v>1</v>
      </c>
      <c r="J235" s="719"/>
      <c r="K235" s="24">
        <f t="shared" si="51"/>
        <v>1</v>
      </c>
      <c r="L235" s="719"/>
      <c r="M235" s="24">
        <f t="shared" si="52"/>
        <v>1</v>
      </c>
      <c r="N235" s="719"/>
      <c r="O235" s="24">
        <f t="shared" si="53"/>
        <v>1</v>
      </c>
      <c r="P235" s="719" t="s">
        <v>3927</v>
      </c>
      <c r="Q235" s="24">
        <f t="shared" si="54"/>
        <v>0.35</v>
      </c>
      <c r="R235" s="715">
        <f t="shared" ca="1" si="55"/>
        <v>13839</v>
      </c>
      <c r="S235" s="361">
        <f t="shared" ca="1" si="56"/>
        <v>149</v>
      </c>
      <c r="T235" s="799">
        <f>剩余房源售价清单!I216</f>
        <v>14320</v>
      </c>
      <c r="U235" s="799">
        <f t="shared" ca="1" si="46"/>
        <v>0.96641061452513966</v>
      </c>
    </row>
    <row r="236" spans="1:21">
      <c r="A236" s="2985" t="str">
        <f>清单!D215</f>
        <v>3-47</v>
      </c>
      <c r="B236" s="717">
        <f>清单!G215</f>
        <v>97.92</v>
      </c>
      <c r="C236" s="24">
        <f t="shared" si="47"/>
        <v>1.02</v>
      </c>
      <c r="D236" s="3020" t="s">
        <v>3932</v>
      </c>
      <c r="E236" s="24">
        <f t="shared" si="48"/>
        <v>0.94</v>
      </c>
      <c r="F236" s="3020" t="s">
        <v>3932</v>
      </c>
      <c r="G236" s="24">
        <f t="shared" si="49"/>
        <v>0.97</v>
      </c>
      <c r="H236" s="719" t="s">
        <v>3316</v>
      </c>
      <c r="I236" s="24">
        <f t="shared" si="50"/>
        <v>1</v>
      </c>
      <c r="J236" s="719"/>
      <c r="K236" s="24">
        <f t="shared" si="51"/>
        <v>1</v>
      </c>
      <c r="L236" s="719"/>
      <c r="M236" s="24">
        <f t="shared" si="52"/>
        <v>1</v>
      </c>
      <c r="N236" s="719"/>
      <c r="O236" s="24">
        <f t="shared" si="53"/>
        <v>1</v>
      </c>
      <c r="P236" s="719" t="s">
        <v>3927</v>
      </c>
      <c r="Q236" s="24">
        <f t="shared" si="54"/>
        <v>0.35</v>
      </c>
      <c r="R236" s="715">
        <f t="shared" ca="1" si="55"/>
        <v>13839</v>
      </c>
      <c r="S236" s="361">
        <f t="shared" ca="1" si="56"/>
        <v>136</v>
      </c>
      <c r="T236" s="799">
        <f>剩余房源售价清单!I217</f>
        <v>16974</v>
      </c>
      <c r="U236" s="799">
        <f t="shared" ca="1" si="46"/>
        <v>0.81530576175326974</v>
      </c>
    </row>
    <row r="237" spans="1:21">
      <c r="A237" s="2985" t="str">
        <f>清单!D216</f>
        <v>3-48</v>
      </c>
      <c r="B237" s="717">
        <f>清单!G216</f>
        <v>79.849999999999994</v>
      </c>
      <c r="C237" s="24">
        <f t="shared" si="47"/>
        <v>1.04</v>
      </c>
      <c r="D237" s="3020" t="s">
        <v>3932</v>
      </c>
      <c r="E237" s="24">
        <f t="shared" si="48"/>
        <v>0.94</v>
      </c>
      <c r="F237" s="3020" t="s">
        <v>3932</v>
      </c>
      <c r="G237" s="24">
        <f t="shared" si="49"/>
        <v>0.97</v>
      </c>
      <c r="H237" s="719" t="s">
        <v>3316</v>
      </c>
      <c r="I237" s="24">
        <f t="shared" si="50"/>
        <v>1</v>
      </c>
      <c r="J237" s="719"/>
      <c r="K237" s="24">
        <f t="shared" si="51"/>
        <v>1</v>
      </c>
      <c r="L237" s="719"/>
      <c r="M237" s="24">
        <f t="shared" si="52"/>
        <v>1</v>
      </c>
      <c r="N237" s="719"/>
      <c r="O237" s="24">
        <f t="shared" si="53"/>
        <v>1</v>
      </c>
      <c r="P237" s="719" t="s">
        <v>3927</v>
      </c>
      <c r="Q237" s="24">
        <f t="shared" si="54"/>
        <v>0.35</v>
      </c>
      <c r="R237" s="715">
        <f t="shared" ca="1" si="55"/>
        <v>14111</v>
      </c>
      <c r="S237" s="361">
        <f t="shared" ca="1" si="56"/>
        <v>113</v>
      </c>
      <c r="T237" s="799">
        <f>剩余房源售价清单!I218</f>
        <v>14598</v>
      </c>
      <c r="U237" s="799">
        <f t="shared" ca="1" si="46"/>
        <v>0.9666392656528292</v>
      </c>
    </row>
    <row r="238" spans="1:21">
      <c r="A238" s="2985" t="str">
        <f>清单!D217</f>
        <v>3-49</v>
      </c>
      <c r="B238" s="717">
        <f>清单!G217</f>
        <v>87.76</v>
      </c>
      <c r="C238" s="24">
        <f t="shared" si="47"/>
        <v>1.04</v>
      </c>
      <c r="D238" s="3020" t="s">
        <v>3932</v>
      </c>
      <c r="E238" s="24">
        <f t="shared" si="48"/>
        <v>0.94</v>
      </c>
      <c r="F238" s="3020" t="s">
        <v>3932</v>
      </c>
      <c r="G238" s="24">
        <f t="shared" si="49"/>
        <v>0.97</v>
      </c>
      <c r="H238" s="719" t="s">
        <v>3316</v>
      </c>
      <c r="I238" s="24">
        <f t="shared" si="50"/>
        <v>1</v>
      </c>
      <c r="J238" s="719"/>
      <c r="K238" s="24">
        <f t="shared" si="51"/>
        <v>1</v>
      </c>
      <c r="L238" s="719"/>
      <c r="M238" s="24">
        <f t="shared" si="52"/>
        <v>1</v>
      </c>
      <c r="N238" s="719"/>
      <c r="O238" s="24">
        <f t="shared" si="53"/>
        <v>1</v>
      </c>
      <c r="P238" s="719" t="s">
        <v>3927</v>
      </c>
      <c r="Q238" s="24">
        <f t="shared" si="54"/>
        <v>0.35</v>
      </c>
      <c r="R238" s="715">
        <f t="shared" ca="1" si="55"/>
        <v>14111</v>
      </c>
      <c r="S238" s="361">
        <f t="shared" ca="1" si="56"/>
        <v>124</v>
      </c>
      <c r="T238" s="799">
        <f>剩余房源售价清单!I219</f>
        <v>16789</v>
      </c>
      <c r="U238" s="799">
        <f t="shared" ca="1" si="46"/>
        <v>0.8404907975460123</v>
      </c>
    </row>
    <row r="239" spans="1:21">
      <c r="A239" s="2985" t="str">
        <f>清单!D218</f>
        <v>3-51</v>
      </c>
      <c r="B239" s="717">
        <f>清单!G218</f>
        <v>53.87</v>
      </c>
      <c r="C239" s="24">
        <f t="shared" si="47"/>
        <v>1.06</v>
      </c>
      <c r="D239" s="3020" t="s">
        <v>3932</v>
      </c>
      <c r="E239" s="24">
        <f t="shared" si="48"/>
        <v>0.94</v>
      </c>
      <c r="F239" s="3020" t="s">
        <v>3932</v>
      </c>
      <c r="G239" s="24">
        <f t="shared" si="49"/>
        <v>0.97</v>
      </c>
      <c r="H239" s="719" t="s">
        <v>3316</v>
      </c>
      <c r="I239" s="24">
        <f t="shared" si="50"/>
        <v>1</v>
      </c>
      <c r="J239" s="719"/>
      <c r="K239" s="24">
        <f t="shared" si="51"/>
        <v>1</v>
      </c>
      <c r="L239" s="719"/>
      <c r="M239" s="24">
        <f t="shared" si="52"/>
        <v>1</v>
      </c>
      <c r="N239" s="719"/>
      <c r="O239" s="24">
        <f t="shared" si="53"/>
        <v>1</v>
      </c>
      <c r="P239" s="719" t="s">
        <v>3927</v>
      </c>
      <c r="Q239" s="24">
        <f t="shared" si="54"/>
        <v>0.35</v>
      </c>
      <c r="R239" s="715">
        <f t="shared" ca="1" si="55"/>
        <v>14382</v>
      </c>
      <c r="S239" s="361">
        <f t="shared" ca="1" si="56"/>
        <v>77</v>
      </c>
      <c r="T239" s="799">
        <f>剩余房源售价清单!I220</f>
        <v>18788</v>
      </c>
      <c r="U239" s="799">
        <f t="shared" ca="1" si="46"/>
        <v>0.76548860975090482</v>
      </c>
    </row>
    <row r="240" spans="1:21">
      <c r="A240" s="2985" t="str">
        <f>清单!D219</f>
        <v>3-52</v>
      </c>
      <c r="B240" s="717">
        <f>清单!G219</f>
        <v>68.209999999999994</v>
      </c>
      <c r="C240" s="24">
        <f t="shared" si="47"/>
        <v>1.04</v>
      </c>
      <c r="D240" s="3020" t="s">
        <v>3932</v>
      </c>
      <c r="E240" s="24">
        <f t="shared" si="48"/>
        <v>0.94</v>
      </c>
      <c r="F240" s="3020" t="s">
        <v>3932</v>
      </c>
      <c r="G240" s="24">
        <f t="shared" si="49"/>
        <v>0.97</v>
      </c>
      <c r="H240" s="719" t="s">
        <v>3316</v>
      </c>
      <c r="I240" s="24">
        <f t="shared" si="50"/>
        <v>1</v>
      </c>
      <c r="J240" s="719"/>
      <c r="K240" s="24">
        <f t="shared" si="51"/>
        <v>1</v>
      </c>
      <c r="L240" s="719"/>
      <c r="M240" s="24">
        <f t="shared" si="52"/>
        <v>1</v>
      </c>
      <c r="N240" s="719"/>
      <c r="O240" s="24">
        <f t="shared" si="53"/>
        <v>1</v>
      </c>
      <c r="P240" s="719" t="s">
        <v>3927</v>
      </c>
      <c r="Q240" s="24">
        <f t="shared" si="54"/>
        <v>0.35</v>
      </c>
      <c r="R240" s="715">
        <f t="shared" ca="1" si="55"/>
        <v>14111</v>
      </c>
      <c r="S240" s="361">
        <f t="shared" ca="1" si="56"/>
        <v>96</v>
      </c>
      <c r="T240" s="799">
        <f>剩余房源售价清单!I221</f>
        <v>18392</v>
      </c>
      <c r="U240" s="799">
        <f t="shared" ca="1" si="46"/>
        <v>0.76723575467594607</v>
      </c>
    </row>
    <row r="241" spans="1:21">
      <c r="A241" s="2985" t="str">
        <f>清单!D220</f>
        <v>3-60</v>
      </c>
      <c r="B241" s="717">
        <f>清单!G220</f>
        <v>93.72</v>
      </c>
      <c r="C241" s="24">
        <f t="shared" si="47"/>
        <v>1.02</v>
      </c>
      <c r="D241" s="3020" t="s">
        <v>3932</v>
      </c>
      <c r="E241" s="24">
        <f t="shared" si="48"/>
        <v>0.94</v>
      </c>
      <c r="F241" s="3020" t="s">
        <v>3930</v>
      </c>
      <c r="G241" s="24">
        <f t="shared" si="49"/>
        <v>1.03</v>
      </c>
      <c r="H241" s="719" t="s">
        <v>3316</v>
      </c>
      <c r="I241" s="24">
        <f t="shared" si="50"/>
        <v>1</v>
      </c>
      <c r="J241" s="719"/>
      <c r="K241" s="24">
        <f t="shared" si="51"/>
        <v>1</v>
      </c>
      <c r="L241" s="719"/>
      <c r="M241" s="24">
        <f t="shared" si="52"/>
        <v>1</v>
      </c>
      <c r="N241" s="719"/>
      <c r="O241" s="24">
        <f t="shared" si="53"/>
        <v>1</v>
      </c>
      <c r="P241" s="719" t="s">
        <v>3927</v>
      </c>
      <c r="Q241" s="24">
        <f t="shared" si="54"/>
        <v>0.35</v>
      </c>
      <c r="R241" s="715">
        <f t="shared" ca="1" si="55"/>
        <v>14695</v>
      </c>
      <c r="S241" s="361">
        <f t="shared" ca="1" si="56"/>
        <v>138</v>
      </c>
      <c r="T241" s="799">
        <f>剩余房源售价清单!I222</f>
        <v>22789</v>
      </c>
      <c r="U241" s="799">
        <f t="shared" ca="1" si="46"/>
        <v>0.64482864539909601</v>
      </c>
    </row>
    <row r="242" spans="1:21">
      <c r="A242" s="2985" t="str">
        <f>清单!D221</f>
        <v>3-61</v>
      </c>
      <c r="B242" s="717">
        <f>清单!G221</f>
        <v>66.92</v>
      </c>
      <c r="C242" s="24">
        <f t="shared" si="47"/>
        <v>1.04</v>
      </c>
      <c r="D242" s="3020" t="s">
        <v>3932</v>
      </c>
      <c r="E242" s="24">
        <f t="shared" si="48"/>
        <v>0.94</v>
      </c>
      <c r="F242" s="3020" t="s">
        <v>3932</v>
      </c>
      <c r="G242" s="24">
        <f t="shared" si="49"/>
        <v>0.97</v>
      </c>
      <c r="H242" s="719" t="s">
        <v>3316</v>
      </c>
      <c r="I242" s="24">
        <f t="shared" si="50"/>
        <v>1</v>
      </c>
      <c r="J242" s="719"/>
      <c r="K242" s="24">
        <f t="shared" si="51"/>
        <v>1</v>
      </c>
      <c r="L242" s="719"/>
      <c r="M242" s="24">
        <f t="shared" si="52"/>
        <v>1</v>
      </c>
      <c r="N242" s="719"/>
      <c r="O242" s="24">
        <f t="shared" si="53"/>
        <v>1</v>
      </c>
      <c r="P242" s="719" t="s">
        <v>3927</v>
      </c>
      <c r="Q242" s="24">
        <f t="shared" si="54"/>
        <v>0.35</v>
      </c>
      <c r="R242" s="715">
        <f t="shared" ca="1" si="55"/>
        <v>14111</v>
      </c>
      <c r="S242" s="361">
        <f t="shared" ca="1" si="56"/>
        <v>94</v>
      </c>
      <c r="T242" s="799">
        <f>剩余房源售价清单!I223</f>
        <v>18261</v>
      </c>
      <c r="U242" s="799">
        <f t="shared" ca="1" si="46"/>
        <v>0.77273971852582002</v>
      </c>
    </row>
    <row r="243" spans="1:21">
      <c r="A243" s="2985" t="str">
        <f>清单!D222</f>
        <v>3-62</v>
      </c>
      <c r="B243" s="717">
        <f>清单!G222</f>
        <v>67.459999999999994</v>
      </c>
      <c r="C243" s="24">
        <f t="shared" si="47"/>
        <v>1.04</v>
      </c>
      <c r="D243" s="3020" t="s">
        <v>3932</v>
      </c>
      <c r="E243" s="24">
        <f t="shared" si="48"/>
        <v>0.94</v>
      </c>
      <c r="F243" s="3020" t="s">
        <v>3932</v>
      </c>
      <c r="G243" s="24">
        <f t="shared" si="49"/>
        <v>0.97</v>
      </c>
      <c r="H243" s="719" t="s">
        <v>3316</v>
      </c>
      <c r="I243" s="24">
        <f t="shared" si="50"/>
        <v>1</v>
      </c>
      <c r="J243" s="719"/>
      <c r="K243" s="24">
        <f t="shared" si="51"/>
        <v>1</v>
      </c>
      <c r="L243" s="719"/>
      <c r="M243" s="24">
        <f t="shared" si="52"/>
        <v>1</v>
      </c>
      <c r="N243" s="719"/>
      <c r="O243" s="24">
        <f t="shared" si="53"/>
        <v>1</v>
      </c>
      <c r="P243" s="719" t="s">
        <v>3927</v>
      </c>
      <c r="Q243" s="24">
        <f t="shared" si="54"/>
        <v>0.35</v>
      </c>
      <c r="R243" s="715">
        <f t="shared" ca="1" si="55"/>
        <v>14111</v>
      </c>
      <c r="S243" s="361">
        <f t="shared" ca="1" si="56"/>
        <v>95</v>
      </c>
      <c r="T243" s="799">
        <f>剩余房源售价清单!I224</f>
        <v>16773</v>
      </c>
      <c r="U243" s="799">
        <f t="shared" ca="1" si="46"/>
        <v>0.84129255350861498</v>
      </c>
    </row>
    <row r="244" spans="1:21">
      <c r="A244" s="2985" t="str">
        <f>清单!D223</f>
        <v>3-64</v>
      </c>
      <c r="B244" s="717">
        <f>清单!G223</f>
        <v>67.459999999999994</v>
      </c>
      <c r="C244" s="24">
        <f t="shared" si="47"/>
        <v>1.04</v>
      </c>
      <c r="D244" s="3020" t="s">
        <v>3932</v>
      </c>
      <c r="E244" s="24">
        <f t="shared" si="48"/>
        <v>0.94</v>
      </c>
      <c r="F244" s="3020" t="s">
        <v>3932</v>
      </c>
      <c r="G244" s="24">
        <f t="shared" si="49"/>
        <v>0.97</v>
      </c>
      <c r="H244" s="719" t="s">
        <v>3316</v>
      </c>
      <c r="I244" s="24">
        <f t="shared" si="50"/>
        <v>1</v>
      </c>
      <c r="J244" s="719"/>
      <c r="K244" s="24">
        <f t="shared" si="51"/>
        <v>1</v>
      </c>
      <c r="L244" s="719"/>
      <c r="M244" s="24">
        <f t="shared" si="52"/>
        <v>1</v>
      </c>
      <c r="N244" s="719"/>
      <c r="O244" s="24">
        <f t="shared" si="53"/>
        <v>1</v>
      </c>
      <c r="P244" s="719" t="s">
        <v>3927</v>
      </c>
      <c r="Q244" s="24">
        <f t="shared" si="54"/>
        <v>0.35</v>
      </c>
      <c r="R244" s="715">
        <f t="shared" ca="1" si="55"/>
        <v>14111</v>
      </c>
      <c r="S244" s="361">
        <f t="shared" ca="1" si="56"/>
        <v>95</v>
      </c>
      <c r="T244" s="799">
        <f>剩余房源售价清单!I225</f>
        <v>17179</v>
      </c>
      <c r="U244" s="799">
        <f t="shared" ca="1" si="46"/>
        <v>0.82140986087665169</v>
      </c>
    </row>
    <row r="245" spans="1:21">
      <c r="A245" s="2985" t="str">
        <f>清单!D224</f>
        <v>3-65</v>
      </c>
      <c r="B245" s="717">
        <f>清单!G224</f>
        <v>50.69</v>
      </c>
      <c r="C245" s="24">
        <f t="shared" si="47"/>
        <v>1.06</v>
      </c>
      <c r="D245" s="3020" t="s">
        <v>3932</v>
      </c>
      <c r="E245" s="24">
        <f t="shared" si="48"/>
        <v>0.94</v>
      </c>
      <c r="F245" s="3020" t="s">
        <v>3932</v>
      </c>
      <c r="G245" s="24">
        <f t="shared" si="49"/>
        <v>0.97</v>
      </c>
      <c r="H245" s="719" t="s">
        <v>3316</v>
      </c>
      <c r="I245" s="24">
        <f t="shared" si="50"/>
        <v>1</v>
      </c>
      <c r="J245" s="719"/>
      <c r="K245" s="24">
        <f t="shared" si="51"/>
        <v>1</v>
      </c>
      <c r="L245" s="719"/>
      <c r="M245" s="24">
        <f t="shared" si="52"/>
        <v>1</v>
      </c>
      <c r="N245" s="719"/>
      <c r="O245" s="24">
        <f t="shared" si="53"/>
        <v>1</v>
      </c>
      <c r="P245" s="719" t="s">
        <v>3927</v>
      </c>
      <c r="Q245" s="24">
        <f t="shared" si="54"/>
        <v>0.35</v>
      </c>
      <c r="R245" s="715">
        <f t="shared" ca="1" si="55"/>
        <v>14382</v>
      </c>
      <c r="S245" s="361">
        <f t="shared" ca="1" si="56"/>
        <v>73</v>
      </c>
      <c r="T245" s="799">
        <f>剩余房源售价清单!I226</f>
        <v>20089</v>
      </c>
      <c r="U245" s="799">
        <f t="shared" ca="1" si="46"/>
        <v>0.71591418189058686</v>
      </c>
    </row>
    <row r="246" spans="1:21">
      <c r="A246" s="2985" t="str">
        <f>清单!D225</f>
        <v>3-69</v>
      </c>
      <c r="B246" s="717">
        <f>清单!G225</f>
        <v>78.11</v>
      </c>
      <c r="C246" s="24">
        <f t="shared" si="47"/>
        <v>1.04</v>
      </c>
      <c r="D246" s="3020" t="s">
        <v>3932</v>
      </c>
      <c r="E246" s="24">
        <f t="shared" si="48"/>
        <v>0.94</v>
      </c>
      <c r="F246" s="3020" t="s">
        <v>3932</v>
      </c>
      <c r="G246" s="24">
        <f t="shared" si="49"/>
        <v>0.97</v>
      </c>
      <c r="H246" s="719" t="s">
        <v>3316</v>
      </c>
      <c r="I246" s="24">
        <f t="shared" si="50"/>
        <v>1</v>
      </c>
      <c r="J246" s="719"/>
      <c r="K246" s="24">
        <f t="shared" si="51"/>
        <v>1</v>
      </c>
      <c r="L246" s="719"/>
      <c r="M246" s="24">
        <f t="shared" si="52"/>
        <v>1</v>
      </c>
      <c r="N246" s="719"/>
      <c r="O246" s="24">
        <f t="shared" si="53"/>
        <v>1</v>
      </c>
      <c r="P246" s="719" t="s">
        <v>3927</v>
      </c>
      <c r="Q246" s="24">
        <f t="shared" si="54"/>
        <v>0.35</v>
      </c>
      <c r="R246" s="715">
        <f t="shared" ca="1" si="55"/>
        <v>14111</v>
      </c>
      <c r="S246" s="361">
        <f t="shared" ca="1" si="56"/>
        <v>110</v>
      </c>
      <c r="T246" s="799">
        <f>剩余房源售价清单!I227</f>
        <v>16688</v>
      </c>
      <c r="U246" s="799">
        <f t="shared" ca="1" si="46"/>
        <v>0.84557766059443917</v>
      </c>
    </row>
    <row r="247" spans="1:21">
      <c r="A247" s="2985" t="str">
        <f>清单!D226</f>
        <v>3-70</v>
      </c>
      <c r="B247" s="717">
        <f>清单!G226</f>
        <v>92.43</v>
      </c>
      <c r="C247" s="24">
        <f t="shared" si="47"/>
        <v>1.02</v>
      </c>
      <c r="D247" s="3020" t="s">
        <v>3932</v>
      </c>
      <c r="E247" s="24">
        <f t="shared" si="48"/>
        <v>0.94</v>
      </c>
      <c r="F247" s="3020" t="s">
        <v>3932</v>
      </c>
      <c r="G247" s="24">
        <f t="shared" si="49"/>
        <v>0.97</v>
      </c>
      <c r="H247" s="719" t="s">
        <v>3316</v>
      </c>
      <c r="I247" s="24">
        <f t="shared" si="50"/>
        <v>1</v>
      </c>
      <c r="J247" s="719"/>
      <c r="K247" s="24">
        <f t="shared" si="51"/>
        <v>1</v>
      </c>
      <c r="L247" s="719"/>
      <c r="M247" s="24">
        <f t="shared" si="52"/>
        <v>1</v>
      </c>
      <c r="N247" s="719"/>
      <c r="O247" s="24">
        <f t="shared" si="53"/>
        <v>1</v>
      </c>
      <c r="P247" s="719" t="s">
        <v>3927</v>
      </c>
      <c r="Q247" s="24">
        <f t="shared" si="54"/>
        <v>0.35</v>
      </c>
      <c r="R247" s="715">
        <f t="shared" ca="1" si="55"/>
        <v>13839</v>
      </c>
      <c r="S247" s="361">
        <f t="shared" ca="1" si="56"/>
        <v>128</v>
      </c>
      <c r="T247" s="799">
        <f>剩余房源售价清单!I228</f>
        <v>16725</v>
      </c>
      <c r="U247" s="799">
        <f t="shared" ca="1" si="46"/>
        <v>0.82744394618834083</v>
      </c>
    </row>
    <row r="248" spans="1:21">
      <c r="A248" s="2985" t="str">
        <f>清单!D227</f>
        <v>3-71</v>
      </c>
      <c r="B248" s="717">
        <f>清单!G227</f>
        <v>79.19</v>
      </c>
      <c r="C248" s="24">
        <f t="shared" si="47"/>
        <v>1.04</v>
      </c>
      <c r="D248" s="3020" t="s">
        <v>3932</v>
      </c>
      <c r="E248" s="24">
        <f t="shared" si="48"/>
        <v>0.94</v>
      </c>
      <c r="F248" s="3020" t="s">
        <v>3932</v>
      </c>
      <c r="G248" s="24">
        <f t="shared" si="49"/>
        <v>0.97</v>
      </c>
      <c r="H248" s="719" t="s">
        <v>3316</v>
      </c>
      <c r="I248" s="24">
        <f t="shared" si="50"/>
        <v>1</v>
      </c>
      <c r="J248" s="719"/>
      <c r="K248" s="24">
        <f t="shared" si="51"/>
        <v>1</v>
      </c>
      <c r="L248" s="719"/>
      <c r="M248" s="24">
        <f t="shared" si="52"/>
        <v>1</v>
      </c>
      <c r="N248" s="719"/>
      <c r="O248" s="24">
        <f t="shared" si="53"/>
        <v>1</v>
      </c>
      <c r="P248" s="719" t="s">
        <v>3927</v>
      </c>
      <c r="Q248" s="24">
        <f t="shared" si="54"/>
        <v>0.35</v>
      </c>
      <c r="R248" s="715">
        <f t="shared" ca="1" si="55"/>
        <v>14111</v>
      </c>
      <c r="S248" s="361">
        <f t="shared" ca="1" si="56"/>
        <v>112</v>
      </c>
      <c r="T248" s="799">
        <f>剩余房源售价清单!I229</f>
        <v>17225</v>
      </c>
      <c r="U248" s="799">
        <f t="shared" ca="1" si="46"/>
        <v>0.81921625544267052</v>
      </c>
    </row>
    <row r="249" spans="1:21">
      <c r="A249" s="2985" t="str">
        <f>清单!D228</f>
        <v>3-72</v>
      </c>
      <c r="B249" s="717">
        <f>清单!G228</f>
        <v>78.14</v>
      </c>
      <c r="C249" s="24">
        <f t="shared" si="47"/>
        <v>1.04</v>
      </c>
      <c r="D249" s="3020" t="s">
        <v>3932</v>
      </c>
      <c r="E249" s="24">
        <f t="shared" si="48"/>
        <v>0.94</v>
      </c>
      <c r="F249" s="3020" t="s">
        <v>3932</v>
      </c>
      <c r="G249" s="24">
        <f t="shared" si="49"/>
        <v>0.97</v>
      </c>
      <c r="H249" s="719" t="s">
        <v>3316</v>
      </c>
      <c r="I249" s="24">
        <f t="shared" si="50"/>
        <v>1</v>
      </c>
      <c r="J249" s="719"/>
      <c r="K249" s="24">
        <f t="shared" si="51"/>
        <v>1</v>
      </c>
      <c r="L249" s="719"/>
      <c r="M249" s="24">
        <f t="shared" si="52"/>
        <v>1</v>
      </c>
      <c r="N249" s="719"/>
      <c r="O249" s="24">
        <f t="shared" si="53"/>
        <v>1</v>
      </c>
      <c r="P249" s="719" t="s">
        <v>3927</v>
      </c>
      <c r="Q249" s="24">
        <f t="shared" si="54"/>
        <v>0.35</v>
      </c>
      <c r="R249" s="715">
        <f t="shared" ca="1" si="55"/>
        <v>14111</v>
      </c>
      <c r="S249" s="361">
        <f t="shared" ca="1" si="56"/>
        <v>110</v>
      </c>
      <c r="T249" s="799">
        <f>剩余房源售价清单!I230</f>
        <v>17295</v>
      </c>
      <c r="U249" s="799">
        <f t="shared" ca="1" si="46"/>
        <v>0.81590054929170286</v>
      </c>
    </row>
    <row r="250" spans="1:21">
      <c r="A250" s="2985" t="str">
        <f>清单!D229</f>
        <v>3-77</v>
      </c>
      <c r="B250" s="717">
        <f>清单!G229</f>
        <v>104.11</v>
      </c>
      <c r="C250" s="24">
        <f t="shared" si="47"/>
        <v>1.02</v>
      </c>
      <c r="D250" s="3020" t="s">
        <v>3932</v>
      </c>
      <c r="E250" s="24">
        <f t="shared" si="48"/>
        <v>0.94</v>
      </c>
      <c r="F250" s="3020" t="s">
        <v>3932</v>
      </c>
      <c r="G250" s="24">
        <f t="shared" si="49"/>
        <v>0.97</v>
      </c>
      <c r="H250" s="719" t="s">
        <v>3316</v>
      </c>
      <c r="I250" s="24">
        <f t="shared" si="50"/>
        <v>1</v>
      </c>
      <c r="J250" s="719"/>
      <c r="K250" s="24">
        <f t="shared" si="51"/>
        <v>1</v>
      </c>
      <c r="L250" s="719"/>
      <c r="M250" s="24">
        <f t="shared" si="52"/>
        <v>1</v>
      </c>
      <c r="N250" s="719"/>
      <c r="O250" s="24">
        <f t="shared" si="53"/>
        <v>1</v>
      </c>
      <c r="P250" s="719" t="s">
        <v>3927</v>
      </c>
      <c r="Q250" s="24">
        <f t="shared" si="54"/>
        <v>0.35</v>
      </c>
      <c r="R250" s="715">
        <f t="shared" ca="1" si="55"/>
        <v>13839</v>
      </c>
      <c r="S250" s="361">
        <f t="shared" ca="1" si="56"/>
        <v>144</v>
      </c>
      <c r="T250" s="799">
        <f>剩余房源售价清单!I231</f>
        <v>17641</v>
      </c>
      <c r="U250" s="799">
        <f t="shared" ca="1" si="46"/>
        <v>0.78447933790601443</v>
      </c>
    </row>
    <row r="251" spans="1:21">
      <c r="A251" s="2985" t="str">
        <f>清单!D230</f>
        <v>3-78</v>
      </c>
      <c r="B251" s="717">
        <f>清单!G230</f>
        <v>104.67</v>
      </c>
      <c r="C251" s="24">
        <f t="shared" si="47"/>
        <v>1.02</v>
      </c>
      <c r="D251" s="3020" t="s">
        <v>3932</v>
      </c>
      <c r="E251" s="24">
        <f t="shared" si="48"/>
        <v>0.94</v>
      </c>
      <c r="F251" s="3020" t="s">
        <v>3932</v>
      </c>
      <c r="G251" s="24">
        <f t="shared" si="49"/>
        <v>0.97</v>
      </c>
      <c r="H251" s="719" t="s">
        <v>3316</v>
      </c>
      <c r="I251" s="24">
        <f t="shared" si="50"/>
        <v>1</v>
      </c>
      <c r="J251" s="719"/>
      <c r="K251" s="24">
        <f t="shared" si="51"/>
        <v>1</v>
      </c>
      <c r="L251" s="719"/>
      <c r="M251" s="24">
        <f t="shared" si="52"/>
        <v>1</v>
      </c>
      <c r="N251" s="719"/>
      <c r="O251" s="24">
        <f t="shared" si="53"/>
        <v>1</v>
      </c>
      <c r="P251" s="719" t="s">
        <v>3927</v>
      </c>
      <c r="Q251" s="24">
        <f t="shared" si="54"/>
        <v>0.35</v>
      </c>
      <c r="R251" s="715">
        <f t="shared" ca="1" si="55"/>
        <v>13839</v>
      </c>
      <c r="S251" s="361">
        <f t="shared" ca="1" si="56"/>
        <v>145</v>
      </c>
      <c r="T251" s="799">
        <f>剩余房源售价清单!I232</f>
        <v>16222</v>
      </c>
      <c r="U251" s="799">
        <f t="shared" ca="1" si="46"/>
        <v>0.85310072740722476</v>
      </c>
    </row>
    <row r="252" spans="1:21">
      <c r="A252" s="2985" t="str">
        <f>清单!D231</f>
        <v>3-79</v>
      </c>
      <c r="B252" s="717">
        <f>清单!G231</f>
        <v>104.78</v>
      </c>
      <c r="C252" s="24">
        <f t="shared" si="47"/>
        <v>1.02</v>
      </c>
      <c r="D252" s="3020" t="s">
        <v>3932</v>
      </c>
      <c r="E252" s="24">
        <f t="shared" si="48"/>
        <v>0.94</v>
      </c>
      <c r="F252" s="3020" t="s">
        <v>3932</v>
      </c>
      <c r="G252" s="24">
        <f t="shared" si="49"/>
        <v>0.97</v>
      </c>
      <c r="H252" s="719" t="s">
        <v>3316</v>
      </c>
      <c r="I252" s="24">
        <f t="shared" si="50"/>
        <v>1</v>
      </c>
      <c r="J252" s="719"/>
      <c r="K252" s="24">
        <f t="shared" si="51"/>
        <v>1</v>
      </c>
      <c r="L252" s="719"/>
      <c r="M252" s="24">
        <f t="shared" si="52"/>
        <v>1</v>
      </c>
      <c r="N252" s="719"/>
      <c r="O252" s="24">
        <f t="shared" si="53"/>
        <v>1</v>
      </c>
      <c r="P252" s="719" t="s">
        <v>3927</v>
      </c>
      <c r="Q252" s="24">
        <f t="shared" si="54"/>
        <v>0.35</v>
      </c>
      <c r="R252" s="715">
        <f t="shared" ca="1" si="55"/>
        <v>13839</v>
      </c>
      <c r="S252" s="361">
        <f t="shared" ca="1" si="56"/>
        <v>145</v>
      </c>
      <c r="T252" s="799">
        <f>剩余房源售价清单!I233</f>
        <v>16694</v>
      </c>
      <c r="U252" s="799">
        <f t="shared" ca="1" si="46"/>
        <v>0.82898047202587755</v>
      </c>
    </row>
    <row r="253" spans="1:21">
      <c r="A253" s="2985" t="str">
        <f>清单!D232</f>
        <v>3-86</v>
      </c>
      <c r="B253" s="717">
        <f>清单!G232</f>
        <v>65.77</v>
      </c>
      <c r="C253" s="24">
        <f t="shared" si="47"/>
        <v>1.04</v>
      </c>
      <c r="D253" s="3020" t="s">
        <v>3934</v>
      </c>
      <c r="E253" s="24">
        <f t="shared" si="48"/>
        <v>0.91</v>
      </c>
      <c r="F253" s="3020" t="s">
        <v>3843</v>
      </c>
      <c r="G253" s="24">
        <f t="shared" si="49"/>
        <v>0.97</v>
      </c>
      <c r="H253" s="719" t="s">
        <v>3316</v>
      </c>
      <c r="I253" s="24">
        <f t="shared" si="50"/>
        <v>1</v>
      </c>
      <c r="J253" s="719"/>
      <c r="K253" s="24">
        <f t="shared" si="51"/>
        <v>1</v>
      </c>
      <c r="L253" s="719"/>
      <c r="M253" s="24">
        <f t="shared" si="52"/>
        <v>1</v>
      </c>
      <c r="N253" s="719"/>
      <c r="O253" s="24">
        <f t="shared" si="53"/>
        <v>1</v>
      </c>
      <c r="P253" s="719" t="s">
        <v>3927</v>
      </c>
      <c r="Q253" s="24">
        <f t="shared" si="54"/>
        <v>0.35</v>
      </c>
      <c r="R253" s="715">
        <f t="shared" ca="1" si="55"/>
        <v>13660</v>
      </c>
      <c r="S253" s="361">
        <f t="shared" ca="1" si="56"/>
        <v>90</v>
      </c>
      <c r="T253" s="799">
        <f>剩余房源售价清单!I234</f>
        <v>14517</v>
      </c>
      <c r="U253" s="799">
        <f t="shared" ca="1" si="46"/>
        <v>0.94096576427636569</v>
      </c>
    </row>
    <row r="254" spans="1:21">
      <c r="A254" s="2985" t="str">
        <f>清单!D233</f>
        <v>3-92</v>
      </c>
      <c r="B254" s="717">
        <f>清单!G233</f>
        <v>62.41</v>
      </c>
      <c r="C254" s="24">
        <f t="shared" si="47"/>
        <v>1.04</v>
      </c>
      <c r="D254" s="3020" t="s">
        <v>3936</v>
      </c>
      <c r="E254" s="24">
        <f t="shared" si="48"/>
        <v>0.88</v>
      </c>
      <c r="F254" s="3020" t="s">
        <v>3843</v>
      </c>
      <c r="G254" s="24">
        <f t="shared" si="49"/>
        <v>0.97</v>
      </c>
      <c r="H254" s="719" t="s">
        <v>3911</v>
      </c>
      <c r="I254" s="24">
        <f t="shared" si="50"/>
        <v>0.96</v>
      </c>
      <c r="J254" s="719"/>
      <c r="K254" s="24">
        <f t="shared" si="51"/>
        <v>1</v>
      </c>
      <c r="L254" s="719"/>
      <c r="M254" s="24">
        <f t="shared" si="52"/>
        <v>1</v>
      </c>
      <c r="N254" s="719"/>
      <c r="O254" s="24">
        <f t="shared" si="53"/>
        <v>1</v>
      </c>
      <c r="P254" s="719" t="s">
        <v>3927</v>
      </c>
      <c r="Q254" s="24">
        <f t="shared" si="54"/>
        <v>0.35</v>
      </c>
      <c r="R254" s="715">
        <f t="shared" ca="1" si="55"/>
        <v>12681</v>
      </c>
      <c r="S254" s="361">
        <f t="shared" ca="1" si="56"/>
        <v>79</v>
      </c>
      <c r="T254" s="799">
        <f>剩余房源售价清单!I235</f>
        <v>12543</v>
      </c>
      <c r="U254" s="799">
        <f t="shared" ca="1" si="46"/>
        <v>1.011002152595073</v>
      </c>
    </row>
    <row r="255" spans="1:21">
      <c r="A255" s="2985" t="str">
        <f>清单!D234</f>
        <v>3-94</v>
      </c>
      <c r="B255" s="717">
        <f>清单!G234</f>
        <v>62.41</v>
      </c>
      <c r="C255" s="24">
        <f t="shared" si="47"/>
        <v>1.04</v>
      </c>
      <c r="D255" s="3020" t="s">
        <v>3936</v>
      </c>
      <c r="E255" s="24">
        <f t="shared" si="48"/>
        <v>0.88</v>
      </c>
      <c r="F255" s="3020" t="s">
        <v>3843</v>
      </c>
      <c r="G255" s="24">
        <f t="shared" si="49"/>
        <v>0.97</v>
      </c>
      <c r="H255" s="719" t="s">
        <v>3911</v>
      </c>
      <c r="I255" s="24">
        <f t="shared" si="50"/>
        <v>0.96</v>
      </c>
      <c r="J255" s="719"/>
      <c r="K255" s="24">
        <f t="shared" si="51"/>
        <v>1</v>
      </c>
      <c r="L255" s="719"/>
      <c r="M255" s="24">
        <f t="shared" si="52"/>
        <v>1</v>
      </c>
      <c r="N255" s="719"/>
      <c r="O255" s="24">
        <f t="shared" si="53"/>
        <v>1</v>
      </c>
      <c r="P255" s="719" t="s">
        <v>3927</v>
      </c>
      <c r="Q255" s="24">
        <f t="shared" si="54"/>
        <v>0.35</v>
      </c>
      <c r="R255" s="715">
        <f t="shared" ca="1" si="55"/>
        <v>12681</v>
      </c>
      <c r="S255" s="361">
        <f t="shared" ca="1" si="56"/>
        <v>79</v>
      </c>
      <c r="T255" s="799">
        <f>剩余房源售价清单!I236</f>
        <v>12738</v>
      </c>
      <c r="U255" s="799">
        <f t="shared" ca="1" si="46"/>
        <v>0.99552520018841262</v>
      </c>
    </row>
    <row r="256" spans="1:21">
      <c r="A256" s="2985" t="str">
        <f>清单!D235</f>
        <v>3-95</v>
      </c>
      <c r="B256" s="717">
        <f>清单!G235</f>
        <v>62.41</v>
      </c>
      <c r="C256" s="24">
        <f t="shared" si="47"/>
        <v>1.04</v>
      </c>
      <c r="D256" s="3020" t="s">
        <v>3936</v>
      </c>
      <c r="E256" s="24">
        <f t="shared" si="48"/>
        <v>0.88</v>
      </c>
      <c r="F256" s="3020" t="s">
        <v>3843</v>
      </c>
      <c r="G256" s="24">
        <f t="shared" si="49"/>
        <v>0.97</v>
      </c>
      <c r="H256" s="719" t="s">
        <v>3911</v>
      </c>
      <c r="I256" s="24">
        <f t="shared" si="50"/>
        <v>0.96</v>
      </c>
      <c r="J256" s="719"/>
      <c r="K256" s="24">
        <f t="shared" si="51"/>
        <v>1</v>
      </c>
      <c r="L256" s="719"/>
      <c r="M256" s="24">
        <f t="shared" si="52"/>
        <v>1</v>
      </c>
      <c r="N256" s="719"/>
      <c r="O256" s="24">
        <f t="shared" si="53"/>
        <v>1</v>
      </c>
      <c r="P256" s="719" t="s">
        <v>3927</v>
      </c>
      <c r="Q256" s="24">
        <f t="shared" si="54"/>
        <v>0.35</v>
      </c>
      <c r="R256" s="715">
        <f t="shared" ca="1" si="55"/>
        <v>12681</v>
      </c>
      <c r="S256" s="361">
        <f t="shared" ca="1" si="56"/>
        <v>79</v>
      </c>
      <c r="T256" s="799">
        <f>剩余房源售价清单!I237</f>
        <v>12786</v>
      </c>
      <c r="U256" s="799">
        <f t="shared" ca="1" si="46"/>
        <v>0.99178789300797743</v>
      </c>
    </row>
    <row r="257" spans="1:21">
      <c r="A257" s="2985" t="str">
        <f>清单!D236</f>
        <v>3-96</v>
      </c>
      <c r="B257" s="717">
        <f>清单!G236</f>
        <v>62.41</v>
      </c>
      <c r="C257" s="24">
        <f t="shared" si="47"/>
        <v>1.04</v>
      </c>
      <c r="D257" s="3020" t="s">
        <v>3936</v>
      </c>
      <c r="E257" s="24">
        <f t="shared" si="48"/>
        <v>0.88</v>
      </c>
      <c r="F257" s="3020" t="s">
        <v>3843</v>
      </c>
      <c r="G257" s="24">
        <f t="shared" si="49"/>
        <v>0.97</v>
      </c>
      <c r="H257" s="719" t="s">
        <v>3911</v>
      </c>
      <c r="I257" s="24">
        <f t="shared" si="50"/>
        <v>0.96</v>
      </c>
      <c r="J257" s="719"/>
      <c r="K257" s="24">
        <f t="shared" si="51"/>
        <v>1</v>
      </c>
      <c r="L257" s="719"/>
      <c r="M257" s="24">
        <f t="shared" si="52"/>
        <v>1</v>
      </c>
      <c r="N257" s="719"/>
      <c r="O257" s="24">
        <f t="shared" si="53"/>
        <v>1</v>
      </c>
      <c r="P257" s="719" t="s">
        <v>3927</v>
      </c>
      <c r="Q257" s="24">
        <f t="shared" si="54"/>
        <v>0.35</v>
      </c>
      <c r="R257" s="715">
        <f t="shared" ca="1" si="55"/>
        <v>12681</v>
      </c>
      <c r="S257" s="361">
        <f t="shared" ca="1" si="56"/>
        <v>79</v>
      </c>
      <c r="T257" s="799">
        <f>剩余房源售价清单!I238</f>
        <v>12835</v>
      </c>
      <c r="U257" s="799">
        <f t="shared" ca="1" si="46"/>
        <v>0.98800155823918967</v>
      </c>
    </row>
    <row r="258" spans="1:21">
      <c r="A258" s="2985" t="str">
        <f>清单!D237</f>
        <v>3-97</v>
      </c>
      <c r="B258" s="717">
        <f>清单!G237</f>
        <v>62.41</v>
      </c>
      <c r="C258" s="24">
        <f t="shared" si="47"/>
        <v>1.04</v>
      </c>
      <c r="D258" s="3020" t="s">
        <v>3936</v>
      </c>
      <c r="E258" s="24">
        <f t="shared" si="48"/>
        <v>0.88</v>
      </c>
      <c r="F258" s="3020" t="s">
        <v>3843</v>
      </c>
      <c r="G258" s="24">
        <f t="shared" si="49"/>
        <v>0.97</v>
      </c>
      <c r="H258" s="719" t="s">
        <v>3911</v>
      </c>
      <c r="I258" s="24">
        <f t="shared" si="50"/>
        <v>0.96</v>
      </c>
      <c r="J258" s="719"/>
      <c r="K258" s="24">
        <f t="shared" si="51"/>
        <v>1</v>
      </c>
      <c r="L258" s="719"/>
      <c r="M258" s="24">
        <f t="shared" si="52"/>
        <v>1</v>
      </c>
      <c r="N258" s="719"/>
      <c r="O258" s="24">
        <f t="shared" si="53"/>
        <v>1</v>
      </c>
      <c r="P258" s="719" t="s">
        <v>3927</v>
      </c>
      <c r="Q258" s="24">
        <f t="shared" si="54"/>
        <v>0.35</v>
      </c>
      <c r="R258" s="715">
        <f t="shared" ca="1" si="55"/>
        <v>12681</v>
      </c>
      <c r="S258" s="361">
        <f t="shared" ca="1" si="56"/>
        <v>79</v>
      </c>
      <c r="T258" s="799">
        <f>剩余房源售价清单!I239</f>
        <v>12884</v>
      </c>
      <c r="U258" s="799">
        <f t="shared" ca="1" si="46"/>
        <v>0.98424402359515684</v>
      </c>
    </row>
    <row r="259" spans="1:21">
      <c r="A259" s="2985" t="str">
        <f>清单!D238</f>
        <v>3-101</v>
      </c>
      <c r="B259" s="717">
        <f>清单!G238</f>
        <v>53.91</v>
      </c>
      <c r="C259" s="24">
        <f t="shared" si="47"/>
        <v>1.06</v>
      </c>
      <c r="D259" s="3020" t="s">
        <v>3936</v>
      </c>
      <c r="E259" s="24">
        <f t="shared" si="48"/>
        <v>0.88</v>
      </c>
      <c r="F259" s="3020" t="s">
        <v>3843</v>
      </c>
      <c r="G259" s="24">
        <f t="shared" si="49"/>
        <v>0.97</v>
      </c>
      <c r="H259" s="719" t="s">
        <v>3911</v>
      </c>
      <c r="I259" s="24">
        <f t="shared" si="50"/>
        <v>0.96</v>
      </c>
      <c r="J259" s="719"/>
      <c r="K259" s="24">
        <f t="shared" si="51"/>
        <v>1</v>
      </c>
      <c r="L259" s="719"/>
      <c r="M259" s="24">
        <f t="shared" si="52"/>
        <v>1</v>
      </c>
      <c r="N259" s="719"/>
      <c r="O259" s="24">
        <f t="shared" si="53"/>
        <v>1</v>
      </c>
      <c r="P259" s="719" t="s">
        <v>3927</v>
      </c>
      <c r="Q259" s="24">
        <f t="shared" si="54"/>
        <v>0.35</v>
      </c>
      <c r="R259" s="715">
        <f t="shared" ca="1" si="55"/>
        <v>12925</v>
      </c>
      <c r="S259" s="361">
        <f t="shared" ca="1" si="56"/>
        <v>70</v>
      </c>
      <c r="T259" s="799">
        <f>剩余房源售价清单!I240</f>
        <v>13199</v>
      </c>
      <c r="U259" s="799">
        <f t="shared" ca="1" si="46"/>
        <v>0.97924085157966512</v>
      </c>
    </row>
    <row r="260" spans="1:21">
      <c r="A260" s="2985" t="str">
        <f>清单!D239</f>
        <v>3-102</v>
      </c>
      <c r="B260" s="717">
        <f>清单!G239</f>
        <v>52.36</v>
      </c>
      <c r="C260" s="24">
        <f t="shared" si="47"/>
        <v>1.06</v>
      </c>
      <c r="D260" s="3020" t="s">
        <v>3936</v>
      </c>
      <c r="E260" s="24">
        <f t="shared" si="48"/>
        <v>0.88</v>
      </c>
      <c r="F260" s="3020" t="s">
        <v>3843</v>
      </c>
      <c r="G260" s="24">
        <f t="shared" si="49"/>
        <v>0.97</v>
      </c>
      <c r="H260" s="719" t="s">
        <v>3911</v>
      </c>
      <c r="I260" s="24">
        <f t="shared" si="50"/>
        <v>0.96</v>
      </c>
      <c r="J260" s="719"/>
      <c r="K260" s="24">
        <f t="shared" si="51"/>
        <v>1</v>
      </c>
      <c r="L260" s="719"/>
      <c r="M260" s="24">
        <f t="shared" si="52"/>
        <v>1</v>
      </c>
      <c r="N260" s="719"/>
      <c r="O260" s="24">
        <f t="shared" si="53"/>
        <v>1</v>
      </c>
      <c r="P260" s="719" t="s">
        <v>3927</v>
      </c>
      <c r="Q260" s="24">
        <f t="shared" si="54"/>
        <v>0.35</v>
      </c>
      <c r="R260" s="715">
        <f t="shared" ca="1" si="55"/>
        <v>12925</v>
      </c>
      <c r="S260" s="361">
        <f t="shared" ca="1" si="56"/>
        <v>68</v>
      </c>
      <c r="T260" s="799"/>
      <c r="U260" s="799" t="e">
        <f t="shared" ca="1" si="46"/>
        <v>#DIV/0!</v>
      </c>
    </row>
    <row r="261" spans="1:21">
      <c r="A261" s="2985" t="str">
        <f>清单!D240</f>
        <v>3-105</v>
      </c>
      <c r="B261" s="717">
        <f>清单!G240</f>
        <v>53.11</v>
      </c>
      <c r="C261" s="24">
        <f t="shared" si="47"/>
        <v>1.06</v>
      </c>
      <c r="D261" s="3020" t="s">
        <v>3936</v>
      </c>
      <c r="E261" s="24">
        <f t="shared" si="48"/>
        <v>0.88</v>
      </c>
      <c r="F261" s="3020" t="s">
        <v>3843</v>
      </c>
      <c r="G261" s="24">
        <f t="shared" si="49"/>
        <v>0.97</v>
      </c>
      <c r="H261" s="719" t="s">
        <v>3911</v>
      </c>
      <c r="I261" s="24">
        <f t="shared" si="50"/>
        <v>0.96</v>
      </c>
      <c r="J261" s="719"/>
      <c r="K261" s="24">
        <f t="shared" si="51"/>
        <v>1</v>
      </c>
      <c r="L261" s="719"/>
      <c r="M261" s="24">
        <f t="shared" si="52"/>
        <v>1</v>
      </c>
      <c r="N261" s="719"/>
      <c r="O261" s="24">
        <f t="shared" si="53"/>
        <v>1</v>
      </c>
      <c r="P261" s="719" t="s">
        <v>3927</v>
      </c>
      <c r="Q261" s="24">
        <f t="shared" si="54"/>
        <v>0.35</v>
      </c>
      <c r="R261" s="715">
        <f t="shared" ca="1" si="55"/>
        <v>12925</v>
      </c>
      <c r="S261" s="361">
        <f t="shared" ca="1" si="56"/>
        <v>69</v>
      </c>
      <c r="T261" s="799"/>
      <c r="U261" s="799" t="e">
        <f t="shared" ca="1" si="46"/>
        <v>#DIV/0!</v>
      </c>
    </row>
    <row r="262" spans="1:21">
      <c r="A262" s="2985" t="str">
        <f>清单!D241</f>
        <v>4-2</v>
      </c>
      <c r="B262" s="717">
        <f>清单!G241</f>
        <v>98.39</v>
      </c>
      <c r="C262" s="24">
        <f t="shared" si="47"/>
        <v>1.02</v>
      </c>
      <c r="D262" s="3020" t="s">
        <v>3932</v>
      </c>
      <c r="E262" s="24">
        <f t="shared" si="48"/>
        <v>0.94</v>
      </c>
      <c r="F262" s="3020" t="s">
        <v>3931</v>
      </c>
      <c r="G262" s="24">
        <f t="shared" si="49"/>
        <v>1</v>
      </c>
      <c r="H262" s="719" t="s">
        <v>3316</v>
      </c>
      <c r="I262" s="24">
        <f t="shared" si="50"/>
        <v>1</v>
      </c>
      <c r="J262" s="719"/>
      <c r="K262" s="24">
        <f t="shared" si="51"/>
        <v>1</v>
      </c>
      <c r="L262" s="719"/>
      <c r="M262" s="24">
        <f t="shared" si="52"/>
        <v>1</v>
      </c>
      <c r="N262" s="719"/>
      <c r="O262" s="24">
        <f t="shared" si="53"/>
        <v>1</v>
      </c>
      <c r="P262" s="719" t="s">
        <v>3928</v>
      </c>
      <c r="Q262" s="24">
        <f t="shared" si="54"/>
        <v>0.3</v>
      </c>
      <c r="R262" s="715">
        <f t="shared" ca="1" si="55"/>
        <v>12229</v>
      </c>
      <c r="S262" s="361">
        <f t="shared" ca="1" si="56"/>
        <v>120</v>
      </c>
      <c r="T262" s="799">
        <f>剩余房源售价清单!I241</f>
        <v>15781</v>
      </c>
      <c r="U262" s="799">
        <f t="shared" ca="1" si="46"/>
        <v>0.77491920664089731</v>
      </c>
    </row>
    <row r="263" spans="1:21">
      <c r="A263" s="2985" t="str">
        <f>清单!D242</f>
        <v>4-3</v>
      </c>
      <c r="B263" s="717">
        <f>清单!G242</f>
        <v>108.8</v>
      </c>
      <c r="C263" s="24">
        <f t="shared" si="47"/>
        <v>1.02</v>
      </c>
      <c r="D263" s="3020" t="s">
        <v>3932</v>
      </c>
      <c r="E263" s="24">
        <f t="shared" si="48"/>
        <v>0.94</v>
      </c>
      <c r="F263" s="3020" t="s">
        <v>3931</v>
      </c>
      <c r="G263" s="24">
        <f t="shared" si="49"/>
        <v>1</v>
      </c>
      <c r="H263" s="719" t="s">
        <v>3316</v>
      </c>
      <c r="I263" s="24">
        <f t="shared" si="50"/>
        <v>1</v>
      </c>
      <c r="J263" s="719"/>
      <c r="K263" s="24">
        <f t="shared" si="51"/>
        <v>1</v>
      </c>
      <c r="L263" s="719"/>
      <c r="M263" s="24">
        <f t="shared" si="52"/>
        <v>1</v>
      </c>
      <c r="N263" s="719"/>
      <c r="O263" s="24">
        <f t="shared" si="53"/>
        <v>1</v>
      </c>
      <c r="P263" s="719" t="s">
        <v>3928</v>
      </c>
      <c r="Q263" s="24">
        <f t="shared" si="54"/>
        <v>0.3</v>
      </c>
      <c r="R263" s="715">
        <f t="shared" ca="1" si="55"/>
        <v>12229</v>
      </c>
      <c r="S263" s="361">
        <f t="shared" ca="1" si="56"/>
        <v>133</v>
      </c>
      <c r="T263" s="799">
        <f>剩余房源售价清单!I242</f>
        <v>14493</v>
      </c>
      <c r="U263" s="799">
        <f t="shared" ca="1" si="46"/>
        <v>0.8437866556268544</v>
      </c>
    </row>
    <row r="264" spans="1:21">
      <c r="A264" s="2985" t="str">
        <f>清单!D243</f>
        <v>4-4</v>
      </c>
      <c r="B264" s="717">
        <f>清单!G243</f>
        <v>107.36</v>
      </c>
      <c r="C264" s="24">
        <f t="shared" si="47"/>
        <v>1.02</v>
      </c>
      <c r="D264" s="3020" t="s">
        <v>3932</v>
      </c>
      <c r="E264" s="24">
        <f t="shared" si="48"/>
        <v>0.94</v>
      </c>
      <c r="F264" s="3020" t="s">
        <v>3931</v>
      </c>
      <c r="G264" s="24">
        <f t="shared" si="49"/>
        <v>1</v>
      </c>
      <c r="H264" s="719" t="s">
        <v>3316</v>
      </c>
      <c r="I264" s="24">
        <f t="shared" si="50"/>
        <v>1</v>
      </c>
      <c r="J264" s="719"/>
      <c r="K264" s="24">
        <f t="shared" si="51"/>
        <v>1</v>
      </c>
      <c r="L264" s="719"/>
      <c r="M264" s="24">
        <f t="shared" si="52"/>
        <v>1</v>
      </c>
      <c r="N264" s="719"/>
      <c r="O264" s="24">
        <f t="shared" si="53"/>
        <v>1</v>
      </c>
      <c r="P264" s="719" t="s">
        <v>3928</v>
      </c>
      <c r="Q264" s="24">
        <f t="shared" si="54"/>
        <v>0.3</v>
      </c>
      <c r="R264" s="715">
        <f t="shared" ca="1" si="55"/>
        <v>12229</v>
      </c>
      <c r="S264" s="361">
        <f t="shared" ca="1" si="56"/>
        <v>131</v>
      </c>
      <c r="T264" s="799">
        <f>剩余房源售价清单!I243</f>
        <v>15259</v>
      </c>
      <c r="U264" s="799">
        <f t="shared" ca="1" si="46"/>
        <v>0.80142866505013433</v>
      </c>
    </row>
    <row r="265" spans="1:21">
      <c r="A265" s="2985" t="str">
        <f>清单!D244</f>
        <v>4-5</v>
      </c>
      <c r="B265" s="717">
        <f>清单!G244</f>
        <v>109.55</v>
      </c>
      <c r="C265" s="24">
        <f t="shared" si="47"/>
        <v>1.02</v>
      </c>
      <c r="D265" s="3020" t="s">
        <v>3932</v>
      </c>
      <c r="E265" s="24">
        <f t="shared" si="48"/>
        <v>0.94</v>
      </c>
      <c r="F265" s="3020" t="s">
        <v>3931</v>
      </c>
      <c r="G265" s="24">
        <f t="shared" si="49"/>
        <v>1</v>
      </c>
      <c r="H265" s="719" t="s">
        <v>3316</v>
      </c>
      <c r="I265" s="24">
        <f t="shared" si="50"/>
        <v>1</v>
      </c>
      <c r="J265" s="719"/>
      <c r="K265" s="24">
        <f t="shared" si="51"/>
        <v>1</v>
      </c>
      <c r="L265" s="719"/>
      <c r="M265" s="24">
        <f t="shared" si="52"/>
        <v>1</v>
      </c>
      <c r="N265" s="719"/>
      <c r="O265" s="24">
        <f t="shared" si="53"/>
        <v>1</v>
      </c>
      <c r="P265" s="719" t="s">
        <v>3928</v>
      </c>
      <c r="Q265" s="24">
        <f t="shared" si="54"/>
        <v>0.3</v>
      </c>
      <c r="R265" s="715">
        <f t="shared" ca="1" si="55"/>
        <v>12229</v>
      </c>
      <c r="S265" s="361">
        <f t="shared" ca="1" si="56"/>
        <v>134</v>
      </c>
      <c r="T265" s="799">
        <f>剩余房源售价清单!I244</f>
        <v>15001</v>
      </c>
      <c r="U265" s="799">
        <f t="shared" ca="1" si="46"/>
        <v>0.81521231917872139</v>
      </c>
    </row>
    <row r="266" spans="1:21">
      <c r="A266" s="2985" t="str">
        <f>清单!D245</f>
        <v>4-10</v>
      </c>
      <c r="B266" s="717">
        <f>清单!G245</f>
        <v>109.55</v>
      </c>
      <c r="C266" s="24">
        <f t="shared" si="47"/>
        <v>1.02</v>
      </c>
      <c r="D266" s="3020" t="s">
        <v>3932</v>
      </c>
      <c r="E266" s="24">
        <f t="shared" si="48"/>
        <v>0.94</v>
      </c>
      <c r="F266" s="3020" t="s">
        <v>3931</v>
      </c>
      <c r="G266" s="24">
        <f t="shared" si="49"/>
        <v>1</v>
      </c>
      <c r="H266" s="719" t="s">
        <v>3316</v>
      </c>
      <c r="I266" s="24">
        <f t="shared" si="50"/>
        <v>1</v>
      </c>
      <c r="J266" s="719"/>
      <c r="K266" s="24">
        <f t="shared" si="51"/>
        <v>1</v>
      </c>
      <c r="L266" s="719"/>
      <c r="M266" s="24">
        <f t="shared" si="52"/>
        <v>1</v>
      </c>
      <c r="N266" s="719"/>
      <c r="O266" s="24">
        <f t="shared" si="53"/>
        <v>1</v>
      </c>
      <c r="P266" s="719" t="s">
        <v>3928</v>
      </c>
      <c r="Q266" s="24">
        <f t="shared" si="54"/>
        <v>0.3</v>
      </c>
      <c r="R266" s="715">
        <f t="shared" ca="1" si="55"/>
        <v>12229</v>
      </c>
      <c r="S266" s="361">
        <f t="shared" ca="1" si="56"/>
        <v>134</v>
      </c>
      <c r="T266" s="799">
        <f>剩余房源售价清单!I245</f>
        <v>12402</v>
      </c>
      <c r="U266" s="799">
        <f t="shared" ca="1" si="46"/>
        <v>0.98605063699403317</v>
      </c>
    </row>
    <row r="267" spans="1:21">
      <c r="A267" s="2985" t="str">
        <f>清单!D246</f>
        <v>4-13</v>
      </c>
      <c r="B267" s="717">
        <f>清单!G246</f>
        <v>147.88999999999999</v>
      </c>
      <c r="C267" s="24">
        <f t="shared" si="47"/>
        <v>1</v>
      </c>
      <c r="D267" s="719" t="s">
        <v>3844</v>
      </c>
      <c r="E267" s="24">
        <f t="shared" si="48"/>
        <v>0.97</v>
      </c>
      <c r="F267" s="3020" t="s">
        <v>3930</v>
      </c>
      <c r="G267" s="24">
        <f t="shared" si="49"/>
        <v>1.03</v>
      </c>
      <c r="H267" s="719" t="s">
        <v>3316</v>
      </c>
      <c r="I267" s="24">
        <f t="shared" si="50"/>
        <v>1</v>
      </c>
      <c r="J267" s="719"/>
      <c r="K267" s="24">
        <f t="shared" si="51"/>
        <v>1</v>
      </c>
      <c r="L267" s="719"/>
      <c r="M267" s="24">
        <f t="shared" si="52"/>
        <v>1</v>
      </c>
      <c r="N267" s="719"/>
      <c r="O267" s="24">
        <f t="shared" si="53"/>
        <v>1</v>
      </c>
      <c r="P267" s="719" t="s">
        <v>3928</v>
      </c>
      <c r="Q267" s="24">
        <f t="shared" si="54"/>
        <v>0.3</v>
      </c>
      <c r="R267" s="715">
        <f t="shared" ca="1" si="55"/>
        <v>12743</v>
      </c>
      <c r="S267" s="361">
        <f t="shared" ca="1" si="56"/>
        <v>188</v>
      </c>
      <c r="T267" s="799">
        <f>剩余房源售价清单!I246</f>
        <v>15129</v>
      </c>
      <c r="U267" s="799">
        <f t="shared" ca="1" si="46"/>
        <v>0.84228964240861925</v>
      </c>
    </row>
    <row r="268" spans="1:21">
      <c r="A268" s="2985" t="str">
        <f>清单!D247</f>
        <v>4-16</v>
      </c>
      <c r="B268" s="717">
        <f>清单!G247</f>
        <v>148.49</v>
      </c>
      <c r="C268" s="24">
        <f t="shared" si="47"/>
        <v>1</v>
      </c>
      <c r="D268" s="3020" t="s">
        <v>3932</v>
      </c>
      <c r="E268" s="24">
        <f t="shared" si="48"/>
        <v>0.94</v>
      </c>
      <c r="F268" s="3020" t="s">
        <v>3930</v>
      </c>
      <c r="G268" s="24">
        <f t="shared" si="49"/>
        <v>1.03</v>
      </c>
      <c r="H268" s="719" t="s">
        <v>3316</v>
      </c>
      <c r="I268" s="24">
        <f t="shared" si="50"/>
        <v>1</v>
      </c>
      <c r="J268" s="719"/>
      <c r="K268" s="24">
        <f t="shared" si="51"/>
        <v>1</v>
      </c>
      <c r="L268" s="719"/>
      <c r="M268" s="24">
        <f t="shared" si="52"/>
        <v>1</v>
      </c>
      <c r="N268" s="719"/>
      <c r="O268" s="24">
        <f t="shared" si="53"/>
        <v>1</v>
      </c>
      <c r="P268" s="719" t="s">
        <v>3928</v>
      </c>
      <c r="Q268" s="24">
        <f t="shared" si="54"/>
        <v>0.3</v>
      </c>
      <c r="R268" s="715">
        <f t="shared" ca="1" si="55"/>
        <v>12349</v>
      </c>
      <c r="S268" s="361">
        <f t="shared" ca="1" si="56"/>
        <v>183</v>
      </c>
      <c r="T268" s="799">
        <f>剩余房源售价清单!I247</f>
        <v>15757</v>
      </c>
      <c r="U268" s="799">
        <f t="shared" ca="1" si="46"/>
        <v>0.7837151742082884</v>
      </c>
    </row>
    <row r="269" spans="1:21">
      <c r="A269" s="2985" t="str">
        <f>清单!D248</f>
        <v>4-17</v>
      </c>
      <c r="B269" s="717">
        <f>清单!G248</f>
        <v>107.2</v>
      </c>
      <c r="C269" s="24">
        <f t="shared" si="47"/>
        <v>1.02</v>
      </c>
      <c r="D269" s="3020" t="s">
        <v>3932</v>
      </c>
      <c r="E269" s="24">
        <f t="shared" si="48"/>
        <v>0.94</v>
      </c>
      <c r="F269" s="3020" t="s">
        <v>3930</v>
      </c>
      <c r="G269" s="24">
        <f t="shared" si="49"/>
        <v>1.03</v>
      </c>
      <c r="H269" s="719" t="s">
        <v>3316</v>
      </c>
      <c r="I269" s="24">
        <f t="shared" si="50"/>
        <v>1</v>
      </c>
      <c r="J269" s="719"/>
      <c r="K269" s="24">
        <f t="shared" si="51"/>
        <v>1</v>
      </c>
      <c r="L269" s="719"/>
      <c r="M269" s="24">
        <f t="shared" si="52"/>
        <v>1</v>
      </c>
      <c r="N269" s="719"/>
      <c r="O269" s="24">
        <f t="shared" si="53"/>
        <v>1</v>
      </c>
      <c r="P269" s="719" t="s">
        <v>3928</v>
      </c>
      <c r="Q269" s="24">
        <f t="shared" si="54"/>
        <v>0.3</v>
      </c>
      <c r="R269" s="715">
        <f t="shared" ca="1" si="55"/>
        <v>12596</v>
      </c>
      <c r="S269" s="361">
        <f t="shared" ca="1" si="56"/>
        <v>135</v>
      </c>
      <c r="T269" s="799">
        <f>剩余房源售价清单!I248</f>
        <v>16078</v>
      </c>
      <c r="U269" s="799">
        <f t="shared" ca="1" si="46"/>
        <v>0.78343077497201141</v>
      </c>
    </row>
    <row r="270" spans="1:21">
      <c r="A270" s="2985" t="str">
        <f>清单!D249</f>
        <v>4-18</v>
      </c>
      <c r="B270" s="717">
        <f>清单!G249</f>
        <v>140.35</v>
      </c>
      <c r="C270" s="24">
        <f t="shared" si="47"/>
        <v>1</v>
      </c>
      <c r="D270" s="3020" t="s">
        <v>3932</v>
      </c>
      <c r="E270" s="24">
        <f t="shared" si="48"/>
        <v>0.94</v>
      </c>
      <c r="F270" s="3020" t="s">
        <v>3930</v>
      </c>
      <c r="G270" s="24">
        <f t="shared" si="49"/>
        <v>1.03</v>
      </c>
      <c r="H270" s="719" t="s">
        <v>3316</v>
      </c>
      <c r="I270" s="24">
        <f t="shared" si="50"/>
        <v>1</v>
      </c>
      <c r="J270" s="719"/>
      <c r="K270" s="24">
        <f t="shared" si="51"/>
        <v>1</v>
      </c>
      <c r="L270" s="719"/>
      <c r="M270" s="24">
        <f t="shared" si="52"/>
        <v>1</v>
      </c>
      <c r="N270" s="719"/>
      <c r="O270" s="24">
        <f t="shared" si="53"/>
        <v>1</v>
      </c>
      <c r="P270" s="719" t="s">
        <v>3928</v>
      </c>
      <c r="Q270" s="24">
        <f t="shared" si="54"/>
        <v>0.3</v>
      </c>
      <c r="R270" s="715">
        <f t="shared" ca="1" si="55"/>
        <v>12349</v>
      </c>
      <c r="S270" s="361">
        <f t="shared" ca="1" si="56"/>
        <v>173</v>
      </c>
      <c r="T270" s="799">
        <f>剩余房源售价清单!I249</f>
        <v>16937</v>
      </c>
      <c r="U270" s="799">
        <f t="shared" ca="1" si="46"/>
        <v>0.72911377457637128</v>
      </c>
    </row>
    <row r="271" spans="1:21">
      <c r="A271" s="2985" t="str">
        <f>清单!D250</f>
        <v>4-19</v>
      </c>
      <c r="B271" s="717">
        <f>清单!G250</f>
        <v>244.72</v>
      </c>
      <c r="C271" s="24">
        <f t="shared" si="47"/>
        <v>0.96</v>
      </c>
      <c r="D271" s="3020" t="s">
        <v>3976</v>
      </c>
      <c r="E271" s="24">
        <f t="shared" si="48"/>
        <v>0.91</v>
      </c>
      <c r="F271" s="3020" t="s">
        <v>3934</v>
      </c>
      <c r="G271" s="24">
        <f t="shared" si="49"/>
        <v>0.94</v>
      </c>
      <c r="H271" s="719" t="s">
        <v>3316</v>
      </c>
      <c r="I271" s="24">
        <f t="shared" si="50"/>
        <v>1</v>
      </c>
      <c r="J271" s="719"/>
      <c r="K271" s="24">
        <f t="shared" si="51"/>
        <v>1</v>
      </c>
      <c r="L271" s="719"/>
      <c r="M271" s="24">
        <f t="shared" si="52"/>
        <v>1</v>
      </c>
      <c r="N271" s="719"/>
      <c r="O271" s="24">
        <f t="shared" si="53"/>
        <v>1</v>
      </c>
      <c r="P271" s="719" t="s">
        <v>3928</v>
      </c>
      <c r="Q271" s="24">
        <f t="shared" si="54"/>
        <v>0.3</v>
      </c>
      <c r="R271" s="715">
        <f t="shared" ca="1" si="55"/>
        <v>10474</v>
      </c>
      <c r="S271" s="361">
        <f t="shared" ca="1" si="56"/>
        <v>256</v>
      </c>
      <c r="T271" s="799">
        <f>剩余房源售价清单!I250</f>
        <v>11071</v>
      </c>
      <c r="U271" s="799">
        <f t="shared" ca="1" si="46"/>
        <v>0.94607533194833349</v>
      </c>
    </row>
    <row r="272" spans="1:21">
      <c r="A272" s="2985" t="str">
        <f>清单!D251</f>
        <v>4-20</v>
      </c>
      <c r="B272" s="717">
        <f>清单!G251</f>
        <v>199.52</v>
      </c>
      <c r="C272" s="24">
        <f t="shared" si="47"/>
        <v>0.98</v>
      </c>
      <c r="D272" s="3020" t="s">
        <v>3976</v>
      </c>
      <c r="E272" s="24">
        <f t="shared" si="48"/>
        <v>0.91</v>
      </c>
      <c r="F272" s="3020" t="s">
        <v>3934</v>
      </c>
      <c r="G272" s="24">
        <f t="shared" si="49"/>
        <v>0.94</v>
      </c>
      <c r="H272" s="719" t="s">
        <v>3316</v>
      </c>
      <c r="I272" s="24">
        <f t="shared" si="50"/>
        <v>1</v>
      </c>
      <c r="J272" s="719"/>
      <c r="K272" s="24">
        <f t="shared" si="51"/>
        <v>1</v>
      </c>
      <c r="L272" s="719"/>
      <c r="M272" s="24">
        <f t="shared" si="52"/>
        <v>1</v>
      </c>
      <c r="N272" s="719"/>
      <c r="O272" s="24">
        <f t="shared" si="53"/>
        <v>1</v>
      </c>
      <c r="P272" s="719" t="s">
        <v>3928</v>
      </c>
      <c r="Q272" s="24">
        <f t="shared" si="54"/>
        <v>0.3</v>
      </c>
      <c r="R272" s="715">
        <f t="shared" ca="1" si="55"/>
        <v>10692</v>
      </c>
      <c r="S272" s="361">
        <f t="shared" ca="1" si="56"/>
        <v>213</v>
      </c>
      <c r="T272" s="799">
        <f>剩余房源售价清单!I251</f>
        <v>11177</v>
      </c>
      <c r="U272" s="799">
        <f t="shared" ca="1" si="46"/>
        <v>0.95660731860069781</v>
      </c>
    </row>
    <row r="273" spans="1:21">
      <c r="A273" s="2985"/>
      <c r="B273" s="59"/>
      <c r="C273" s="24">
        <f t="shared" si="47"/>
        <v>1</v>
      </c>
      <c r="D273" s="719"/>
      <c r="E273" s="24">
        <f t="shared" si="48"/>
        <v>0</v>
      </c>
      <c r="F273" s="719"/>
      <c r="G273" s="24">
        <f t="shared" si="49"/>
        <v>0.03</v>
      </c>
      <c r="H273" s="719"/>
      <c r="I273" s="24">
        <f t="shared" si="50"/>
        <v>0.02</v>
      </c>
      <c r="J273" s="719"/>
      <c r="K273" s="24">
        <f t="shared" si="51"/>
        <v>1</v>
      </c>
      <c r="L273" s="719"/>
      <c r="M273" s="24">
        <f t="shared" si="52"/>
        <v>1</v>
      </c>
      <c r="N273" s="719"/>
      <c r="O273" s="24">
        <f t="shared" si="53"/>
        <v>1</v>
      </c>
      <c r="P273" s="719"/>
      <c r="Q273" s="24">
        <f t="shared" si="54"/>
        <v>0</v>
      </c>
      <c r="R273" s="715">
        <f t="shared" si="55"/>
        <v>0</v>
      </c>
      <c r="S273" s="361">
        <f t="shared" si="56"/>
        <v>0</v>
      </c>
      <c r="T273" s="799">
        <f>剩余房源售价清单!I252</f>
        <v>0</v>
      </c>
      <c r="U273" s="799" t="e">
        <f t="shared" si="46"/>
        <v>#DIV/0!</v>
      </c>
    </row>
    <row r="274" spans="1:21">
      <c r="A274" s="2985"/>
      <c r="B274" s="59"/>
      <c r="C274" s="24">
        <f t="shared" si="47"/>
        <v>1</v>
      </c>
      <c r="D274" s="719"/>
      <c r="E274" s="24">
        <f t="shared" si="48"/>
        <v>0</v>
      </c>
      <c r="F274" s="719"/>
      <c r="G274" s="24">
        <f t="shared" si="49"/>
        <v>0.03</v>
      </c>
      <c r="H274" s="719"/>
      <c r="I274" s="24">
        <f t="shared" si="50"/>
        <v>0.02</v>
      </c>
      <c r="J274" s="719"/>
      <c r="K274" s="24">
        <f t="shared" si="51"/>
        <v>1</v>
      </c>
      <c r="L274" s="719"/>
      <c r="M274" s="24">
        <f t="shared" si="52"/>
        <v>1</v>
      </c>
      <c r="N274" s="719"/>
      <c r="O274" s="24">
        <f t="shared" si="53"/>
        <v>1</v>
      </c>
      <c r="P274" s="719"/>
      <c r="Q274" s="24">
        <f t="shared" si="54"/>
        <v>0</v>
      </c>
      <c r="R274" s="715">
        <f t="shared" si="55"/>
        <v>0</v>
      </c>
      <c r="S274" s="361">
        <f t="shared" si="56"/>
        <v>0</v>
      </c>
      <c r="T274" s="799">
        <f>剩余房源售价清单!I253</f>
        <v>0</v>
      </c>
      <c r="U274" s="799" t="e">
        <f t="shared" si="46"/>
        <v>#DIV/0!</v>
      </c>
    </row>
    <row r="275" spans="1:21">
      <c r="A275" s="2985"/>
      <c r="B275" s="59"/>
      <c r="C275" s="24">
        <f t="shared" si="47"/>
        <v>1</v>
      </c>
      <c r="D275" s="719"/>
      <c r="E275" s="24">
        <f t="shared" si="48"/>
        <v>0</v>
      </c>
      <c r="F275" s="719"/>
      <c r="G275" s="24">
        <f t="shared" si="49"/>
        <v>0.03</v>
      </c>
      <c r="H275" s="719"/>
      <c r="I275" s="24">
        <f t="shared" si="50"/>
        <v>0.02</v>
      </c>
      <c r="J275" s="719"/>
      <c r="K275" s="24">
        <f t="shared" si="51"/>
        <v>1</v>
      </c>
      <c r="L275" s="719"/>
      <c r="M275" s="24">
        <f t="shared" si="52"/>
        <v>1</v>
      </c>
      <c r="N275" s="719"/>
      <c r="O275" s="24">
        <f t="shared" si="53"/>
        <v>1</v>
      </c>
      <c r="P275" s="719"/>
      <c r="Q275" s="24">
        <f t="shared" si="54"/>
        <v>0</v>
      </c>
      <c r="R275" s="715">
        <f t="shared" si="55"/>
        <v>0</v>
      </c>
      <c r="S275" s="361">
        <f t="shared" si="56"/>
        <v>0</v>
      </c>
      <c r="T275" s="799">
        <f>剩余房源售价清单!I254</f>
        <v>0</v>
      </c>
      <c r="U275" s="799" t="e">
        <f t="shared" si="46"/>
        <v>#DIV/0!</v>
      </c>
    </row>
    <row r="276" spans="1:21">
      <c r="A276" s="2985"/>
      <c r="B276" s="59"/>
      <c r="C276" s="24">
        <f t="shared" si="47"/>
        <v>1</v>
      </c>
      <c r="D276" s="719"/>
      <c r="E276" s="24">
        <f t="shared" si="48"/>
        <v>0</v>
      </c>
      <c r="F276" s="719"/>
      <c r="G276" s="24">
        <f t="shared" si="49"/>
        <v>0.03</v>
      </c>
      <c r="H276" s="719"/>
      <c r="I276" s="24">
        <f t="shared" si="50"/>
        <v>0.02</v>
      </c>
      <c r="J276" s="719"/>
      <c r="K276" s="24">
        <f t="shared" si="51"/>
        <v>1</v>
      </c>
      <c r="L276" s="719"/>
      <c r="M276" s="24">
        <f t="shared" si="52"/>
        <v>1</v>
      </c>
      <c r="N276" s="719"/>
      <c r="O276" s="24">
        <f t="shared" si="53"/>
        <v>1</v>
      </c>
      <c r="P276" s="719"/>
      <c r="Q276" s="24">
        <f t="shared" si="54"/>
        <v>0</v>
      </c>
      <c r="R276" s="715">
        <f t="shared" si="55"/>
        <v>0</v>
      </c>
      <c r="S276" s="361">
        <f t="shared" si="56"/>
        <v>0</v>
      </c>
      <c r="T276" s="799">
        <f>剩余房源售价清单!I255</f>
        <v>0</v>
      </c>
      <c r="U276" s="799" t="e">
        <f t="shared" si="46"/>
        <v>#DIV/0!</v>
      </c>
    </row>
    <row r="277" spans="1:21">
      <c r="A277" s="2985"/>
      <c r="B277" s="59"/>
      <c r="C277" s="24">
        <f t="shared" si="47"/>
        <v>1</v>
      </c>
      <c r="D277" s="719"/>
      <c r="E277" s="24">
        <f t="shared" si="48"/>
        <v>0</v>
      </c>
      <c r="F277" s="719"/>
      <c r="G277" s="24">
        <f t="shared" si="49"/>
        <v>0.03</v>
      </c>
      <c r="H277" s="719"/>
      <c r="I277" s="24">
        <f t="shared" si="50"/>
        <v>0.02</v>
      </c>
      <c r="J277" s="719"/>
      <c r="K277" s="24">
        <f t="shared" si="51"/>
        <v>1</v>
      </c>
      <c r="L277" s="719"/>
      <c r="M277" s="24">
        <f t="shared" si="52"/>
        <v>1</v>
      </c>
      <c r="N277" s="719"/>
      <c r="O277" s="24">
        <f t="shared" si="53"/>
        <v>1</v>
      </c>
      <c r="P277" s="719"/>
      <c r="Q277" s="24">
        <f t="shared" si="54"/>
        <v>0</v>
      </c>
      <c r="R277" s="715">
        <f t="shared" si="55"/>
        <v>0</v>
      </c>
      <c r="S277" s="361">
        <f t="shared" si="56"/>
        <v>0</v>
      </c>
      <c r="T277" s="799">
        <f>剩余房源售价清单!I256</f>
        <v>0</v>
      </c>
      <c r="U277" s="799" t="e">
        <f t="shared" si="46"/>
        <v>#DIV/0!</v>
      </c>
    </row>
    <row r="278" spans="1:21">
      <c r="A278" s="2985"/>
      <c r="B278" s="59"/>
      <c r="C278" s="24">
        <f t="shared" si="47"/>
        <v>1</v>
      </c>
      <c r="D278" s="719"/>
      <c r="E278" s="24">
        <f t="shared" si="48"/>
        <v>0</v>
      </c>
      <c r="F278" s="719"/>
      <c r="G278" s="24">
        <f t="shared" si="49"/>
        <v>0.03</v>
      </c>
      <c r="H278" s="719"/>
      <c r="I278" s="24">
        <f t="shared" si="50"/>
        <v>0.02</v>
      </c>
      <c r="J278" s="719"/>
      <c r="K278" s="24">
        <f t="shared" si="51"/>
        <v>1</v>
      </c>
      <c r="L278" s="719"/>
      <c r="M278" s="24">
        <f t="shared" si="52"/>
        <v>1</v>
      </c>
      <c r="N278" s="719"/>
      <c r="O278" s="24">
        <f t="shared" si="53"/>
        <v>1</v>
      </c>
      <c r="P278" s="719"/>
      <c r="Q278" s="24">
        <f t="shared" si="54"/>
        <v>0</v>
      </c>
      <c r="R278" s="715">
        <f t="shared" si="55"/>
        <v>0</v>
      </c>
      <c r="S278" s="361">
        <f t="shared" si="56"/>
        <v>0</v>
      </c>
      <c r="T278" s="799">
        <f>剩余房源售价清单!I257</f>
        <v>0</v>
      </c>
      <c r="U278" s="799" t="e">
        <f t="shared" si="46"/>
        <v>#DIV/0!</v>
      </c>
    </row>
    <row r="279" spans="1:21">
      <c r="A279" s="2985"/>
      <c r="B279" s="59"/>
      <c r="C279" s="24">
        <f t="shared" si="47"/>
        <v>1</v>
      </c>
      <c r="D279" s="719"/>
      <c r="E279" s="24">
        <f t="shared" si="48"/>
        <v>0</v>
      </c>
      <c r="F279" s="719"/>
      <c r="G279" s="24">
        <f t="shared" si="49"/>
        <v>0.03</v>
      </c>
      <c r="H279" s="719"/>
      <c r="I279" s="24">
        <f t="shared" si="50"/>
        <v>0.02</v>
      </c>
      <c r="J279" s="719"/>
      <c r="K279" s="24">
        <f t="shared" si="51"/>
        <v>1</v>
      </c>
      <c r="L279" s="719"/>
      <c r="M279" s="24">
        <f t="shared" si="52"/>
        <v>1</v>
      </c>
      <c r="N279" s="719"/>
      <c r="O279" s="24">
        <f t="shared" si="53"/>
        <v>1</v>
      </c>
      <c r="P279" s="719"/>
      <c r="Q279" s="24">
        <f t="shared" si="54"/>
        <v>0</v>
      </c>
      <c r="R279" s="715">
        <f t="shared" si="55"/>
        <v>0</v>
      </c>
      <c r="S279" s="361">
        <f t="shared" si="56"/>
        <v>0</v>
      </c>
      <c r="T279" s="799">
        <f>剩余房源售价清单!I258</f>
        <v>0</v>
      </c>
      <c r="U279" s="799" t="e">
        <f t="shared" si="46"/>
        <v>#DIV/0!</v>
      </c>
    </row>
    <row r="280" spans="1:21">
      <c r="A280" s="2985"/>
      <c r="B280" s="59"/>
      <c r="C280" s="24">
        <f t="shared" si="47"/>
        <v>1</v>
      </c>
      <c r="D280" s="719"/>
      <c r="E280" s="24">
        <f t="shared" si="48"/>
        <v>0</v>
      </c>
      <c r="F280" s="719"/>
      <c r="G280" s="24">
        <f t="shared" si="49"/>
        <v>0.03</v>
      </c>
      <c r="H280" s="719"/>
      <c r="I280" s="24">
        <f t="shared" si="50"/>
        <v>0.02</v>
      </c>
      <c r="J280" s="719"/>
      <c r="K280" s="24">
        <f t="shared" si="51"/>
        <v>1</v>
      </c>
      <c r="L280" s="719"/>
      <c r="M280" s="24">
        <f t="shared" si="52"/>
        <v>1</v>
      </c>
      <c r="N280" s="719"/>
      <c r="O280" s="24">
        <f t="shared" si="53"/>
        <v>1</v>
      </c>
      <c r="P280" s="719"/>
      <c r="Q280" s="24">
        <f t="shared" si="54"/>
        <v>0</v>
      </c>
      <c r="R280" s="715">
        <f t="shared" si="55"/>
        <v>0</v>
      </c>
      <c r="S280" s="361">
        <f t="shared" si="56"/>
        <v>0</v>
      </c>
      <c r="T280" s="799">
        <f>剩余房源售价清单!I259</f>
        <v>0</v>
      </c>
      <c r="U280" s="799" t="e">
        <f t="shared" si="46"/>
        <v>#DIV/0!</v>
      </c>
    </row>
    <row r="281" spans="1:21">
      <c r="A281" s="2985"/>
      <c r="B281" s="59"/>
      <c r="C281" s="24">
        <f t="shared" si="47"/>
        <v>1</v>
      </c>
      <c r="D281" s="719"/>
      <c r="E281" s="24">
        <f t="shared" si="48"/>
        <v>0</v>
      </c>
      <c r="F281" s="719"/>
      <c r="G281" s="24">
        <f t="shared" si="49"/>
        <v>0.03</v>
      </c>
      <c r="H281" s="719"/>
      <c r="I281" s="24">
        <f t="shared" si="50"/>
        <v>0.02</v>
      </c>
      <c r="J281" s="719"/>
      <c r="K281" s="24">
        <f t="shared" si="51"/>
        <v>1</v>
      </c>
      <c r="L281" s="719"/>
      <c r="M281" s="24">
        <f t="shared" si="52"/>
        <v>1</v>
      </c>
      <c r="N281" s="719"/>
      <c r="O281" s="24">
        <f t="shared" si="53"/>
        <v>1</v>
      </c>
      <c r="P281" s="719"/>
      <c r="Q281" s="24">
        <f t="shared" si="54"/>
        <v>0</v>
      </c>
      <c r="R281" s="715">
        <f t="shared" si="55"/>
        <v>0</v>
      </c>
      <c r="S281" s="361">
        <f t="shared" si="56"/>
        <v>0</v>
      </c>
      <c r="T281" s="799">
        <f>剩余房源售价清单!I260</f>
        <v>0</v>
      </c>
      <c r="U281" s="799" t="e">
        <f t="shared" ref="U281:U344" si="57">R281/T281</f>
        <v>#DIV/0!</v>
      </c>
    </row>
    <row r="282" spans="1:21">
      <c r="A282" s="2985"/>
      <c r="B282" s="59"/>
      <c r="C282" s="24">
        <f t="shared" ref="C282:C345" si="58">IF(B282="",1,(LOOKUP(B282,$3:$3,$4:$4)-LOOKUP($B$24,$3:$3,$4:$4)+100)/100)</f>
        <v>1</v>
      </c>
      <c r="D282" s="719"/>
      <c r="E282" s="24">
        <f t="shared" ref="E282:E345" si="59">(SUMIF($5:$5,D282,$6:$6)-SUMIF($5:$5,$D$24,$6:$6)+100)/100</f>
        <v>0</v>
      </c>
      <c r="F282" s="719"/>
      <c r="G282" s="24">
        <f t="shared" ref="G282:G345" si="60">(SUMIF($7:$7,F282,$8:$8)-SUMIF($7:$7,$F$24,$8:$8)+100)/100</f>
        <v>0.03</v>
      </c>
      <c r="H282" s="719"/>
      <c r="I282" s="24">
        <f t="shared" ref="I282:I345" si="61">(SUMIF($9:$9,H282,$10:$10)-SUMIF($9:$9,$H$24,$10:$10)+100)/100</f>
        <v>0.02</v>
      </c>
      <c r="J282" s="719"/>
      <c r="K282" s="24">
        <f t="shared" ref="K282:K345" si="62">(SUMIF($11:$11,J282,$12:$12)-SUMIF($11:$11,$J$24,$12:$12)+100)/100</f>
        <v>1</v>
      </c>
      <c r="L282" s="719"/>
      <c r="M282" s="24">
        <f t="shared" ref="M282:M345" si="63">(SUMIF($13:$13,L282,$14:$14)-SUMIF($13:$13,$L$24,$14:$14)+100)/100</f>
        <v>1</v>
      </c>
      <c r="N282" s="719"/>
      <c r="O282" s="24">
        <f t="shared" ref="O282:O345" si="64">(SUMIF($15:$15,N282,$16:$16)-SUMIF($15:$15,$N$24,$16:$16)+100)/100</f>
        <v>1</v>
      </c>
      <c r="P282" s="719"/>
      <c r="Q282" s="24">
        <f t="shared" ref="Q282:Q345" si="65">(SUMIF($17:$17,P282,$18:$18)-SUMIF($17:$17,$P$24,$18:$18)+100)/100</f>
        <v>0</v>
      </c>
      <c r="R282" s="715">
        <f t="shared" ref="R282:R345" si="66">IF(B282="",0,ROUND($R$24*C282*E282*G282*I282*K282*M282*O282*Q282,0))</f>
        <v>0</v>
      </c>
      <c r="S282" s="361">
        <f t="shared" si="56"/>
        <v>0</v>
      </c>
      <c r="T282" s="799">
        <f>剩余房源售价清单!I261</f>
        <v>0</v>
      </c>
      <c r="U282" s="799" t="e">
        <f t="shared" si="57"/>
        <v>#DIV/0!</v>
      </c>
    </row>
    <row r="283" spans="1:21">
      <c r="A283" s="2985"/>
      <c r="B283" s="59"/>
      <c r="C283" s="24">
        <f t="shared" si="58"/>
        <v>1</v>
      </c>
      <c r="D283" s="719"/>
      <c r="E283" s="24">
        <f t="shared" si="59"/>
        <v>0</v>
      </c>
      <c r="F283" s="719"/>
      <c r="G283" s="24">
        <f t="shared" si="60"/>
        <v>0.03</v>
      </c>
      <c r="H283" s="719"/>
      <c r="I283" s="24">
        <f t="shared" si="61"/>
        <v>0.02</v>
      </c>
      <c r="J283" s="719"/>
      <c r="K283" s="24">
        <f t="shared" si="62"/>
        <v>1</v>
      </c>
      <c r="L283" s="719"/>
      <c r="M283" s="24">
        <f t="shared" si="63"/>
        <v>1</v>
      </c>
      <c r="N283" s="719"/>
      <c r="O283" s="24">
        <f t="shared" si="64"/>
        <v>1</v>
      </c>
      <c r="P283" s="719"/>
      <c r="Q283" s="24">
        <f t="shared" si="65"/>
        <v>0</v>
      </c>
      <c r="R283" s="715">
        <f t="shared" si="66"/>
        <v>0</v>
      </c>
      <c r="S283" s="361">
        <f t="shared" si="56"/>
        <v>0</v>
      </c>
      <c r="T283" s="799">
        <f>剩余房源售价清单!I262</f>
        <v>0</v>
      </c>
      <c r="U283" s="799" t="e">
        <f t="shared" si="57"/>
        <v>#DIV/0!</v>
      </c>
    </row>
    <row r="284" spans="1:21">
      <c r="A284" s="2985"/>
      <c r="B284" s="59"/>
      <c r="C284" s="24">
        <f t="shared" si="58"/>
        <v>1</v>
      </c>
      <c r="D284" s="719"/>
      <c r="E284" s="24">
        <f t="shared" si="59"/>
        <v>0</v>
      </c>
      <c r="F284" s="719"/>
      <c r="G284" s="24">
        <f t="shared" si="60"/>
        <v>0.03</v>
      </c>
      <c r="H284" s="719"/>
      <c r="I284" s="24">
        <f t="shared" si="61"/>
        <v>0.02</v>
      </c>
      <c r="J284" s="719"/>
      <c r="K284" s="24">
        <f t="shared" si="62"/>
        <v>1</v>
      </c>
      <c r="L284" s="719"/>
      <c r="M284" s="24">
        <f t="shared" si="63"/>
        <v>1</v>
      </c>
      <c r="N284" s="719"/>
      <c r="O284" s="24">
        <f t="shared" si="64"/>
        <v>1</v>
      </c>
      <c r="P284" s="719"/>
      <c r="Q284" s="24">
        <f t="shared" si="65"/>
        <v>0</v>
      </c>
      <c r="R284" s="715">
        <f t="shared" si="66"/>
        <v>0</v>
      </c>
      <c r="S284" s="361">
        <f t="shared" si="56"/>
        <v>0</v>
      </c>
      <c r="T284" s="799">
        <f>剩余房源售价清单!I263</f>
        <v>0</v>
      </c>
      <c r="U284" s="799" t="e">
        <f t="shared" si="57"/>
        <v>#DIV/0!</v>
      </c>
    </row>
    <row r="285" spans="1:21">
      <c r="A285" s="2985"/>
      <c r="B285" s="59"/>
      <c r="C285" s="24">
        <f t="shared" si="58"/>
        <v>1</v>
      </c>
      <c r="D285" s="719"/>
      <c r="E285" s="24">
        <f t="shared" si="59"/>
        <v>0</v>
      </c>
      <c r="F285" s="719"/>
      <c r="G285" s="24">
        <f t="shared" si="60"/>
        <v>0.03</v>
      </c>
      <c r="H285" s="719"/>
      <c r="I285" s="24">
        <f t="shared" si="61"/>
        <v>0.02</v>
      </c>
      <c r="J285" s="719"/>
      <c r="K285" s="24">
        <f t="shared" si="62"/>
        <v>1</v>
      </c>
      <c r="L285" s="719"/>
      <c r="M285" s="24">
        <f t="shared" si="63"/>
        <v>1</v>
      </c>
      <c r="N285" s="719"/>
      <c r="O285" s="24">
        <f t="shared" si="64"/>
        <v>1</v>
      </c>
      <c r="P285" s="719"/>
      <c r="Q285" s="24">
        <f t="shared" si="65"/>
        <v>0</v>
      </c>
      <c r="R285" s="715">
        <f t="shared" si="66"/>
        <v>0</v>
      </c>
      <c r="S285" s="361">
        <f t="shared" si="56"/>
        <v>0</v>
      </c>
      <c r="T285" s="799">
        <f>剩余房源售价清单!I264</f>
        <v>0</v>
      </c>
      <c r="U285" s="799" t="e">
        <f t="shared" si="57"/>
        <v>#DIV/0!</v>
      </c>
    </row>
    <row r="286" spans="1:21">
      <c r="A286" s="2985"/>
      <c r="B286" s="59"/>
      <c r="C286" s="24">
        <f t="shared" si="58"/>
        <v>1</v>
      </c>
      <c r="D286" s="719"/>
      <c r="E286" s="24">
        <f t="shared" si="59"/>
        <v>0</v>
      </c>
      <c r="F286" s="719"/>
      <c r="G286" s="24">
        <f t="shared" si="60"/>
        <v>0.03</v>
      </c>
      <c r="H286" s="719"/>
      <c r="I286" s="24">
        <f t="shared" si="61"/>
        <v>0.02</v>
      </c>
      <c r="J286" s="719"/>
      <c r="K286" s="24">
        <f t="shared" si="62"/>
        <v>1</v>
      </c>
      <c r="L286" s="719"/>
      <c r="M286" s="24">
        <f t="shared" si="63"/>
        <v>1</v>
      </c>
      <c r="N286" s="719"/>
      <c r="O286" s="24">
        <f t="shared" si="64"/>
        <v>1</v>
      </c>
      <c r="P286" s="719"/>
      <c r="Q286" s="24">
        <f t="shared" si="65"/>
        <v>0</v>
      </c>
      <c r="R286" s="715">
        <f t="shared" si="66"/>
        <v>0</v>
      </c>
      <c r="S286" s="361">
        <f t="shared" si="56"/>
        <v>0</v>
      </c>
      <c r="T286" s="799">
        <f>剩余房源售价清单!I265</f>
        <v>0</v>
      </c>
      <c r="U286" s="799" t="e">
        <f t="shared" si="57"/>
        <v>#DIV/0!</v>
      </c>
    </row>
    <row r="287" spans="1:21">
      <c r="A287" s="2985"/>
      <c r="B287" s="59"/>
      <c r="C287" s="24">
        <f t="shared" si="58"/>
        <v>1</v>
      </c>
      <c r="D287" s="719"/>
      <c r="E287" s="24">
        <f t="shared" si="59"/>
        <v>0</v>
      </c>
      <c r="F287" s="719"/>
      <c r="G287" s="24">
        <f t="shared" si="60"/>
        <v>0.03</v>
      </c>
      <c r="H287" s="719"/>
      <c r="I287" s="24">
        <f t="shared" si="61"/>
        <v>0.02</v>
      </c>
      <c r="J287" s="719"/>
      <c r="K287" s="24">
        <f t="shared" si="62"/>
        <v>1</v>
      </c>
      <c r="L287" s="719"/>
      <c r="M287" s="24">
        <f t="shared" si="63"/>
        <v>1</v>
      </c>
      <c r="N287" s="719"/>
      <c r="O287" s="24">
        <f t="shared" si="64"/>
        <v>1</v>
      </c>
      <c r="P287" s="719"/>
      <c r="Q287" s="24">
        <f t="shared" si="65"/>
        <v>0</v>
      </c>
      <c r="R287" s="715">
        <f t="shared" si="66"/>
        <v>0</v>
      </c>
      <c r="S287" s="361">
        <f t="shared" ref="S287:S320" si="67">ROUND(R287*B287/10000,0)</f>
        <v>0</v>
      </c>
      <c r="T287" s="799">
        <f>剩余房源售价清单!I266</f>
        <v>0</v>
      </c>
      <c r="U287" s="799" t="e">
        <f t="shared" si="57"/>
        <v>#DIV/0!</v>
      </c>
    </row>
    <row r="288" spans="1:21">
      <c r="A288" s="2985"/>
      <c r="B288" s="59"/>
      <c r="C288" s="24">
        <f t="shared" si="58"/>
        <v>1</v>
      </c>
      <c r="D288" s="719"/>
      <c r="E288" s="24">
        <f t="shared" si="59"/>
        <v>0</v>
      </c>
      <c r="F288" s="719"/>
      <c r="G288" s="24">
        <f t="shared" si="60"/>
        <v>0.03</v>
      </c>
      <c r="H288" s="719"/>
      <c r="I288" s="24">
        <f t="shared" si="61"/>
        <v>0.02</v>
      </c>
      <c r="J288" s="719"/>
      <c r="K288" s="24">
        <f t="shared" si="62"/>
        <v>1</v>
      </c>
      <c r="L288" s="719"/>
      <c r="M288" s="24">
        <f t="shared" si="63"/>
        <v>1</v>
      </c>
      <c r="N288" s="719"/>
      <c r="O288" s="24">
        <f t="shared" si="64"/>
        <v>1</v>
      </c>
      <c r="P288" s="719"/>
      <c r="Q288" s="24">
        <f t="shared" si="65"/>
        <v>0</v>
      </c>
      <c r="R288" s="715">
        <f t="shared" si="66"/>
        <v>0</v>
      </c>
      <c r="S288" s="361">
        <f t="shared" si="67"/>
        <v>0</v>
      </c>
      <c r="T288" s="799">
        <f>剩余房源售价清单!I267</f>
        <v>0</v>
      </c>
      <c r="U288" s="799" t="e">
        <f t="shared" si="57"/>
        <v>#DIV/0!</v>
      </c>
    </row>
    <row r="289" spans="1:21">
      <c r="A289" s="2985"/>
      <c r="B289" s="59"/>
      <c r="C289" s="24">
        <f t="shared" si="58"/>
        <v>1</v>
      </c>
      <c r="D289" s="719"/>
      <c r="E289" s="24">
        <f t="shared" si="59"/>
        <v>0</v>
      </c>
      <c r="F289" s="719"/>
      <c r="G289" s="24">
        <f t="shared" si="60"/>
        <v>0.03</v>
      </c>
      <c r="H289" s="719"/>
      <c r="I289" s="24">
        <f t="shared" si="61"/>
        <v>0.02</v>
      </c>
      <c r="J289" s="719"/>
      <c r="K289" s="24">
        <f t="shared" si="62"/>
        <v>1</v>
      </c>
      <c r="L289" s="719"/>
      <c r="M289" s="24">
        <f t="shared" si="63"/>
        <v>1</v>
      </c>
      <c r="N289" s="719"/>
      <c r="O289" s="24">
        <f t="shared" si="64"/>
        <v>1</v>
      </c>
      <c r="P289" s="719"/>
      <c r="Q289" s="24">
        <f t="shared" si="65"/>
        <v>0</v>
      </c>
      <c r="R289" s="715">
        <f t="shared" si="66"/>
        <v>0</v>
      </c>
      <c r="S289" s="361">
        <f t="shared" si="67"/>
        <v>0</v>
      </c>
      <c r="T289" s="799">
        <f>剩余房源售价清单!I268</f>
        <v>0</v>
      </c>
      <c r="U289" s="799" t="e">
        <f t="shared" si="57"/>
        <v>#DIV/0!</v>
      </c>
    </row>
    <row r="290" spans="1:21">
      <c r="A290" s="2985"/>
      <c r="B290" s="59"/>
      <c r="C290" s="24">
        <f t="shared" si="58"/>
        <v>1</v>
      </c>
      <c r="D290" s="719"/>
      <c r="E290" s="24">
        <f t="shared" si="59"/>
        <v>0</v>
      </c>
      <c r="F290" s="719"/>
      <c r="G290" s="24">
        <f t="shared" si="60"/>
        <v>0.03</v>
      </c>
      <c r="H290" s="719"/>
      <c r="I290" s="24">
        <f t="shared" si="61"/>
        <v>0.02</v>
      </c>
      <c r="J290" s="719"/>
      <c r="K290" s="24">
        <f t="shared" si="62"/>
        <v>1</v>
      </c>
      <c r="L290" s="719"/>
      <c r="M290" s="24">
        <f t="shared" si="63"/>
        <v>1</v>
      </c>
      <c r="N290" s="719"/>
      <c r="O290" s="24">
        <f t="shared" si="64"/>
        <v>1</v>
      </c>
      <c r="P290" s="719"/>
      <c r="Q290" s="24">
        <f t="shared" si="65"/>
        <v>0</v>
      </c>
      <c r="R290" s="715">
        <f t="shared" si="66"/>
        <v>0</v>
      </c>
      <c r="S290" s="361">
        <f t="shared" si="67"/>
        <v>0</v>
      </c>
      <c r="T290" s="799">
        <f>剩余房源售价清单!I269</f>
        <v>0</v>
      </c>
      <c r="U290" s="799" t="e">
        <f t="shared" si="57"/>
        <v>#DIV/0!</v>
      </c>
    </row>
    <row r="291" spans="1:21">
      <c r="A291" s="2985"/>
      <c r="B291" s="59"/>
      <c r="C291" s="24">
        <f t="shared" si="58"/>
        <v>1</v>
      </c>
      <c r="D291" s="719"/>
      <c r="E291" s="24">
        <f t="shared" si="59"/>
        <v>0</v>
      </c>
      <c r="F291" s="719"/>
      <c r="G291" s="24">
        <f t="shared" si="60"/>
        <v>0.03</v>
      </c>
      <c r="H291" s="719"/>
      <c r="I291" s="24">
        <f t="shared" si="61"/>
        <v>0.02</v>
      </c>
      <c r="J291" s="719"/>
      <c r="K291" s="24">
        <f t="shared" si="62"/>
        <v>1</v>
      </c>
      <c r="L291" s="719"/>
      <c r="M291" s="24">
        <f t="shared" si="63"/>
        <v>1</v>
      </c>
      <c r="N291" s="719"/>
      <c r="O291" s="24">
        <f t="shared" si="64"/>
        <v>1</v>
      </c>
      <c r="P291" s="719"/>
      <c r="Q291" s="24">
        <f t="shared" si="65"/>
        <v>0</v>
      </c>
      <c r="R291" s="715">
        <f t="shared" si="66"/>
        <v>0</v>
      </c>
      <c r="S291" s="361">
        <f t="shared" si="67"/>
        <v>0</v>
      </c>
      <c r="T291" s="799">
        <f>剩余房源售价清单!I270</f>
        <v>0</v>
      </c>
      <c r="U291" s="799" t="e">
        <f t="shared" si="57"/>
        <v>#DIV/0!</v>
      </c>
    </row>
    <row r="292" spans="1:21">
      <c r="A292" s="2985"/>
      <c r="B292" s="59"/>
      <c r="C292" s="24">
        <f t="shared" si="58"/>
        <v>1</v>
      </c>
      <c r="D292" s="719"/>
      <c r="E292" s="24">
        <f t="shared" si="59"/>
        <v>0</v>
      </c>
      <c r="F292" s="719"/>
      <c r="G292" s="24">
        <f t="shared" si="60"/>
        <v>0.03</v>
      </c>
      <c r="H292" s="719"/>
      <c r="I292" s="24">
        <f t="shared" si="61"/>
        <v>0.02</v>
      </c>
      <c r="J292" s="719"/>
      <c r="K292" s="24">
        <f t="shared" si="62"/>
        <v>1</v>
      </c>
      <c r="L292" s="719"/>
      <c r="M292" s="24">
        <f t="shared" si="63"/>
        <v>1</v>
      </c>
      <c r="N292" s="719"/>
      <c r="O292" s="24">
        <f t="shared" si="64"/>
        <v>1</v>
      </c>
      <c r="P292" s="719"/>
      <c r="Q292" s="24">
        <f t="shared" si="65"/>
        <v>0</v>
      </c>
      <c r="R292" s="715">
        <f t="shared" si="66"/>
        <v>0</v>
      </c>
      <c r="S292" s="361">
        <f t="shared" si="67"/>
        <v>0</v>
      </c>
      <c r="T292" s="799">
        <f>剩余房源售价清单!I271</f>
        <v>0</v>
      </c>
      <c r="U292" s="799" t="e">
        <f t="shared" si="57"/>
        <v>#DIV/0!</v>
      </c>
    </row>
    <row r="293" spans="1:21">
      <c r="A293" s="2985"/>
      <c r="B293" s="59"/>
      <c r="C293" s="24">
        <f t="shared" si="58"/>
        <v>1</v>
      </c>
      <c r="D293" s="719"/>
      <c r="E293" s="24">
        <f t="shared" si="59"/>
        <v>0</v>
      </c>
      <c r="F293" s="719"/>
      <c r="G293" s="24">
        <f t="shared" si="60"/>
        <v>0.03</v>
      </c>
      <c r="H293" s="719"/>
      <c r="I293" s="24">
        <f t="shared" si="61"/>
        <v>0.02</v>
      </c>
      <c r="J293" s="719"/>
      <c r="K293" s="24">
        <f t="shared" si="62"/>
        <v>1</v>
      </c>
      <c r="L293" s="719"/>
      <c r="M293" s="24">
        <f t="shared" si="63"/>
        <v>1</v>
      </c>
      <c r="N293" s="719"/>
      <c r="O293" s="24">
        <f t="shared" si="64"/>
        <v>1</v>
      </c>
      <c r="P293" s="719"/>
      <c r="Q293" s="24">
        <f t="shared" si="65"/>
        <v>0</v>
      </c>
      <c r="R293" s="715">
        <f t="shared" si="66"/>
        <v>0</v>
      </c>
      <c r="S293" s="361">
        <f t="shared" si="67"/>
        <v>0</v>
      </c>
      <c r="T293" s="799">
        <f>剩余房源售价清单!I272</f>
        <v>0</v>
      </c>
      <c r="U293" s="799" t="e">
        <f t="shared" si="57"/>
        <v>#DIV/0!</v>
      </c>
    </row>
    <row r="294" spans="1:21">
      <c r="A294" s="2985"/>
      <c r="B294" s="59"/>
      <c r="C294" s="24">
        <f t="shared" si="58"/>
        <v>1</v>
      </c>
      <c r="D294" s="719"/>
      <c r="E294" s="24">
        <f t="shared" si="59"/>
        <v>0</v>
      </c>
      <c r="F294" s="719"/>
      <c r="G294" s="24">
        <f t="shared" si="60"/>
        <v>0.03</v>
      </c>
      <c r="H294" s="719"/>
      <c r="I294" s="24">
        <f t="shared" si="61"/>
        <v>0.02</v>
      </c>
      <c r="J294" s="719"/>
      <c r="K294" s="24">
        <f t="shared" si="62"/>
        <v>1</v>
      </c>
      <c r="L294" s="719"/>
      <c r="M294" s="24">
        <f t="shared" si="63"/>
        <v>1</v>
      </c>
      <c r="N294" s="719"/>
      <c r="O294" s="24">
        <f t="shared" si="64"/>
        <v>1</v>
      </c>
      <c r="P294" s="719"/>
      <c r="Q294" s="24">
        <f t="shared" si="65"/>
        <v>0</v>
      </c>
      <c r="R294" s="715">
        <f t="shared" si="66"/>
        <v>0</v>
      </c>
      <c r="S294" s="361">
        <f t="shared" si="67"/>
        <v>0</v>
      </c>
      <c r="T294" s="799">
        <f>剩余房源售价清单!I273</f>
        <v>0</v>
      </c>
      <c r="U294" s="799" t="e">
        <f t="shared" si="57"/>
        <v>#DIV/0!</v>
      </c>
    </row>
    <row r="295" spans="1:21">
      <c r="A295" s="2985"/>
      <c r="B295" s="59"/>
      <c r="C295" s="24">
        <f t="shared" si="58"/>
        <v>1</v>
      </c>
      <c r="D295" s="719"/>
      <c r="E295" s="24">
        <f t="shared" si="59"/>
        <v>0</v>
      </c>
      <c r="F295" s="719"/>
      <c r="G295" s="24">
        <f t="shared" si="60"/>
        <v>0.03</v>
      </c>
      <c r="H295" s="719"/>
      <c r="I295" s="24">
        <f t="shared" si="61"/>
        <v>0.02</v>
      </c>
      <c r="J295" s="719"/>
      <c r="K295" s="24">
        <f t="shared" si="62"/>
        <v>1</v>
      </c>
      <c r="L295" s="719"/>
      <c r="M295" s="24">
        <f t="shared" si="63"/>
        <v>1</v>
      </c>
      <c r="N295" s="719"/>
      <c r="O295" s="24">
        <f t="shared" si="64"/>
        <v>1</v>
      </c>
      <c r="P295" s="719"/>
      <c r="Q295" s="24">
        <f t="shared" si="65"/>
        <v>0</v>
      </c>
      <c r="R295" s="715">
        <f t="shared" si="66"/>
        <v>0</v>
      </c>
      <c r="S295" s="361">
        <f t="shared" si="67"/>
        <v>0</v>
      </c>
      <c r="T295" s="799">
        <f>剩余房源售价清单!I274</f>
        <v>0</v>
      </c>
      <c r="U295" s="799" t="e">
        <f t="shared" si="57"/>
        <v>#DIV/0!</v>
      </c>
    </row>
    <row r="296" spans="1:21">
      <c r="A296" s="2985"/>
      <c r="B296" s="59"/>
      <c r="C296" s="24">
        <f t="shared" si="58"/>
        <v>1</v>
      </c>
      <c r="D296" s="719"/>
      <c r="E296" s="24">
        <f t="shared" si="59"/>
        <v>0</v>
      </c>
      <c r="F296" s="719"/>
      <c r="G296" s="24">
        <f t="shared" si="60"/>
        <v>0.03</v>
      </c>
      <c r="H296" s="719"/>
      <c r="I296" s="24">
        <f t="shared" si="61"/>
        <v>0.02</v>
      </c>
      <c r="J296" s="719"/>
      <c r="K296" s="24">
        <f t="shared" si="62"/>
        <v>1</v>
      </c>
      <c r="L296" s="719"/>
      <c r="M296" s="24">
        <f t="shared" si="63"/>
        <v>1</v>
      </c>
      <c r="N296" s="719"/>
      <c r="O296" s="24">
        <f t="shared" si="64"/>
        <v>1</v>
      </c>
      <c r="P296" s="719"/>
      <c r="Q296" s="24">
        <f t="shared" si="65"/>
        <v>0</v>
      </c>
      <c r="R296" s="715">
        <f t="shared" si="66"/>
        <v>0</v>
      </c>
      <c r="S296" s="361">
        <f t="shared" si="67"/>
        <v>0</v>
      </c>
      <c r="T296" s="799">
        <f>剩余房源售价清单!I275</f>
        <v>0</v>
      </c>
      <c r="U296" s="799" t="e">
        <f t="shared" si="57"/>
        <v>#DIV/0!</v>
      </c>
    </row>
    <row r="297" spans="1:21">
      <c r="A297" s="2985"/>
      <c r="B297" s="59"/>
      <c r="C297" s="24">
        <f t="shared" si="58"/>
        <v>1</v>
      </c>
      <c r="D297" s="719"/>
      <c r="E297" s="24">
        <f t="shared" si="59"/>
        <v>0</v>
      </c>
      <c r="F297" s="719"/>
      <c r="G297" s="24">
        <f t="shared" si="60"/>
        <v>0.03</v>
      </c>
      <c r="H297" s="719"/>
      <c r="I297" s="24">
        <f t="shared" si="61"/>
        <v>0.02</v>
      </c>
      <c r="J297" s="719"/>
      <c r="K297" s="24">
        <f t="shared" si="62"/>
        <v>1</v>
      </c>
      <c r="L297" s="719"/>
      <c r="M297" s="24">
        <f t="shared" si="63"/>
        <v>1</v>
      </c>
      <c r="N297" s="719"/>
      <c r="O297" s="24">
        <f t="shared" si="64"/>
        <v>1</v>
      </c>
      <c r="P297" s="719"/>
      <c r="Q297" s="24">
        <f t="shared" si="65"/>
        <v>0</v>
      </c>
      <c r="R297" s="715">
        <f t="shared" si="66"/>
        <v>0</v>
      </c>
      <c r="S297" s="361">
        <f t="shared" si="67"/>
        <v>0</v>
      </c>
      <c r="T297" s="799">
        <f>剩余房源售价清单!I276</f>
        <v>0</v>
      </c>
      <c r="U297" s="799" t="e">
        <f t="shared" si="57"/>
        <v>#DIV/0!</v>
      </c>
    </row>
    <row r="298" spans="1:21">
      <c r="A298" s="2985"/>
      <c r="B298" s="59"/>
      <c r="C298" s="24">
        <f t="shared" si="58"/>
        <v>1</v>
      </c>
      <c r="D298" s="719"/>
      <c r="E298" s="24">
        <f t="shared" si="59"/>
        <v>0</v>
      </c>
      <c r="F298" s="719"/>
      <c r="G298" s="24">
        <f t="shared" si="60"/>
        <v>0.03</v>
      </c>
      <c r="H298" s="719"/>
      <c r="I298" s="24">
        <f t="shared" si="61"/>
        <v>0.02</v>
      </c>
      <c r="J298" s="719"/>
      <c r="K298" s="24">
        <f t="shared" si="62"/>
        <v>1</v>
      </c>
      <c r="L298" s="719"/>
      <c r="M298" s="24">
        <f t="shared" si="63"/>
        <v>1</v>
      </c>
      <c r="N298" s="719"/>
      <c r="O298" s="24">
        <f t="shared" si="64"/>
        <v>1</v>
      </c>
      <c r="P298" s="719"/>
      <c r="Q298" s="24">
        <f t="shared" si="65"/>
        <v>0</v>
      </c>
      <c r="R298" s="715">
        <f t="shared" si="66"/>
        <v>0</v>
      </c>
      <c r="S298" s="361">
        <f t="shared" si="67"/>
        <v>0</v>
      </c>
      <c r="T298" s="799">
        <f>剩余房源售价清单!I277</f>
        <v>0</v>
      </c>
      <c r="U298" s="799" t="e">
        <f t="shared" si="57"/>
        <v>#DIV/0!</v>
      </c>
    </row>
    <row r="299" spans="1:21">
      <c r="A299" s="2985"/>
      <c r="B299" s="59"/>
      <c r="C299" s="24">
        <f t="shared" si="58"/>
        <v>1</v>
      </c>
      <c r="D299" s="719"/>
      <c r="E299" s="24">
        <f t="shared" si="59"/>
        <v>0</v>
      </c>
      <c r="F299" s="719"/>
      <c r="G299" s="24">
        <f t="shared" si="60"/>
        <v>0.03</v>
      </c>
      <c r="H299" s="719"/>
      <c r="I299" s="24">
        <f t="shared" si="61"/>
        <v>0.02</v>
      </c>
      <c r="J299" s="719"/>
      <c r="K299" s="24">
        <f t="shared" si="62"/>
        <v>1</v>
      </c>
      <c r="L299" s="719"/>
      <c r="M299" s="24">
        <f t="shared" si="63"/>
        <v>1</v>
      </c>
      <c r="N299" s="719"/>
      <c r="O299" s="24">
        <f t="shared" si="64"/>
        <v>1</v>
      </c>
      <c r="P299" s="719"/>
      <c r="Q299" s="24">
        <f t="shared" si="65"/>
        <v>0</v>
      </c>
      <c r="R299" s="715">
        <f t="shared" si="66"/>
        <v>0</v>
      </c>
      <c r="S299" s="361">
        <f t="shared" si="67"/>
        <v>0</v>
      </c>
      <c r="T299" s="799">
        <f>剩余房源售价清单!I278</f>
        <v>0</v>
      </c>
      <c r="U299" s="799" t="e">
        <f t="shared" si="57"/>
        <v>#DIV/0!</v>
      </c>
    </row>
    <row r="300" spans="1:21">
      <c r="A300" s="2985"/>
      <c r="B300" s="59"/>
      <c r="C300" s="24">
        <f t="shared" si="58"/>
        <v>1</v>
      </c>
      <c r="D300" s="719"/>
      <c r="E300" s="24">
        <f t="shared" si="59"/>
        <v>0</v>
      </c>
      <c r="F300" s="719"/>
      <c r="G300" s="24">
        <f t="shared" si="60"/>
        <v>0.03</v>
      </c>
      <c r="H300" s="719"/>
      <c r="I300" s="24">
        <f t="shared" si="61"/>
        <v>0.02</v>
      </c>
      <c r="J300" s="719"/>
      <c r="K300" s="24">
        <f t="shared" si="62"/>
        <v>1</v>
      </c>
      <c r="L300" s="719"/>
      <c r="M300" s="24">
        <f t="shared" si="63"/>
        <v>1</v>
      </c>
      <c r="N300" s="719"/>
      <c r="O300" s="24">
        <f t="shared" si="64"/>
        <v>1</v>
      </c>
      <c r="P300" s="719"/>
      <c r="Q300" s="24">
        <f t="shared" si="65"/>
        <v>0</v>
      </c>
      <c r="R300" s="715">
        <f t="shared" si="66"/>
        <v>0</v>
      </c>
      <c r="S300" s="361">
        <f t="shared" si="67"/>
        <v>0</v>
      </c>
      <c r="T300" s="799">
        <f>剩余房源售价清单!I279</f>
        <v>0</v>
      </c>
      <c r="U300" s="799" t="e">
        <f t="shared" si="57"/>
        <v>#DIV/0!</v>
      </c>
    </row>
    <row r="301" spans="1:21">
      <c r="A301" s="2985"/>
      <c r="B301" s="59"/>
      <c r="C301" s="24">
        <f t="shared" si="58"/>
        <v>1</v>
      </c>
      <c r="D301" s="719"/>
      <c r="E301" s="24">
        <f t="shared" si="59"/>
        <v>0</v>
      </c>
      <c r="F301" s="719"/>
      <c r="G301" s="24">
        <f t="shared" si="60"/>
        <v>0.03</v>
      </c>
      <c r="H301" s="719"/>
      <c r="I301" s="24">
        <f t="shared" si="61"/>
        <v>0.02</v>
      </c>
      <c r="J301" s="719"/>
      <c r="K301" s="24">
        <f t="shared" si="62"/>
        <v>1</v>
      </c>
      <c r="L301" s="719"/>
      <c r="M301" s="24">
        <f t="shared" si="63"/>
        <v>1</v>
      </c>
      <c r="N301" s="719"/>
      <c r="O301" s="24">
        <f t="shared" si="64"/>
        <v>1</v>
      </c>
      <c r="P301" s="719"/>
      <c r="Q301" s="24">
        <f t="shared" si="65"/>
        <v>0</v>
      </c>
      <c r="R301" s="715">
        <f t="shared" si="66"/>
        <v>0</v>
      </c>
      <c r="S301" s="361">
        <f t="shared" si="67"/>
        <v>0</v>
      </c>
      <c r="T301" s="799">
        <f>剩余房源售价清单!I280</f>
        <v>0</v>
      </c>
      <c r="U301" s="799" t="e">
        <f t="shared" si="57"/>
        <v>#DIV/0!</v>
      </c>
    </row>
    <row r="302" spans="1:21">
      <c r="A302" s="2985"/>
      <c r="B302" s="59"/>
      <c r="C302" s="24">
        <f t="shared" si="58"/>
        <v>1</v>
      </c>
      <c r="D302" s="719"/>
      <c r="E302" s="24">
        <f t="shared" si="59"/>
        <v>0</v>
      </c>
      <c r="F302" s="719"/>
      <c r="G302" s="24">
        <f t="shared" si="60"/>
        <v>0.03</v>
      </c>
      <c r="H302" s="719"/>
      <c r="I302" s="24">
        <f t="shared" si="61"/>
        <v>0.02</v>
      </c>
      <c r="J302" s="719"/>
      <c r="K302" s="24">
        <f t="shared" si="62"/>
        <v>1</v>
      </c>
      <c r="L302" s="719"/>
      <c r="M302" s="24">
        <f t="shared" si="63"/>
        <v>1</v>
      </c>
      <c r="N302" s="719"/>
      <c r="O302" s="24">
        <f t="shared" si="64"/>
        <v>1</v>
      </c>
      <c r="P302" s="719"/>
      <c r="Q302" s="24">
        <f t="shared" si="65"/>
        <v>0</v>
      </c>
      <c r="R302" s="715">
        <f t="shared" si="66"/>
        <v>0</v>
      </c>
      <c r="S302" s="361">
        <f t="shared" si="67"/>
        <v>0</v>
      </c>
      <c r="T302" s="799">
        <f>剩余房源售价清单!I281</f>
        <v>0</v>
      </c>
      <c r="U302" s="799" t="e">
        <f t="shared" si="57"/>
        <v>#DIV/0!</v>
      </c>
    </row>
    <row r="303" spans="1:21">
      <c r="A303" s="2985"/>
      <c r="B303" s="59"/>
      <c r="C303" s="24">
        <f t="shared" si="58"/>
        <v>1</v>
      </c>
      <c r="D303" s="719"/>
      <c r="E303" s="24">
        <f t="shared" si="59"/>
        <v>0</v>
      </c>
      <c r="F303" s="719"/>
      <c r="G303" s="24">
        <f t="shared" si="60"/>
        <v>0.03</v>
      </c>
      <c r="H303" s="719"/>
      <c r="I303" s="24">
        <f t="shared" si="61"/>
        <v>0.02</v>
      </c>
      <c r="J303" s="719"/>
      <c r="K303" s="24">
        <f t="shared" si="62"/>
        <v>1</v>
      </c>
      <c r="L303" s="719"/>
      <c r="M303" s="24">
        <f t="shared" si="63"/>
        <v>1</v>
      </c>
      <c r="N303" s="719"/>
      <c r="O303" s="24">
        <f t="shared" si="64"/>
        <v>1</v>
      </c>
      <c r="P303" s="719"/>
      <c r="Q303" s="24">
        <f t="shared" si="65"/>
        <v>0</v>
      </c>
      <c r="R303" s="715">
        <f t="shared" si="66"/>
        <v>0</v>
      </c>
      <c r="S303" s="361">
        <f t="shared" si="67"/>
        <v>0</v>
      </c>
      <c r="T303" s="799">
        <f>剩余房源售价清单!I282</f>
        <v>0</v>
      </c>
      <c r="U303" s="799" t="e">
        <f t="shared" si="57"/>
        <v>#DIV/0!</v>
      </c>
    </row>
    <row r="304" spans="1:21">
      <c r="A304" s="2985"/>
      <c r="B304" s="59"/>
      <c r="C304" s="24">
        <f t="shared" si="58"/>
        <v>1</v>
      </c>
      <c r="D304" s="719"/>
      <c r="E304" s="24">
        <f t="shared" si="59"/>
        <v>0</v>
      </c>
      <c r="F304" s="719"/>
      <c r="G304" s="24">
        <f t="shared" si="60"/>
        <v>0.03</v>
      </c>
      <c r="H304" s="719"/>
      <c r="I304" s="24">
        <f t="shared" si="61"/>
        <v>0.02</v>
      </c>
      <c r="J304" s="719"/>
      <c r="K304" s="24">
        <f t="shared" si="62"/>
        <v>1</v>
      </c>
      <c r="L304" s="719"/>
      <c r="M304" s="24">
        <f t="shared" si="63"/>
        <v>1</v>
      </c>
      <c r="N304" s="719"/>
      <c r="O304" s="24">
        <f t="shared" si="64"/>
        <v>1</v>
      </c>
      <c r="P304" s="719"/>
      <c r="Q304" s="24">
        <f t="shared" si="65"/>
        <v>0</v>
      </c>
      <c r="R304" s="715">
        <f t="shared" si="66"/>
        <v>0</v>
      </c>
      <c r="S304" s="361">
        <f t="shared" si="67"/>
        <v>0</v>
      </c>
      <c r="T304" s="799">
        <f>剩余房源售价清单!I283</f>
        <v>0</v>
      </c>
      <c r="U304" s="799" t="e">
        <f t="shared" si="57"/>
        <v>#DIV/0!</v>
      </c>
    </row>
    <row r="305" spans="1:21">
      <c r="A305" s="2985"/>
      <c r="B305" s="59"/>
      <c r="C305" s="24">
        <f t="shared" si="58"/>
        <v>1</v>
      </c>
      <c r="D305" s="719"/>
      <c r="E305" s="24">
        <f t="shared" si="59"/>
        <v>0</v>
      </c>
      <c r="F305" s="719"/>
      <c r="G305" s="24">
        <f t="shared" si="60"/>
        <v>0.03</v>
      </c>
      <c r="H305" s="719"/>
      <c r="I305" s="24">
        <f t="shared" si="61"/>
        <v>0.02</v>
      </c>
      <c r="J305" s="719"/>
      <c r="K305" s="24">
        <f t="shared" si="62"/>
        <v>1</v>
      </c>
      <c r="L305" s="719"/>
      <c r="M305" s="24">
        <f t="shared" si="63"/>
        <v>1</v>
      </c>
      <c r="N305" s="719"/>
      <c r="O305" s="24">
        <f t="shared" si="64"/>
        <v>1</v>
      </c>
      <c r="P305" s="719"/>
      <c r="Q305" s="24">
        <f t="shared" si="65"/>
        <v>0</v>
      </c>
      <c r="R305" s="715">
        <f t="shared" si="66"/>
        <v>0</v>
      </c>
      <c r="S305" s="361">
        <f t="shared" si="67"/>
        <v>0</v>
      </c>
      <c r="T305" s="799">
        <f>剩余房源售价清单!I284</f>
        <v>0</v>
      </c>
      <c r="U305" s="799" t="e">
        <f t="shared" si="57"/>
        <v>#DIV/0!</v>
      </c>
    </row>
    <row r="306" spans="1:21">
      <c r="A306" s="2985"/>
      <c r="B306" s="59"/>
      <c r="C306" s="24">
        <f t="shared" si="58"/>
        <v>1</v>
      </c>
      <c r="D306" s="719"/>
      <c r="E306" s="24">
        <f t="shared" si="59"/>
        <v>0</v>
      </c>
      <c r="F306" s="719"/>
      <c r="G306" s="24">
        <f t="shared" si="60"/>
        <v>0.03</v>
      </c>
      <c r="H306" s="719"/>
      <c r="I306" s="24">
        <f t="shared" si="61"/>
        <v>0.02</v>
      </c>
      <c r="J306" s="719"/>
      <c r="K306" s="24">
        <f t="shared" si="62"/>
        <v>1</v>
      </c>
      <c r="L306" s="719"/>
      <c r="M306" s="24">
        <f t="shared" si="63"/>
        <v>1</v>
      </c>
      <c r="N306" s="719"/>
      <c r="O306" s="24">
        <f t="shared" si="64"/>
        <v>1</v>
      </c>
      <c r="P306" s="719"/>
      <c r="Q306" s="24">
        <f t="shared" si="65"/>
        <v>0</v>
      </c>
      <c r="R306" s="715">
        <f t="shared" si="66"/>
        <v>0</v>
      </c>
      <c r="S306" s="361">
        <f t="shared" si="67"/>
        <v>0</v>
      </c>
      <c r="T306" s="799">
        <f>剩余房源售价清单!I285</f>
        <v>0</v>
      </c>
      <c r="U306" s="799" t="e">
        <f t="shared" si="57"/>
        <v>#DIV/0!</v>
      </c>
    </row>
    <row r="307" spans="1:21">
      <c r="A307" s="2985"/>
      <c r="B307" s="59"/>
      <c r="C307" s="24">
        <f t="shared" si="58"/>
        <v>1</v>
      </c>
      <c r="D307" s="719"/>
      <c r="E307" s="24">
        <f t="shared" si="59"/>
        <v>0</v>
      </c>
      <c r="F307" s="719"/>
      <c r="G307" s="24">
        <f t="shared" si="60"/>
        <v>0.03</v>
      </c>
      <c r="H307" s="719"/>
      <c r="I307" s="24">
        <f t="shared" si="61"/>
        <v>0.02</v>
      </c>
      <c r="J307" s="719"/>
      <c r="K307" s="24">
        <f t="shared" si="62"/>
        <v>1</v>
      </c>
      <c r="L307" s="719"/>
      <c r="M307" s="24">
        <f t="shared" si="63"/>
        <v>1</v>
      </c>
      <c r="N307" s="719"/>
      <c r="O307" s="24">
        <f t="shared" si="64"/>
        <v>1</v>
      </c>
      <c r="P307" s="719"/>
      <c r="Q307" s="24">
        <f t="shared" si="65"/>
        <v>0</v>
      </c>
      <c r="R307" s="715">
        <f t="shared" si="66"/>
        <v>0</v>
      </c>
      <c r="S307" s="361">
        <f t="shared" si="67"/>
        <v>0</v>
      </c>
      <c r="T307" s="799">
        <f>剩余房源售价清单!I286</f>
        <v>0</v>
      </c>
      <c r="U307" s="799" t="e">
        <f t="shared" si="57"/>
        <v>#DIV/0!</v>
      </c>
    </row>
    <row r="308" spans="1:21">
      <c r="A308" s="2985"/>
      <c r="B308" s="59"/>
      <c r="C308" s="24">
        <f t="shared" si="58"/>
        <v>1</v>
      </c>
      <c r="D308" s="719"/>
      <c r="E308" s="24">
        <f t="shared" si="59"/>
        <v>0</v>
      </c>
      <c r="F308" s="719"/>
      <c r="G308" s="24">
        <f t="shared" si="60"/>
        <v>0.03</v>
      </c>
      <c r="H308" s="719"/>
      <c r="I308" s="24">
        <f t="shared" si="61"/>
        <v>0.02</v>
      </c>
      <c r="J308" s="719"/>
      <c r="K308" s="24">
        <f t="shared" si="62"/>
        <v>1</v>
      </c>
      <c r="L308" s="719"/>
      <c r="M308" s="24">
        <f t="shared" si="63"/>
        <v>1</v>
      </c>
      <c r="N308" s="719"/>
      <c r="O308" s="24">
        <f t="shared" si="64"/>
        <v>1</v>
      </c>
      <c r="P308" s="719"/>
      <c r="Q308" s="24">
        <f t="shared" si="65"/>
        <v>0</v>
      </c>
      <c r="R308" s="715">
        <f t="shared" si="66"/>
        <v>0</v>
      </c>
      <c r="S308" s="361">
        <f t="shared" si="67"/>
        <v>0</v>
      </c>
      <c r="T308" s="799">
        <f>剩余房源售价清单!I287</f>
        <v>0</v>
      </c>
      <c r="U308" s="799" t="e">
        <f t="shared" si="57"/>
        <v>#DIV/0!</v>
      </c>
    </row>
    <row r="309" spans="1:21">
      <c r="A309" s="2985"/>
      <c r="B309" s="59"/>
      <c r="C309" s="24">
        <f t="shared" si="58"/>
        <v>1</v>
      </c>
      <c r="D309" s="719"/>
      <c r="E309" s="24">
        <f t="shared" si="59"/>
        <v>0</v>
      </c>
      <c r="F309" s="719"/>
      <c r="G309" s="24">
        <f t="shared" si="60"/>
        <v>0.03</v>
      </c>
      <c r="H309" s="719"/>
      <c r="I309" s="24">
        <f t="shared" si="61"/>
        <v>0.02</v>
      </c>
      <c r="J309" s="719"/>
      <c r="K309" s="24">
        <f t="shared" si="62"/>
        <v>1</v>
      </c>
      <c r="L309" s="719"/>
      <c r="M309" s="24">
        <f t="shared" si="63"/>
        <v>1</v>
      </c>
      <c r="N309" s="719"/>
      <c r="O309" s="24">
        <f t="shared" si="64"/>
        <v>1</v>
      </c>
      <c r="P309" s="719"/>
      <c r="Q309" s="24">
        <f t="shared" si="65"/>
        <v>0</v>
      </c>
      <c r="R309" s="715">
        <f t="shared" si="66"/>
        <v>0</v>
      </c>
      <c r="S309" s="361">
        <f t="shared" si="67"/>
        <v>0</v>
      </c>
      <c r="T309" s="799">
        <f>剩余房源售价清单!I288</f>
        <v>0</v>
      </c>
      <c r="U309" s="799" t="e">
        <f t="shared" si="57"/>
        <v>#DIV/0!</v>
      </c>
    </row>
    <row r="310" spans="1:21">
      <c r="A310" s="2985"/>
      <c r="B310" s="59"/>
      <c r="C310" s="24">
        <f t="shared" si="58"/>
        <v>1</v>
      </c>
      <c r="D310" s="719"/>
      <c r="E310" s="24">
        <f t="shared" si="59"/>
        <v>0</v>
      </c>
      <c r="F310" s="719"/>
      <c r="G310" s="24">
        <f t="shared" si="60"/>
        <v>0.03</v>
      </c>
      <c r="H310" s="719"/>
      <c r="I310" s="24">
        <f t="shared" si="61"/>
        <v>0.02</v>
      </c>
      <c r="J310" s="719"/>
      <c r="K310" s="24">
        <f t="shared" si="62"/>
        <v>1</v>
      </c>
      <c r="L310" s="719"/>
      <c r="M310" s="24">
        <f t="shared" si="63"/>
        <v>1</v>
      </c>
      <c r="N310" s="719"/>
      <c r="O310" s="24">
        <f t="shared" si="64"/>
        <v>1</v>
      </c>
      <c r="P310" s="719"/>
      <c r="Q310" s="24">
        <f t="shared" si="65"/>
        <v>0</v>
      </c>
      <c r="R310" s="715">
        <f t="shared" si="66"/>
        <v>0</v>
      </c>
      <c r="S310" s="361">
        <f t="shared" si="67"/>
        <v>0</v>
      </c>
      <c r="T310" s="799">
        <f>剩余房源售价清单!I289</f>
        <v>0</v>
      </c>
      <c r="U310" s="799" t="e">
        <f t="shared" si="57"/>
        <v>#DIV/0!</v>
      </c>
    </row>
    <row r="311" spans="1:21">
      <c r="A311" s="2985"/>
      <c r="B311" s="59"/>
      <c r="C311" s="24">
        <f t="shared" si="58"/>
        <v>1</v>
      </c>
      <c r="D311" s="719"/>
      <c r="E311" s="24">
        <f t="shared" si="59"/>
        <v>0</v>
      </c>
      <c r="F311" s="719"/>
      <c r="G311" s="24">
        <f t="shared" si="60"/>
        <v>0.03</v>
      </c>
      <c r="H311" s="719"/>
      <c r="I311" s="24">
        <f t="shared" si="61"/>
        <v>0.02</v>
      </c>
      <c r="J311" s="719"/>
      <c r="K311" s="24">
        <f t="shared" si="62"/>
        <v>1</v>
      </c>
      <c r="L311" s="719"/>
      <c r="M311" s="24">
        <f t="shared" si="63"/>
        <v>1</v>
      </c>
      <c r="N311" s="719"/>
      <c r="O311" s="24">
        <f t="shared" si="64"/>
        <v>1</v>
      </c>
      <c r="P311" s="719"/>
      <c r="Q311" s="24">
        <f t="shared" si="65"/>
        <v>0</v>
      </c>
      <c r="R311" s="715">
        <f t="shared" si="66"/>
        <v>0</v>
      </c>
      <c r="S311" s="361">
        <f t="shared" si="67"/>
        <v>0</v>
      </c>
      <c r="T311" s="799">
        <f>剩余房源售价清单!I290</f>
        <v>0</v>
      </c>
      <c r="U311" s="799" t="e">
        <f t="shared" si="57"/>
        <v>#DIV/0!</v>
      </c>
    </row>
    <row r="312" spans="1:21">
      <c r="A312" s="2985"/>
      <c r="B312" s="59"/>
      <c r="C312" s="24">
        <f t="shared" si="58"/>
        <v>1</v>
      </c>
      <c r="D312" s="719"/>
      <c r="E312" s="24">
        <f t="shared" si="59"/>
        <v>0</v>
      </c>
      <c r="F312" s="719"/>
      <c r="G312" s="24">
        <f t="shared" si="60"/>
        <v>0.03</v>
      </c>
      <c r="H312" s="719"/>
      <c r="I312" s="24">
        <f t="shared" si="61"/>
        <v>0.02</v>
      </c>
      <c r="J312" s="719"/>
      <c r="K312" s="24">
        <f t="shared" si="62"/>
        <v>1</v>
      </c>
      <c r="L312" s="719"/>
      <c r="M312" s="24">
        <f t="shared" si="63"/>
        <v>1</v>
      </c>
      <c r="N312" s="719"/>
      <c r="O312" s="24">
        <f t="shared" si="64"/>
        <v>1</v>
      </c>
      <c r="P312" s="719"/>
      <c r="Q312" s="24">
        <f t="shared" si="65"/>
        <v>0</v>
      </c>
      <c r="R312" s="715">
        <f t="shared" si="66"/>
        <v>0</v>
      </c>
      <c r="S312" s="361">
        <f t="shared" si="67"/>
        <v>0</v>
      </c>
      <c r="T312" s="799">
        <f>剩余房源售价清单!I291</f>
        <v>0</v>
      </c>
      <c r="U312" s="799" t="e">
        <f t="shared" si="57"/>
        <v>#DIV/0!</v>
      </c>
    </row>
    <row r="313" spans="1:21">
      <c r="A313" s="2985"/>
      <c r="B313" s="59"/>
      <c r="C313" s="24">
        <f t="shared" si="58"/>
        <v>1</v>
      </c>
      <c r="D313" s="719"/>
      <c r="E313" s="24">
        <f t="shared" si="59"/>
        <v>0</v>
      </c>
      <c r="F313" s="719"/>
      <c r="G313" s="24">
        <f t="shared" si="60"/>
        <v>0.03</v>
      </c>
      <c r="H313" s="719"/>
      <c r="I313" s="24">
        <f t="shared" si="61"/>
        <v>0.02</v>
      </c>
      <c r="J313" s="719"/>
      <c r="K313" s="24">
        <f t="shared" si="62"/>
        <v>1</v>
      </c>
      <c r="L313" s="719"/>
      <c r="M313" s="24">
        <f t="shared" si="63"/>
        <v>1</v>
      </c>
      <c r="N313" s="719"/>
      <c r="O313" s="24">
        <f t="shared" si="64"/>
        <v>1</v>
      </c>
      <c r="P313" s="719"/>
      <c r="Q313" s="24">
        <f t="shared" si="65"/>
        <v>0</v>
      </c>
      <c r="R313" s="715">
        <f t="shared" si="66"/>
        <v>0</v>
      </c>
      <c r="S313" s="361">
        <f t="shared" si="67"/>
        <v>0</v>
      </c>
      <c r="T313" s="799">
        <f>剩余房源售价清单!I292</f>
        <v>0</v>
      </c>
      <c r="U313" s="799" t="e">
        <f t="shared" si="57"/>
        <v>#DIV/0!</v>
      </c>
    </row>
    <row r="314" spans="1:21">
      <c r="A314" s="2985"/>
      <c r="B314" s="59"/>
      <c r="C314" s="24">
        <f t="shared" si="58"/>
        <v>1</v>
      </c>
      <c r="D314" s="719"/>
      <c r="E314" s="24">
        <f t="shared" si="59"/>
        <v>0</v>
      </c>
      <c r="F314" s="719"/>
      <c r="G314" s="24">
        <f t="shared" si="60"/>
        <v>0.03</v>
      </c>
      <c r="H314" s="719"/>
      <c r="I314" s="24">
        <f t="shared" si="61"/>
        <v>0.02</v>
      </c>
      <c r="J314" s="719"/>
      <c r="K314" s="24">
        <f t="shared" si="62"/>
        <v>1</v>
      </c>
      <c r="L314" s="719"/>
      <c r="M314" s="24">
        <f t="shared" si="63"/>
        <v>1</v>
      </c>
      <c r="N314" s="719"/>
      <c r="O314" s="24">
        <f t="shared" si="64"/>
        <v>1</v>
      </c>
      <c r="P314" s="719"/>
      <c r="Q314" s="24">
        <f t="shared" si="65"/>
        <v>0</v>
      </c>
      <c r="R314" s="715">
        <f t="shared" si="66"/>
        <v>0</v>
      </c>
      <c r="S314" s="361">
        <f t="shared" si="67"/>
        <v>0</v>
      </c>
      <c r="T314" s="799">
        <f>剩余房源售价清单!I293</f>
        <v>0</v>
      </c>
      <c r="U314" s="799" t="e">
        <f t="shared" si="57"/>
        <v>#DIV/0!</v>
      </c>
    </row>
    <row r="315" spans="1:21">
      <c r="A315" s="2985"/>
      <c r="B315" s="59"/>
      <c r="C315" s="24">
        <f t="shared" si="58"/>
        <v>1</v>
      </c>
      <c r="D315" s="719"/>
      <c r="E315" s="24">
        <f t="shared" si="59"/>
        <v>0</v>
      </c>
      <c r="F315" s="719"/>
      <c r="G315" s="24">
        <f t="shared" si="60"/>
        <v>0.03</v>
      </c>
      <c r="H315" s="719"/>
      <c r="I315" s="24">
        <f t="shared" si="61"/>
        <v>0.02</v>
      </c>
      <c r="J315" s="719"/>
      <c r="K315" s="24">
        <f t="shared" si="62"/>
        <v>1</v>
      </c>
      <c r="L315" s="719"/>
      <c r="M315" s="24">
        <f t="shared" si="63"/>
        <v>1</v>
      </c>
      <c r="N315" s="719"/>
      <c r="O315" s="24">
        <f t="shared" si="64"/>
        <v>1</v>
      </c>
      <c r="P315" s="719"/>
      <c r="Q315" s="24">
        <f t="shared" si="65"/>
        <v>0</v>
      </c>
      <c r="R315" s="715">
        <f t="shared" si="66"/>
        <v>0</v>
      </c>
      <c r="S315" s="361">
        <f t="shared" si="67"/>
        <v>0</v>
      </c>
      <c r="T315" s="799">
        <f>剩余房源售价清单!I294</f>
        <v>0</v>
      </c>
      <c r="U315" s="799" t="e">
        <f t="shared" si="57"/>
        <v>#DIV/0!</v>
      </c>
    </row>
    <row r="316" spans="1:21">
      <c r="A316" s="2985"/>
      <c r="B316" s="59"/>
      <c r="C316" s="24">
        <f t="shared" si="58"/>
        <v>1</v>
      </c>
      <c r="D316" s="719"/>
      <c r="E316" s="24">
        <f t="shared" si="59"/>
        <v>0</v>
      </c>
      <c r="F316" s="719"/>
      <c r="G316" s="24">
        <f t="shared" si="60"/>
        <v>0.03</v>
      </c>
      <c r="H316" s="719"/>
      <c r="I316" s="24">
        <f t="shared" si="61"/>
        <v>0.02</v>
      </c>
      <c r="J316" s="719"/>
      <c r="K316" s="24">
        <f t="shared" si="62"/>
        <v>1</v>
      </c>
      <c r="L316" s="719"/>
      <c r="M316" s="24">
        <f t="shared" si="63"/>
        <v>1</v>
      </c>
      <c r="N316" s="719"/>
      <c r="O316" s="24">
        <f t="shared" si="64"/>
        <v>1</v>
      </c>
      <c r="P316" s="719"/>
      <c r="Q316" s="24">
        <f t="shared" si="65"/>
        <v>0</v>
      </c>
      <c r="R316" s="715">
        <f t="shared" si="66"/>
        <v>0</v>
      </c>
      <c r="S316" s="361">
        <f t="shared" si="67"/>
        <v>0</v>
      </c>
      <c r="T316" s="799">
        <f>剩余房源售价清单!I295</f>
        <v>0</v>
      </c>
      <c r="U316" s="799" t="e">
        <f t="shared" si="57"/>
        <v>#DIV/0!</v>
      </c>
    </row>
    <row r="317" spans="1:21">
      <c r="A317" s="2985"/>
      <c r="B317" s="59"/>
      <c r="C317" s="24">
        <f t="shared" si="58"/>
        <v>1</v>
      </c>
      <c r="D317" s="719"/>
      <c r="E317" s="24">
        <f t="shared" si="59"/>
        <v>0</v>
      </c>
      <c r="F317" s="719"/>
      <c r="G317" s="24">
        <f t="shared" si="60"/>
        <v>0.03</v>
      </c>
      <c r="H317" s="719"/>
      <c r="I317" s="24">
        <f t="shared" si="61"/>
        <v>0.02</v>
      </c>
      <c r="J317" s="719"/>
      <c r="K317" s="24">
        <f t="shared" si="62"/>
        <v>1</v>
      </c>
      <c r="L317" s="719"/>
      <c r="M317" s="24">
        <f t="shared" si="63"/>
        <v>1</v>
      </c>
      <c r="N317" s="719"/>
      <c r="O317" s="24">
        <f t="shared" si="64"/>
        <v>1</v>
      </c>
      <c r="P317" s="719"/>
      <c r="Q317" s="24">
        <f t="shared" si="65"/>
        <v>0</v>
      </c>
      <c r="R317" s="715">
        <f t="shared" si="66"/>
        <v>0</v>
      </c>
      <c r="S317" s="361">
        <f t="shared" si="67"/>
        <v>0</v>
      </c>
      <c r="T317" s="799">
        <f>剩余房源售价清单!I296</f>
        <v>0</v>
      </c>
      <c r="U317" s="799" t="e">
        <f t="shared" si="57"/>
        <v>#DIV/0!</v>
      </c>
    </row>
    <row r="318" spans="1:21">
      <c r="A318" s="2985"/>
      <c r="B318" s="59"/>
      <c r="C318" s="24">
        <f t="shared" si="58"/>
        <v>1</v>
      </c>
      <c r="D318" s="719"/>
      <c r="E318" s="24">
        <f t="shared" si="59"/>
        <v>0</v>
      </c>
      <c r="F318" s="719"/>
      <c r="G318" s="24">
        <f t="shared" si="60"/>
        <v>0.03</v>
      </c>
      <c r="H318" s="719"/>
      <c r="I318" s="24">
        <f t="shared" si="61"/>
        <v>0.02</v>
      </c>
      <c r="J318" s="719"/>
      <c r="K318" s="24">
        <f t="shared" si="62"/>
        <v>1</v>
      </c>
      <c r="L318" s="719"/>
      <c r="M318" s="24">
        <f t="shared" si="63"/>
        <v>1</v>
      </c>
      <c r="N318" s="719"/>
      <c r="O318" s="24">
        <f t="shared" si="64"/>
        <v>1</v>
      </c>
      <c r="P318" s="719"/>
      <c r="Q318" s="24">
        <f t="shared" si="65"/>
        <v>0</v>
      </c>
      <c r="R318" s="715">
        <f t="shared" si="66"/>
        <v>0</v>
      </c>
      <c r="S318" s="361">
        <f t="shared" si="67"/>
        <v>0</v>
      </c>
      <c r="T318" s="799">
        <f>剩余房源售价清单!I297</f>
        <v>0</v>
      </c>
      <c r="U318" s="799" t="e">
        <f t="shared" si="57"/>
        <v>#DIV/0!</v>
      </c>
    </row>
    <row r="319" spans="1:21">
      <c r="A319" s="2985"/>
      <c r="B319" s="59"/>
      <c r="C319" s="24">
        <f t="shared" si="58"/>
        <v>1</v>
      </c>
      <c r="D319" s="719"/>
      <c r="E319" s="24">
        <f t="shared" si="59"/>
        <v>0</v>
      </c>
      <c r="F319" s="719"/>
      <c r="G319" s="24">
        <f t="shared" si="60"/>
        <v>0.03</v>
      </c>
      <c r="H319" s="719"/>
      <c r="I319" s="24">
        <f t="shared" si="61"/>
        <v>0.02</v>
      </c>
      <c r="J319" s="719"/>
      <c r="K319" s="24">
        <f t="shared" si="62"/>
        <v>1</v>
      </c>
      <c r="L319" s="719"/>
      <c r="M319" s="24">
        <f t="shared" si="63"/>
        <v>1</v>
      </c>
      <c r="N319" s="719"/>
      <c r="O319" s="24">
        <f t="shared" si="64"/>
        <v>1</v>
      </c>
      <c r="P319" s="719"/>
      <c r="Q319" s="24">
        <f t="shared" si="65"/>
        <v>0</v>
      </c>
      <c r="R319" s="715">
        <f t="shared" si="66"/>
        <v>0</v>
      </c>
      <c r="S319" s="361">
        <f t="shared" si="67"/>
        <v>0</v>
      </c>
      <c r="T319" s="799">
        <f>剩余房源售价清单!I298</f>
        <v>0</v>
      </c>
      <c r="U319" s="799" t="e">
        <f t="shared" si="57"/>
        <v>#DIV/0!</v>
      </c>
    </row>
    <row r="320" spans="1:21">
      <c r="A320" s="2985"/>
      <c r="B320" s="59"/>
      <c r="C320" s="24">
        <f t="shared" si="58"/>
        <v>1</v>
      </c>
      <c r="D320" s="719"/>
      <c r="E320" s="24">
        <f t="shared" si="59"/>
        <v>0</v>
      </c>
      <c r="F320" s="719"/>
      <c r="G320" s="24">
        <f t="shared" si="60"/>
        <v>0.03</v>
      </c>
      <c r="H320" s="719"/>
      <c r="I320" s="24">
        <f t="shared" si="61"/>
        <v>0.02</v>
      </c>
      <c r="J320" s="719"/>
      <c r="K320" s="24">
        <f t="shared" si="62"/>
        <v>1</v>
      </c>
      <c r="L320" s="719"/>
      <c r="M320" s="24">
        <f t="shared" si="63"/>
        <v>1</v>
      </c>
      <c r="N320" s="719"/>
      <c r="O320" s="24">
        <f t="shared" si="64"/>
        <v>1</v>
      </c>
      <c r="P320" s="719"/>
      <c r="Q320" s="24">
        <f t="shared" si="65"/>
        <v>0</v>
      </c>
      <c r="R320" s="715">
        <f t="shared" si="66"/>
        <v>0</v>
      </c>
      <c r="S320" s="361">
        <f t="shared" si="67"/>
        <v>0</v>
      </c>
      <c r="T320" s="799">
        <f>剩余房源售价清单!I299</f>
        <v>0</v>
      </c>
      <c r="U320" s="799" t="e">
        <f t="shared" si="57"/>
        <v>#DIV/0!</v>
      </c>
    </row>
    <row r="321" spans="1:21">
      <c r="A321" s="2985"/>
      <c r="B321" s="59"/>
      <c r="C321" s="24">
        <f t="shared" si="58"/>
        <v>1</v>
      </c>
      <c r="D321" s="719"/>
      <c r="E321" s="24">
        <f t="shared" si="59"/>
        <v>0</v>
      </c>
      <c r="F321" s="719"/>
      <c r="G321" s="24">
        <f t="shared" si="60"/>
        <v>0.03</v>
      </c>
      <c r="H321" s="719"/>
      <c r="I321" s="24">
        <f t="shared" si="61"/>
        <v>0.02</v>
      </c>
      <c r="J321" s="719"/>
      <c r="K321" s="24">
        <f t="shared" si="62"/>
        <v>1</v>
      </c>
      <c r="L321" s="719"/>
      <c r="M321" s="24">
        <f t="shared" si="63"/>
        <v>1</v>
      </c>
      <c r="N321" s="719"/>
      <c r="O321" s="24">
        <f t="shared" si="64"/>
        <v>1</v>
      </c>
      <c r="P321" s="719"/>
      <c r="Q321" s="24">
        <f t="shared" si="65"/>
        <v>0</v>
      </c>
      <c r="R321" s="715">
        <f t="shared" si="66"/>
        <v>0</v>
      </c>
      <c r="S321" s="361">
        <f t="shared" ref="S321:S384" si="68">ROUND(R321*B321/10000,0)</f>
        <v>0</v>
      </c>
      <c r="T321" s="799">
        <f>剩余房源售价清单!I300</f>
        <v>0</v>
      </c>
      <c r="U321" s="799" t="e">
        <f t="shared" si="57"/>
        <v>#DIV/0!</v>
      </c>
    </row>
    <row r="322" spans="1:21">
      <c r="A322" s="2985"/>
      <c r="B322" s="59"/>
      <c r="C322" s="24">
        <f t="shared" si="58"/>
        <v>1</v>
      </c>
      <c r="D322" s="719"/>
      <c r="E322" s="24">
        <f t="shared" si="59"/>
        <v>0</v>
      </c>
      <c r="F322" s="719"/>
      <c r="G322" s="24">
        <f t="shared" si="60"/>
        <v>0.03</v>
      </c>
      <c r="H322" s="719"/>
      <c r="I322" s="24">
        <f t="shared" si="61"/>
        <v>0.02</v>
      </c>
      <c r="J322" s="719"/>
      <c r="K322" s="24">
        <f t="shared" si="62"/>
        <v>1</v>
      </c>
      <c r="L322" s="719"/>
      <c r="M322" s="24">
        <f t="shared" si="63"/>
        <v>1</v>
      </c>
      <c r="N322" s="719"/>
      <c r="O322" s="24">
        <f t="shared" si="64"/>
        <v>1</v>
      </c>
      <c r="P322" s="719"/>
      <c r="Q322" s="24">
        <f t="shared" si="65"/>
        <v>0</v>
      </c>
      <c r="R322" s="715">
        <f t="shared" si="66"/>
        <v>0</v>
      </c>
      <c r="S322" s="361">
        <f t="shared" si="68"/>
        <v>0</v>
      </c>
      <c r="T322" s="799">
        <f>剩余房源售价清单!I301</f>
        <v>0</v>
      </c>
      <c r="U322" s="799" t="e">
        <f t="shared" si="57"/>
        <v>#DIV/0!</v>
      </c>
    </row>
    <row r="323" spans="1:21">
      <c r="A323" s="2985"/>
      <c r="B323" s="59"/>
      <c r="C323" s="24">
        <f t="shared" si="58"/>
        <v>1</v>
      </c>
      <c r="D323" s="719"/>
      <c r="E323" s="24">
        <f t="shared" si="59"/>
        <v>0</v>
      </c>
      <c r="F323" s="719"/>
      <c r="G323" s="24">
        <f t="shared" si="60"/>
        <v>0.03</v>
      </c>
      <c r="H323" s="719"/>
      <c r="I323" s="24">
        <f t="shared" si="61"/>
        <v>0.02</v>
      </c>
      <c r="J323" s="719"/>
      <c r="K323" s="24">
        <f t="shared" si="62"/>
        <v>1</v>
      </c>
      <c r="L323" s="719"/>
      <c r="M323" s="24">
        <f t="shared" si="63"/>
        <v>1</v>
      </c>
      <c r="N323" s="719"/>
      <c r="O323" s="24">
        <f t="shared" si="64"/>
        <v>1</v>
      </c>
      <c r="P323" s="719"/>
      <c r="Q323" s="24">
        <f t="shared" si="65"/>
        <v>0</v>
      </c>
      <c r="R323" s="715">
        <f t="shared" si="66"/>
        <v>0</v>
      </c>
      <c r="S323" s="361">
        <f t="shared" si="68"/>
        <v>0</v>
      </c>
      <c r="T323" s="799">
        <f>剩余房源售价清单!I302</f>
        <v>0</v>
      </c>
      <c r="U323" s="799" t="e">
        <f t="shared" si="57"/>
        <v>#DIV/0!</v>
      </c>
    </row>
    <row r="324" spans="1:21">
      <c r="A324" s="2985"/>
      <c r="B324" s="59"/>
      <c r="C324" s="24">
        <f t="shared" si="58"/>
        <v>1</v>
      </c>
      <c r="D324" s="719"/>
      <c r="E324" s="24">
        <f t="shared" si="59"/>
        <v>0</v>
      </c>
      <c r="F324" s="719"/>
      <c r="G324" s="24">
        <f t="shared" si="60"/>
        <v>0.03</v>
      </c>
      <c r="H324" s="719"/>
      <c r="I324" s="24">
        <f t="shared" si="61"/>
        <v>0.02</v>
      </c>
      <c r="J324" s="719"/>
      <c r="K324" s="24">
        <f t="shared" si="62"/>
        <v>1</v>
      </c>
      <c r="L324" s="719"/>
      <c r="M324" s="24">
        <f t="shared" si="63"/>
        <v>1</v>
      </c>
      <c r="N324" s="719"/>
      <c r="O324" s="24">
        <f t="shared" si="64"/>
        <v>1</v>
      </c>
      <c r="P324" s="719"/>
      <c r="Q324" s="24">
        <f t="shared" si="65"/>
        <v>0</v>
      </c>
      <c r="R324" s="715">
        <f t="shared" si="66"/>
        <v>0</v>
      </c>
      <c r="S324" s="361">
        <f t="shared" si="68"/>
        <v>0</v>
      </c>
      <c r="T324" s="799">
        <f>剩余房源售价清单!I303</f>
        <v>0</v>
      </c>
      <c r="U324" s="799" t="e">
        <f t="shared" si="57"/>
        <v>#DIV/0!</v>
      </c>
    </row>
    <row r="325" spans="1:21">
      <c r="A325" s="2985"/>
      <c r="B325" s="59"/>
      <c r="C325" s="24">
        <f t="shared" si="58"/>
        <v>1</v>
      </c>
      <c r="D325" s="719"/>
      <c r="E325" s="24">
        <f t="shared" si="59"/>
        <v>0</v>
      </c>
      <c r="F325" s="719"/>
      <c r="G325" s="24">
        <f t="shared" si="60"/>
        <v>0.03</v>
      </c>
      <c r="H325" s="719"/>
      <c r="I325" s="24">
        <f t="shared" si="61"/>
        <v>0.02</v>
      </c>
      <c r="J325" s="719"/>
      <c r="K325" s="24">
        <f t="shared" si="62"/>
        <v>1</v>
      </c>
      <c r="L325" s="719"/>
      <c r="M325" s="24">
        <f t="shared" si="63"/>
        <v>1</v>
      </c>
      <c r="N325" s="719"/>
      <c r="O325" s="24">
        <f t="shared" si="64"/>
        <v>1</v>
      </c>
      <c r="P325" s="719"/>
      <c r="Q325" s="24">
        <f t="shared" si="65"/>
        <v>0</v>
      </c>
      <c r="R325" s="715">
        <f t="shared" si="66"/>
        <v>0</v>
      </c>
      <c r="S325" s="361">
        <f t="shared" si="68"/>
        <v>0</v>
      </c>
      <c r="T325" s="799">
        <f>剩余房源售价清单!I304</f>
        <v>0</v>
      </c>
      <c r="U325" s="799" t="e">
        <f t="shared" si="57"/>
        <v>#DIV/0!</v>
      </c>
    </row>
    <row r="326" spans="1:21">
      <c r="A326" s="2985"/>
      <c r="B326" s="59"/>
      <c r="C326" s="24">
        <f t="shared" si="58"/>
        <v>1</v>
      </c>
      <c r="D326" s="719"/>
      <c r="E326" s="24">
        <f t="shared" si="59"/>
        <v>0</v>
      </c>
      <c r="F326" s="719"/>
      <c r="G326" s="24">
        <f t="shared" si="60"/>
        <v>0.03</v>
      </c>
      <c r="H326" s="719"/>
      <c r="I326" s="24">
        <f t="shared" si="61"/>
        <v>0.02</v>
      </c>
      <c r="J326" s="719"/>
      <c r="K326" s="24">
        <f t="shared" si="62"/>
        <v>1</v>
      </c>
      <c r="L326" s="719"/>
      <c r="M326" s="24">
        <f t="shared" si="63"/>
        <v>1</v>
      </c>
      <c r="N326" s="719"/>
      <c r="O326" s="24">
        <f t="shared" si="64"/>
        <v>1</v>
      </c>
      <c r="P326" s="719"/>
      <c r="Q326" s="24">
        <f t="shared" si="65"/>
        <v>0</v>
      </c>
      <c r="R326" s="715">
        <f t="shared" si="66"/>
        <v>0</v>
      </c>
      <c r="S326" s="361">
        <f t="shared" si="68"/>
        <v>0</v>
      </c>
      <c r="T326" s="799">
        <f>剩余房源售价清单!I305</f>
        <v>0</v>
      </c>
      <c r="U326" s="799" t="e">
        <f t="shared" si="57"/>
        <v>#DIV/0!</v>
      </c>
    </row>
    <row r="327" spans="1:21">
      <c r="A327" s="2985"/>
      <c r="B327" s="59"/>
      <c r="C327" s="24">
        <f t="shared" si="58"/>
        <v>1</v>
      </c>
      <c r="D327" s="719"/>
      <c r="E327" s="24">
        <f t="shared" si="59"/>
        <v>0</v>
      </c>
      <c r="F327" s="719"/>
      <c r="G327" s="24">
        <f t="shared" si="60"/>
        <v>0.03</v>
      </c>
      <c r="H327" s="719"/>
      <c r="I327" s="24">
        <f t="shared" si="61"/>
        <v>0.02</v>
      </c>
      <c r="J327" s="719"/>
      <c r="K327" s="24">
        <f t="shared" si="62"/>
        <v>1</v>
      </c>
      <c r="L327" s="719"/>
      <c r="M327" s="24">
        <f t="shared" si="63"/>
        <v>1</v>
      </c>
      <c r="N327" s="719"/>
      <c r="O327" s="24">
        <f t="shared" si="64"/>
        <v>1</v>
      </c>
      <c r="P327" s="719"/>
      <c r="Q327" s="24">
        <f t="shared" si="65"/>
        <v>0</v>
      </c>
      <c r="R327" s="715">
        <f t="shared" si="66"/>
        <v>0</v>
      </c>
      <c r="S327" s="361">
        <f t="shared" si="68"/>
        <v>0</v>
      </c>
      <c r="T327" s="799">
        <f>剩余房源售价清单!I306</f>
        <v>0</v>
      </c>
      <c r="U327" s="799" t="e">
        <f t="shared" si="57"/>
        <v>#DIV/0!</v>
      </c>
    </row>
    <row r="328" spans="1:21">
      <c r="A328" s="2985"/>
      <c r="B328" s="59"/>
      <c r="C328" s="24">
        <f t="shared" si="58"/>
        <v>1</v>
      </c>
      <c r="D328" s="719"/>
      <c r="E328" s="24">
        <f t="shared" si="59"/>
        <v>0</v>
      </c>
      <c r="F328" s="719"/>
      <c r="G328" s="24">
        <f t="shared" si="60"/>
        <v>0.03</v>
      </c>
      <c r="H328" s="719"/>
      <c r="I328" s="24">
        <f t="shared" si="61"/>
        <v>0.02</v>
      </c>
      <c r="J328" s="719"/>
      <c r="K328" s="24">
        <f t="shared" si="62"/>
        <v>1</v>
      </c>
      <c r="L328" s="719"/>
      <c r="M328" s="24">
        <f t="shared" si="63"/>
        <v>1</v>
      </c>
      <c r="N328" s="719"/>
      <c r="O328" s="24">
        <f t="shared" si="64"/>
        <v>1</v>
      </c>
      <c r="P328" s="719"/>
      <c r="Q328" s="24">
        <f t="shared" si="65"/>
        <v>0</v>
      </c>
      <c r="R328" s="715">
        <f t="shared" si="66"/>
        <v>0</v>
      </c>
      <c r="S328" s="361">
        <f t="shared" si="68"/>
        <v>0</v>
      </c>
      <c r="T328" s="799">
        <f>剩余房源售价清单!I307</f>
        <v>0</v>
      </c>
      <c r="U328" s="799" t="e">
        <f t="shared" si="57"/>
        <v>#DIV/0!</v>
      </c>
    </row>
    <row r="329" spans="1:21">
      <c r="A329" s="2985"/>
      <c r="B329" s="59"/>
      <c r="C329" s="24">
        <f t="shared" si="58"/>
        <v>1</v>
      </c>
      <c r="D329" s="719"/>
      <c r="E329" s="24">
        <f t="shared" si="59"/>
        <v>0</v>
      </c>
      <c r="F329" s="719"/>
      <c r="G329" s="24">
        <f t="shared" si="60"/>
        <v>0.03</v>
      </c>
      <c r="H329" s="719"/>
      <c r="I329" s="24">
        <f t="shared" si="61"/>
        <v>0.02</v>
      </c>
      <c r="J329" s="719"/>
      <c r="K329" s="24">
        <f t="shared" si="62"/>
        <v>1</v>
      </c>
      <c r="L329" s="719"/>
      <c r="M329" s="24">
        <f t="shared" si="63"/>
        <v>1</v>
      </c>
      <c r="N329" s="719"/>
      <c r="O329" s="24">
        <f t="shared" si="64"/>
        <v>1</v>
      </c>
      <c r="P329" s="719"/>
      <c r="Q329" s="24">
        <f t="shared" si="65"/>
        <v>0</v>
      </c>
      <c r="R329" s="715">
        <f t="shared" si="66"/>
        <v>0</v>
      </c>
      <c r="S329" s="361">
        <f t="shared" si="68"/>
        <v>0</v>
      </c>
      <c r="T329" s="799">
        <f>剩余房源售价清单!I308</f>
        <v>0</v>
      </c>
      <c r="U329" s="799" t="e">
        <f t="shared" si="57"/>
        <v>#DIV/0!</v>
      </c>
    </row>
    <row r="330" spans="1:21">
      <c r="A330" s="2985"/>
      <c r="B330" s="59"/>
      <c r="C330" s="24">
        <f t="shared" si="58"/>
        <v>1</v>
      </c>
      <c r="D330" s="719"/>
      <c r="E330" s="24">
        <f t="shared" si="59"/>
        <v>0</v>
      </c>
      <c r="F330" s="719"/>
      <c r="G330" s="24">
        <f t="shared" si="60"/>
        <v>0.03</v>
      </c>
      <c r="H330" s="719"/>
      <c r="I330" s="24">
        <f t="shared" si="61"/>
        <v>0.02</v>
      </c>
      <c r="J330" s="719"/>
      <c r="K330" s="24">
        <f t="shared" si="62"/>
        <v>1</v>
      </c>
      <c r="L330" s="719"/>
      <c r="M330" s="24">
        <f t="shared" si="63"/>
        <v>1</v>
      </c>
      <c r="N330" s="719"/>
      <c r="O330" s="24">
        <f t="shared" si="64"/>
        <v>1</v>
      </c>
      <c r="P330" s="719"/>
      <c r="Q330" s="24">
        <f t="shared" si="65"/>
        <v>0</v>
      </c>
      <c r="R330" s="715">
        <f t="shared" si="66"/>
        <v>0</v>
      </c>
      <c r="S330" s="361">
        <f t="shared" si="68"/>
        <v>0</v>
      </c>
      <c r="T330" s="799">
        <f>剩余房源售价清单!I309</f>
        <v>0</v>
      </c>
      <c r="U330" s="799" t="e">
        <f t="shared" si="57"/>
        <v>#DIV/0!</v>
      </c>
    </row>
    <row r="331" spans="1:21">
      <c r="A331" s="2985"/>
      <c r="B331" s="59"/>
      <c r="C331" s="24">
        <f t="shared" si="58"/>
        <v>1</v>
      </c>
      <c r="D331" s="719"/>
      <c r="E331" s="24">
        <f t="shared" si="59"/>
        <v>0</v>
      </c>
      <c r="F331" s="719"/>
      <c r="G331" s="24">
        <f t="shared" si="60"/>
        <v>0.03</v>
      </c>
      <c r="H331" s="719"/>
      <c r="I331" s="24">
        <f t="shared" si="61"/>
        <v>0.02</v>
      </c>
      <c r="J331" s="719"/>
      <c r="K331" s="24">
        <f t="shared" si="62"/>
        <v>1</v>
      </c>
      <c r="L331" s="719"/>
      <c r="M331" s="24">
        <f t="shared" si="63"/>
        <v>1</v>
      </c>
      <c r="N331" s="719"/>
      <c r="O331" s="24">
        <f t="shared" si="64"/>
        <v>1</v>
      </c>
      <c r="P331" s="719"/>
      <c r="Q331" s="24">
        <f t="shared" si="65"/>
        <v>0</v>
      </c>
      <c r="R331" s="715">
        <f t="shared" si="66"/>
        <v>0</v>
      </c>
      <c r="S331" s="361">
        <f t="shared" si="68"/>
        <v>0</v>
      </c>
      <c r="T331" s="799">
        <f>剩余房源售价清单!I310</f>
        <v>0</v>
      </c>
      <c r="U331" s="799" t="e">
        <f t="shared" si="57"/>
        <v>#DIV/0!</v>
      </c>
    </row>
    <row r="332" spans="1:21">
      <c r="A332" s="2985"/>
      <c r="B332" s="59"/>
      <c r="C332" s="24">
        <f t="shared" si="58"/>
        <v>1</v>
      </c>
      <c r="D332" s="719"/>
      <c r="E332" s="24">
        <f t="shared" si="59"/>
        <v>0</v>
      </c>
      <c r="F332" s="719"/>
      <c r="G332" s="24">
        <f t="shared" si="60"/>
        <v>0.03</v>
      </c>
      <c r="H332" s="719"/>
      <c r="I332" s="24">
        <f t="shared" si="61"/>
        <v>0.02</v>
      </c>
      <c r="J332" s="719"/>
      <c r="K332" s="24">
        <f t="shared" si="62"/>
        <v>1</v>
      </c>
      <c r="L332" s="719"/>
      <c r="M332" s="24">
        <f t="shared" si="63"/>
        <v>1</v>
      </c>
      <c r="N332" s="719"/>
      <c r="O332" s="24">
        <f t="shared" si="64"/>
        <v>1</v>
      </c>
      <c r="P332" s="719"/>
      <c r="Q332" s="24">
        <f t="shared" si="65"/>
        <v>0</v>
      </c>
      <c r="R332" s="715">
        <f t="shared" si="66"/>
        <v>0</v>
      </c>
      <c r="S332" s="361">
        <f t="shared" si="68"/>
        <v>0</v>
      </c>
      <c r="T332" s="799">
        <f>剩余房源售价清单!I311</f>
        <v>0</v>
      </c>
      <c r="U332" s="799" t="e">
        <f t="shared" si="57"/>
        <v>#DIV/0!</v>
      </c>
    </row>
    <row r="333" spans="1:21">
      <c r="A333" s="2985"/>
      <c r="B333" s="59"/>
      <c r="C333" s="24">
        <f t="shared" si="58"/>
        <v>1</v>
      </c>
      <c r="D333" s="719"/>
      <c r="E333" s="24">
        <f t="shared" si="59"/>
        <v>0</v>
      </c>
      <c r="F333" s="719"/>
      <c r="G333" s="24">
        <f t="shared" si="60"/>
        <v>0.03</v>
      </c>
      <c r="H333" s="719"/>
      <c r="I333" s="24">
        <f t="shared" si="61"/>
        <v>0.02</v>
      </c>
      <c r="J333" s="719"/>
      <c r="K333" s="24">
        <f t="shared" si="62"/>
        <v>1</v>
      </c>
      <c r="L333" s="719"/>
      <c r="M333" s="24">
        <f t="shared" si="63"/>
        <v>1</v>
      </c>
      <c r="N333" s="719"/>
      <c r="O333" s="24">
        <f t="shared" si="64"/>
        <v>1</v>
      </c>
      <c r="P333" s="719"/>
      <c r="Q333" s="24">
        <f t="shared" si="65"/>
        <v>0</v>
      </c>
      <c r="R333" s="715">
        <f t="shared" si="66"/>
        <v>0</v>
      </c>
      <c r="S333" s="361">
        <f t="shared" si="68"/>
        <v>0</v>
      </c>
      <c r="T333" s="799">
        <f>剩余房源售价清单!I312</f>
        <v>0</v>
      </c>
      <c r="U333" s="799" t="e">
        <f t="shared" si="57"/>
        <v>#DIV/0!</v>
      </c>
    </row>
    <row r="334" spans="1:21">
      <c r="A334" s="2985"/>
      <c r="B334" s="59"/>
      <c r="C334" s="24">
        <f t="shared" si="58"/>
        <v>1</v>
      </c>
      <c r="D334" s="719"/>
      <c r="E334" s="24">
        <f t="shared" si="59"/>
        <v>0</v>
      </c>
      <c r="F334" s="719"/>
      <c r="G334" s="24">
        <f t="shared" si="60"/>
        <v>0.03</v>
      </c>
      <c r="H334" s="719"/>
      <c r="I334" s="24">
        <f t="shared" si="61"/>
        <v>0.02</v>
      </c>
      <c r="J334" s="719"/>
      <c r="K334" s="24">
        <f t="shared" si="62"/>
        <v>1</v>
      </c>
      <c r="L334" s="719"/>
      <c r="M334" s="24">
        <f t="shared" si="63"/>
        <v>1</v>
      </c>
      <c r="N334" s="719"/>
      <c r="O334" s="24">
        <f t="shared" si="64"/>
        <v>1</v>
      </c>
      <c r="P334" s="719"/>
      <c r="Q334" s="24">
        <f t="shared" si="65"/>
        <v>0</v>
      </c>
      <c r="R334" s="715">
        <f t="shared" si="66"/>
        <v>0</v>
      </c>
      <c r="S334" s="361">
        <f t="shared" si="68"/>
        <v>0</v>
      </c>
      <c r="T334" s="799">
        <f>剩余房源售价清单!I313</f>
        <v>0</v>
      </c>
      <c r="U334" s="799" t="e">
        <f t="shared" si="57"/>
        <v>#DIV/0!</v>
      </c>
    </row>
    <row r="335" spans="1:21">
      <c r="A335" s="2985"/>
      <c r="B335" s="59"/>
      <c r="C335" s="24">
        <f t="shared" si="58"/>
        <v>1</v>
      </c>
      <c r="D335" s="719"/>
      <c r="E335" s="24">
        <f t="shared" si="59"/>
        <v>0</v>
      </c>
      <c r="F335" s="719"/>
      <c r="G335" s="24">
        <f t="shared" si="60"/>
        <v>0.03</v>
      </c>
      <c r="H335" s="719"/>
      <c r="I335" s="24">
        <f t="shared" si="61"/>
        <v>0.02</v>
      </c>
      <c r="J335" s="719"/>
      <c r="K335" s="24">
        <f t="shared" si="62"/>
        <v>1</v>
      </c>
      <c r="L335" s="719"/>
      <c r="M335" s="24">
        <f t="shared" si="63"/>
        <v>1</v>
      </c>
      <c r="N335" s="719"/>
      <c r="O335" s="24">
        <f t="shared" si="64"/>
        <v>1</v>
      </c>
      <c r="P335" s="719"/>
      <c r="Q335" s="24">
        <f t="shared" si="65"/>
        <v>0</v>
      </c>
      <c r="R335" s="715">
        <f t="shared" si="66"/>
        <v>0</v>
      </c>
      <c r="S335" s="361">
        <f t="shared" si="68"/>
        <v>0</v>
      </c>
      <c r="T335" s="799">
        <f>剩余房源售价清单!I314</f>
        <v>0</v>
      </c>
      <c r="U335" s="799" t="e">
        <f t="shared" si="57"/>
        <v>#DIV/0!</v>
      </c>
    </row>
    <row r="336" spans="1:21">
      <c r="A336" s="2985"/>
      <c r="B336" s="59"/>
      <c r="C336" s="24">
        <f t="shared" si="58"/>
        <v>1</v>
      </c>
      <c r="D336" s="719"/>
      <c r="E336" s="24">
        <f t="shared" si="59"/>
        <v>0</v>
      </c>
      <c r="F336" s="719"/>
      <c r="G336" s="24">
        <f t="shared" si="60"/>
        <v>0.03</v>
      </c>
      <c r="H336" s="719"/>
      <c r="I336" s="24">
        <f t="shared" si="61"/>
        <v>0.02</v>
      </c>
      <c r="J336" s="719"/>
      <c r="K336" s="24">
        <f t="shared" si="62"/>
        <v>1</v>
      </c>
      <c r="L336" s="719"/>
      <c r="M336" s="24">
        <f t="shared" si="63"/>
        <v>1</v>
      </c>
      <c r="N336" s="719"/>
      <c r="O336" s="24">
        <f t="shared" si="64"/>
        <v>1</v>
      </c>
      <c r="P336" s="719"/>
      <c r="Q336" s="24">
        <f t="shared" si="65"/>
        <v>0</v>
      </c>
      <c r="R336" s="715">
        <f t="shared" si="66"/>
        <v>0</v>
      </c>
      <c r="S336" s="361">
        <f t="shared" si="68"/>
        <v>0</v>
      </c>
      <c r="T336" s="799">
        <f>剩余房源售价清单!I315</f>
        <v>0</v>
      </c>
      <c r="U336" s="799" t="e">
        <f t="shared" si="57"/>
        <v>#DIV/0!</v>
      </c>
    </row>
    <row r="337" spans="1:21">
      <c r="A337" s="2985"/>
      <c r="B337" s="59"/>
      <c r="C337" s="24">
        <f t="shared" si="58"/>
        <v>1</v>
      </c>
      <c r="D337" s="719"/>
      <c r="E337" s="24">
        <f t="shared" si="59"/>
        <v>0</v>
      </c>
      <c r="F337" s="719"/>
      <c r="G337" s="24">
        <f t="shared" si="60"/>
        <v>0.03</v>
      </c>
      <c r="H337" s="719"/>
      <c r="I337" s="24">
        <f t="shared" si="61"/>
        <v>0.02</v>
      </c>
      <c r="J337" s="719"/>
      <c r="K337" s="24">
        <f t="shared" si="62"/>
        <v>1</v>
      </c>
      <c r="L337" s="719"/>
      <c r="M337" s="24">
        <f t="shared" si="63"/>
        <v>1</v>
      </c>
      <c r="N337" s="719"/>
      <c r="O337" s="24">
        <f t="shared" si="64"/>
        <v>1</v>
      </c>
      <c r="P337" s="719"/>
      <c r="Q337" s="24">
        <f t="shared" si="65"/>
        <v>0</v>
      </c>
      <c r="R337" s="715">
        <f t="shared" si="66"/>
        <v>0</v>
      </c>
      <c r="S337" s="361">
        <f t="shared" si="68"/>
        <v>0</v>
      </c>
      <c r="T337" s="799">
        <f>剩余房源售价清单!I316</f>
        <v>0</v>
      </c>
      <c r="U337" s="799" t="e">
        <f t="shared" si="57"/>
        <v>#DIV/0!</v>
      </c>
    </row>
    <row r="338" spans="1:21">
      <c r="A338" s="2985"/>
      <c r="B338" s="59"/>
      <c r="C338" s="24">
        <f t="shared" si="58"/>
        <v>1</v>
      </c>
      <c r="D338" s="719"/>
      <c r="E338" s="24">
        <f t="shared" si="59"/>
        <v>0</v>
      </c>
      <c r="F338" s="719"/>
      <c r="G338" s="24">
        <f t="shared" si="60"/>
        <v>0.03</v>
      </c>
      <c r="H338" s="719"/>
      <c r="I338" s="24">
        <f t="shared" si="61"/>
        <v>0.02</v>
      </c>
      <c r="J338" s="719"/>
      <c r="K338" s="24">
        <f t="shared" si="62"/>
        <v>1</v>
      </c>
      <c r="L338" s="719"/>
      <c r="M338" s="24">
        <f t="shared" si="63"/>
        <v>1</v>
      </c>
      <c r="N338" s="719"/>
      <c r="O338" s="24">
        <f t="shared" si="64"/>
        <v>1</v>
      </c>
      <c r="P338" s="719"/>
      <c r="Q338" s="24">
        <f t="shared" si="65"/>
        <v>0</v>
      </c>
      <c r="R338" s="715">
        <f t="shared" si="66"/>
        <v>0</v>
      </c>
      <c r="S338" s="361">
        <f t="shared" si="68"/>
        <v>0</v>
      </c>
      <c r="T338" s="799">
        <f>剩余房源售价清单!I317</f>
        <v>0</v>
      </c>
      <c r="U338" s="799" t="e">
        <f t="shared" si="57"/>
        <v>#DIV/0!</v>
      </c>
    </row>
    <row r="339" spans="1:21">
      <c r="A339" s="2985"/>
      <c r="B339" s="59"/>
      <c r="C339" s="24">
        <f t="shared" si="58"/>
        <v>1</v>
      </c>
      <c r="D339" s="719"/>
      <c r="E339" s="24">
        <f t="shared" si="59"/>
        <v>0</v>
      </c>
      <c r="F339" s="719"/>
      <c r="G339" s="24">
        <f t="shared" si="60"/>
        <v>0.03</v>
      </c>
      <c r="H339" s="719"/>
      <c r="I339" s="24">
        <f t="shared" si="61"/>
        <v>0.02</v>
      </c>
      <c r="J339" s="719"/>
      <c r="K339" s="24">
        <f t="shared" si="62"/>
        <v>1</v>
      </c>
      <c r="L339" s="719"/>
      <c r="M339" s="24">
        <f t="shared" si="63"/>
        <v>1</v>
      </c>
      <c r="N339" s="719"/>
      <c r="O339" s="24">
        <f t="shared" si="64"/>
        <v>1</v>
      </c>
      <c r="P339" s="719"/>
      <c r="Q339" s="24">
        <f t="shared" si="65"/>
        <v>0</v>
      </c>
      <c r="R339" s="715">
        <f t="shared" si="66"/>
        <v>0</v>
      </c>
      <c r="S339" s="361">
        <f t="shared" si="68"/>
        <v>0</v>
      </c>
      <c r="T339" s="799">
        <f>剩余房源售价清单!I318</f>
        <v>0</v>
      </c>
      <c r="U339" s="799" t="e">
        <f t="shared" si="57"/>
        <v>#DIV/0!</v>
      </c>
    </row>
    <row r="340" spans="1:21">
      <c r="A340" s="2985"/>
      <c r="B340" s="59"/>
      <c r="C340" s="24">
        <f t="shared" si="58"/>
        <v>1</v>
      </c>
      <c r="D340" s="719"/>
      <c r="E340" s="24">
        <f t="shared" si="59"/>
        <v>0</v>
      </c>
      <c r="F340" s="719"/>
      <c r="G340" s="24">
        <f t="shared" si="60"/>
        <v>0.03</v>
      </c>
      <c r="H340" s="719"/>
      <c r="I340" s="24">
        <f t="shared" si="61"/>
        <v>0.02</v>
      </c>
      <c r="J340" s="719"/>
      <c r="K340" s="24">
        <f t="shared" si="62"/>
        <v>1</v>
      </c>
      <c r="L340" s="719"/>
      <c r="M340" s="24">
        <f t="shared" si="63"/>
        <v>1</v>
      </c>
      <c r="N340" s="719"/>
      <c r="O340" s="24">
        <f t="shared" si="64"/>
        <v>1</v>
      </c>
      <c r="P340" s="719"/>
      <c r="Q340" s="24">
        <f t="shared" si="65"/>
        <v>0</v>
      </c>
      <c r="R340" s="715">
        <f t="shared" si="66"/>
        <v>0</v>
      </c>
      <c r="S340" s="361">
        <f t="shared" si="68"/>
        <v>0</v>
      </c>
      <c r="T340" s="799">
        <f>剩余房源售价清单!I319</f>
        <v>0</v>
      </c>
      <c r="U340" s="799" t="e">
        <f t="shared" si="57"/>
        <v>#DIV/0!</v>
      </c>
    </row>
    <row r="341" spans="1:21">
      <c r="A341" s="2985"/>
      <c r="B341" s="59"/>
      <c r="C341" s="24">
        <f t="shared" si="58"/>
        <v>1</v>
      </c>
      <c r="D341" s="719"/>
      <c r="E341" s="24">
        <f t="shared" si="59"/>
        <v>0</v>
      </c>
      <c r="F341" s="719"/>
      <c r="G341" s="24">
        <f t="shared" si="60"/>
        <v>0.03</v>
      </c>
      <c r="H341" s="719"/>
      <c r="I341" s="24">
        <f t="shared" si="61"/>
        <v>0.02</v>
      </c>
      <c r="J341" s="719"/>
      <c r="K341" s="24">
        <f t="shared" si="62"/>
        <v>1</v>
      </c>
      <c r="L341" s="719"/>
      <c r="M341" s="24">
        <f t="shared" si="63"/>
        <v>1</v>
      </c>
      <c r="N341" s="719"/>
      <c r="O341" s="24">
        <f t="shared" si="64"/>
        <v>1</v>
      </c>
      <c r="P341" s="719"/>
      <c r="Q341" s="24">
        <f t="shared" si="65"/>
        <v>0</v>
      </c>
      <c r="R341" s="715">
        <f t="shared" si="66"/>
        <v>0</v>
      </c>
      <c r="S341" s="361">
        <f t="shared" si="68"/>
        <v>0</v>
      </c>
      <c r="T341" s="799">
        <f>剩余房源售价清单!I320</f>
        <v>0</v>
      </c>
      <c r="U341" s="799" t="e">
        <f t="shared" si="57"/>
        <v>#DIV/0!</v>
      </c>
    </row>
    <row r="342" spans="1:21">
      <c r="A342" s="2985"/>
      <c r="B342" s="59"/>
      <c r="C342" s="24">
        <f t="shared" si="58"/>
        <v>1</v>
      </c>
      <c r="D342" s="719"/>
      <c r="E342" s="24">
        <f t="shared" si="59"/>
        <v>0</v>
      </c>
      <c r="F342" s="719"/>
      <c r="G342" s="24">
        <f t="shared" si="60"/>
        <v>0.03</v>
      </c>
      <c r="H342" s="719"/>
      <c r="I342" s="24">
        <f t="shared" si="61"/>
        <v>0.02</v>
      </c>
      <c r="J342" s="719"/>
      <c r="K342" s="24">
        <f t="shared" si="62"/>
        <v>1</v>
      </c>
      <c r="L342" s="719"/>
      <c r="M342" s="24">
        <f t="shared" si="63"/>
        <v>1</v>
      </c>
      <c r="N342" s="719"/>
      <c r="O342" s="24">
        <f t="shared" si="64"/>
        <v>1</v>
      </c>
      <c r="P342" s="719"/>
      <c r="Q342" s="24">
        <f t="shared" si="65"/>
        <v>0</v>
      </c>
      <c r="R342" s="715">
        <f t="shared" si="66"/>
        <v>0</v>
      </c>
      <c r="S342" s="361">
        <f t="shared" si="68"/>
        <v>0</v>
      </c>
      <c r="T342" s="799">
        <f>剩余房源售价清单!I321</f>
        <v>0</v>
      </c>
      <c r="U342" s="799" t="e">
        <f t="shared" si="57"/>
        <v>#DIV/0!</v>
      </c>
    </row>
    <row r="343" spans="1:21">
      <c r="A343" s="2985"/>
      <c r="B343" s="59"/>
      <c r="C343" s="24">
        <f t="shared" si="58"/>
        <v>1</v>
      </c>
      <c r="D343" s="719"/>
      <c r="E343" s="24">
        <f t="shared" si="59"/>
        <v>0</v>
      </c>
      <c r="F343" s="719"/>
      <c r="G343" s="24">
        <f t="shared" si="60"/>
        <v>0.03</v>
      </c>
      <c r="H343" s="719"/>
      <c r="I343" s="24">
        <f t="shared" si="61"/>
        <v>0.02</v>
      </c>
      <c r="J343" s="719"/>
      <c r="K343" s="24">
        <f t="shared" si="62"/>
        <v>1</v>
      </c>
      <c r="L343" s="719"/>
      <c r="M343" s="24">
        <f t="shared" si="63"/>
        <v>1</v>
      </c>
      <c r="N343" s="719"/>
      <c r="O343" s="24">
        <f t="shared" si="64"/>
        <v>1</v>
      </c>
      <c r="P343" s="719"/>
      <c r="Q343" s="24">
        <f t="shared" si="65"/>
        <v>0</v>
      </c>
      <c r="R343" s="715">
        <f t="shared" si="66"/>
        <v>0</v>
      </c>
      <c r="S343" s="361">
        <f t="shared" si="68"/>
        <v>0</v>
      </c>
      <c r="T343" s="799">
        <f>剩余房源售价清单!I322</f>
        <v>0</v>
      </c>
      <c r="U343" s="799" t="e">
        <f t="shared" si="57"/>
        <v>#DIV/0!</v>
      </c>
    </row>
    <row r="344" spans="1:21">
      <c r="A344" s="2985"/>
      <c r="B344" s="59"/>
      <c r="C344" s="24">
        <f t="shared" si="58"/>
        <v>1</v>
      </c>
      <c r="D344" s="719"/>
      <c r="E344" s="24">
        <f t="shared" si="59"/>
        <v>0</v>
      </c>
      <c r="F344" s="719"/>
      <c r="G344" s="24">
        <f t="shared" si="60"/>
        <v>0.03</v>
      </c>
      <c r="H344" s="719"/>
      <c r="I344" s="24">
        <f t="shared" si="61"/>
        <v>0.02</v>
      </c>
      <c r="J344" s="719"/>
      <c r="K344" s="24">
        <f t="shared" si="62"/>
        <v>1</v>
      </c>
      <c r="L344" s="719"/>
      <c r="M344" s="24">
        <f t="shared" si="63"/>
        <v>1</v>
      </c>
      <c r="N344" s="719"/>
      <c r="O344" s="24">
        <f t="shared" si="64"/>
        <v>1</v>
      </c>
      <c r="P344" s="719"/>
      <c r="Q344" s="24">
        <f t="shared" si="65"/>
        <v>0</v>
      </c>
      <c r="R344" s="715">
        <f t="shared" si="66"/>
        <v>0</v>
      </c>
      <c r="S344" s="361">
        <f t="shared" si="68"/>
        <v>0</v>
      </c>
      <c r="T344" s="799">
        <f>剩余房源售价清单!I323</f>
        <v>0</v>
      </c>
      <c r="U344" s="799" t="e">
        <f t="shared" si="57"/>
        <v>#DIV/0!</v>
      </c>
    </row>
    <row r="345" spans="1:21">
      <c r="A345" s="2985"/>
      <c r="B345" s="59"/>
      <c r="C345" s="24">
        <f t="shared" si="58"/>
        <v>1</v>
      </c>
      <c r="D345" s="719"/>
      <c r="E345" s="24">
        <f t="shared" si="59"/>
        <v>0</v>
      </c>
      <c r="F345" s="719"/>
      <c r="G345" s="24">
        <f t="shared" si="60"/>
        <v>0.03</v>
      </c>
      <c r="H345" s="719"/>
      <c r="I345" s="24">
        <f t="shared" si="61"/>
        <v>0.02</v>
      </c>
      <c r="J345" s="719"/>
      <c r="K345" s="24">
        <f t="shared" si="62"/>
        <v>1</v>
      </c>
      <c r="L345" s="719"/>
      <c r="M345" s="24">
        <f t="shared" si="63"/>
        <v>1</v>
      </c>
      <c r="N345" s="719"/>
      <c r="O345" s="24">
        <f t="shared" si="64"/>
        <v>1</v>
      </c>
      <c r="P345" s="719"/>
      <c r="Q345" s="24">
        <f t="shared" si="65"/>
        <v>0</v>
      </c>
      <c r="R345" s="715">
        <f t="shared" si="66"/>
        <v>0</v>
      </c>
      <c r="S345" s="361">
        <f t="shared" si="68"/>
        <v>0</v>
      </c>
      <c r="T345" s="799">
        <f>剩余房源售价清单!I324</f>
        <v>0</v>
      </c>
      <c r="U345" s="799" t="e">
        <f t="shared" ref="U345:U408" si="69">R345/T345</f>
        <v>#DIV/0!</v>
      </c>
    </row>
    <row r="346" spans="1:21">
      <c r="A346" s="2985"/>
      <c r="B346" s="59"/>
      <c r="C346" s="24">
        <f t="shared" ref="C346:C409" si="70">IF(B346="",1,(LOOKUP(B346,$3:$3,$4:$4)-LOOKUP($B$24,$3:$3,$4:$4)+100)/100)</f>
        <v>1</v>
      </c>
      <c r="D346" s="719"/>
      <c r="E346" s="24">
        <f t="shared" ref="E346:E409" si="71">(SUMIF($5:$5,D346,$6:$6)-SUMIF($5:$5,$D$24,$6:$6)+100)/100</f>
        <v>0</v>
      </c>
      <c r="F346" s="719"/>
      <c r="G346" s="24">
        <f t="shared" ref="G346:G409" si="72">(SUMIF($7:$7,F346,$8:$8)-SUMIF($7:$7,$F$24,$8:$8)+100)/100</f>
        <v>0.03</v>
      </c>
      <c r="H346" s="719"/>
      <c r="I346" s="24">
        <f t="shared" ref="I346:I409" si="73">(SUMIF($9:$9,H346,$10:$10)-SUMIF($9:$9,$H$24,$10:$10)+100)/100</f>
        <v>0.02</v>
      </c>
      <c r="J346" s="719"/>
      <c r="K346" s="24">
        <f t="shared" ref="K346:K409" si="74">(SUMIF($11:$11,J346,$12:$12)-SUMIF($11:$11,$J$24,$12:$12)+100)/100</f>
        <v>1</v>
      </c>
      <c r="L346" s="719"/>
      <c r="M346" s="24">
        <f t="shared" ref="M346:M409" si="75">(SUMIF($13:$13,L346,$14:$14)-SUMIF($13:$13,$L$24,$14:$14)+100)/100</f>
        <v>1</v>
      </c>
      <c r="N346" s="719"/>
      <c r="O346" s="24">
        <f t="shared" ref="O346:O409" si="76">(SUMIF($15:$15,N346,$16:$16)-SUMIF($15:$15,$N$24,$16:$16)+100)/100</f>
        <v>1</v>
      </c>
      <c r="P346" s="719"/>
      <c r="Q346" s="24">
        <f t="shared" ref="Q346:Q409" si="77">(SUMIF($17:$17,P346,$18:$18)-SUMIF($17:$17,$P$24,$18:$18)+100)/100</f>
        <v>0</v>
      </c>
      <c r="R346" s="715">
        <f t="shared" ref="R346:R409" si="78">IF(B346="",0,ROUND($R$24*C346*E346*G346*I346*K346*M346*O346*Q346,0))</f>
        <v>0</v>
      </c>
      <c r="S346" s="361">
        <f t="shared" si="68"/>
        <v>0</v>
      </c>
      <c r="T346" s="799">
        <f>剩余房源售价清单!I325</f>
        <v>0</v>
      </c>
      <c r="U346" s="799" t="e">
        <f t="shared" si="69"/>
        <v>#DIV/0!</v>
      </c>
    </row>
    <row r="347" spans="1:21">
      <c r="A347" s="2985"/>
      <c r="B347" s="59"/>
      <c r="C347" s="24">
        <f t="shared" si="70"/>
        <v>1</v>
      </c>
      <c r="D347" s="719"/>
      <c r="E347" s="24">
        <f t="shared" si="71"/>
        <v>0</v>
      </c>
      <c r="F347" s="719"/>
      <c r="G347" s="24">
        <f t="shared" si="72"/>
        <v>0.03</v>
      </c>
      <c r="H347" s="719"/>
      <c r="I347" s="24">
        <f t="shared" si="73"/>
        <v>0.02</v>
      </c>
      <c r="J347" s="719"/>
      <c r="K347" s="24">
        <f t="shared" si="74"/>
        <v>1</v>
      </c>
      <c r="L347" s="719"/>
      <c r="M347" s="24">
        <f t="shared" si="75"/>
        <v>1</v>
      </c>
      <c r="N347" s="719"/>
      <c r="O347" s="24">
        <f t="shared" si="76"/>
        <v>1</v>
      </c>
      <c r="P347" s="719"/>
      <c r="Q347" s="24">
        <f t="shared" si="77"/>
        <v>0</v>
      </c>
      <c r="R347" s="715">
        <f t="shared" si="78"/>
        <v>0</v>
      </c>
      <c r="S347" s="361">
        <f t="shared" si="68"/>
        <v>0</v>
      </c>
      <c r="T347" s="799">
        <f>剩余房源售价清单!I326</f>
        <v>0</v>
      </c>
      <c r="U347" s="799" t="e">
        <f t="shared" si="69"/>
        <v>#DIV/0!</v>
      </c>
    </row>
    <row r="348" spans="1:21">
      <c r="A348" s="2985"/>
      <c r="B348" s="59"/>
      <c r="C348" s="24">
        <f t="shared" si="70"/>
        <v>1</v>
      </c>
      <c r="D348" s="719"/>
      <c r="E348" s="24">
        <f t="shared" si="71"/>
        <v>0</v>
      </c>
      <c r="F348" s="719"/>
      <c r="G348" s="24">
        <f t="shared" si="72"/>
        <v>0.03</v>
      </c>
      <c r="H348" s="719"/>
      <c r="I348" s="24">
        <f t="shared" si="73"/>
        <v>0.02</v>
      </c>
      <c r="J348" s="719"/>
      <c r="K348" s="24">
        <f t="shared" si="74"/>
        <v>1</v>
      </c>
      <c r="L348" s="719"/>
      <c r="M348" s="24">
        <f t="shared" si="75"/>
        <v>1</v>
      </c>
      <c r="N348" s="719"/>
      <c r="O348" s="24">
        <f t="shared" si="76"/>
        <v>1</v>
      </c>
      <c r="P348" s="719"/>
      <c r="Q348" s="24">
        <f t="shared" si="77"/>
        <v>0</v>
      </c>
      <c r="R348" s="715">
        <f t="shared" si="78"/>
        <v>0</v>
      </c>
      <c r="S348" s="361">
        <f t="shared" si="68"/>
        <v>0</v>
      </c>
      <c r="T348" s="799">
        <f>剩余房源售价清单!I327</f>
        <v>0</v>
      </c>
      <c r="U348" s="799" t="e">
        <f t="shared" si="69"/>
        <v>#DIV/0!</v>
      </c>
    </row>
    <row r="349" spans="1:21">
      <c r="A349" s="2985"/>
      <c r="B349" s="59"/>
      <c r="C349" s="24">
        <f t="shared" si="70"/>
        <v>1</v>
      </c>
      <c r="D349" s="719"/>
      <c r="E349" s="24">
        <f t="shared" si="71"/>
        <v>0</v>
      </c>
      <c r="F349" s="719"/>
      <c r="G349" s="24">
        <f t="shared" si="72"/>
        <v>0.03</v>
      </c>
      <c r="H349" s="719"/>
      <c r="I349" s="24">
        <f t="shared" si="73"/>
        <v>0.02</v>
      </c>
      <c r="J349" s="719"/>
      <c r="K349" s="24">
        <f t="shared" si="74"/>
        <v>1</v>
      </c>
      <c r="L349" s="719"/>
      <c r="M349" s="24">
        <f t="shared" si="75"/>
        <v>1</v>
      </c>
      <c r="N349" s="719"/>
      <c r="O349" s="24">
        <f t="shared" si="76"/>
        <v>1</v>
      </c>
      <c r="P349" s="719"/>
      <c r="Q349" s="24">
        <f t="shared" si="77"/>
        <v>0</v>
      </c>
      <c r="R349" s="715">
        <f t="shared" si="78"/>
        <v>0</v>
      </c>
      <c r="S349" s="361">
        <f t="shared" si="68"/>
        <v>0</v>
      </c>
      <c r="T349" s="799">
        <f>剩余房源售价清单!I328</f>
        <v>0</v>
      </c>
      <c r="U349" s="799" t="e">
        <f t="shared" si="69"/>
        <v>#DIV/0!</v>
      </c>
    </row>
    <row r="350" spans="1:21">
      <c r="A350" s="2985"/>
      <c r="B350" s="59"/>
      <c r="C350" s="24">
        <f t="shared" si="70"/>
        <v>1</v>
      </c>
      <c r="D350" s="719"/>
      <c r="E350" s="24">
        <f t="shared" si="71"/>
        <v>0</v>
      </c>
      <c r="F350" s="719"/>
      <c r="G350" s="24">
        <f t="shared" si="72"/>
        <v>0.03</v>
      </c>
      <c r="H350" s="719"/>
      <c r="I350" s="24">
        <f t="shared" si="73"/>
        <v>0.02</v>
      </c>
      <c r="J350" s="719"/>
      <c r="K350" s="24">
        <f t="shared" si="74"/>
        <v>1</v>
      </c>
      <c r="L350" s="719"/>
      <c r="M350" s="24">
        <f t="shared" si="75"/>
        <v>1</v>
      </c>
      <c r="N350" s="719"/>
      <c r="O350" s="24">
        <f t="shared" si="76"/>
        <v>1</v>
      </c>
      <c r="P350" s="719"/>
      <c r="Q350" s="24">
        <f t="shared" si="77"/>
        <v>0</v>
      </c>
      <c r="R350" s="715">
        <f t="shared" si="78"/>
        <v>0</v>
      </c>
      <c r="S350" s="361">
        <f t="shared" si="68"/>
        <v>0</v>
      </c>
      <c r="T350" s="799">
        <f>剩余房源售价清单!I329</f>
        <v>0</v>
      </c>
      <c r="U350" s="799" t="e">
        <f t="shared" si="69"/>
        <v>#DIV/0!</v>
      </c>
    </row>
    <row r="351" spans="1:21">
      <c r="A351" s="2985"/>
      <c r="B351" s="59"/>
      <c r="C351" s="24">
        <f t="shared" si="70"/>
        <v>1</v>
      </c>
      <c r="D351" s="719"/>
      <c r="E351" s="24">
        <f t="shared" si="71"/>
        <v>0</v>
      </c>
      <c r="F351" s="719"/>
      <c r="G351" s="24">
        <f t="shared" si="72"/>
        <v>0.03</v>
      </c>
      <c r="H351" s="719"/>
      <c r="I351" s="24">
        <f t="shared" si="73"/>
        <v>0.02</v>
      </c>
      <c r="J351" s="719"/>
      <c r="K351" s="24">
        <f t="shared" si="74"/>
        <v>1</v>
      </c>
      <c r="L351" s="719"/>
      <c r="M351" s="24">
        <f t="shared" si="75"/>
        <v>1</v>
      </c>
      <c r="N351" s="719"/>
      <c r="O351" s="24">
        <f t="shared" si="76"/>
        <v>1</v>
      </c>
      <c r="P351" s="719"/>
      <c r="Q351" s="24">
        <f t="shared" si="77"/>
        <v>0</v>
      </c>
      <c r="R351" s="715">
        <f t="shared" si="78"/>
        <v>0</v>
      </c>
      <c r="S351" s="361">
        <f t="shared" si="68"/>
        <v>0</v>
      </c>
      <c r="T351" s="799">
        <f>剩余房源售价清单!I330</f>
        <v>0</v>
      </c>
      <c r="U351" s="799" t="e">
        <f t="shared" si="69"/>
        <v>#DIV/0!</v>
      </c>
    </row>
    <row r="352" spans="1:21">
      <c r="A352" s="2985"/>
      <c r="B352" s="59"/>
      <c r="C352" s="24">
        <f t="shared" si="70"/>
        <v>1</v>
      </c>
      <c r="D352" s="719"/>
      <c r="E352" s="24">
        <f t="shared" si="71"/>
        <v>0</v>
      </c>
      <c r="F352" s="719"/>
      <c r="G352" s="24">
        <f t="shared" si="72"/>
        <v>0.03</v>
      </c>
      <c r="H352" s="719"/>
      <c r="I352" s="24">
        <f t="shared" si="73"/>
        <v>0.02</v>
      </c>
      <c r="J352" s="719"/>
      <c r="K352" s="24">
        <f t="shared" si="74"/>
        <v>1</v>
      </c>
      <c r="L352" s="719"/>
      <c r="M352" s="24">
        <f t="shared" si="75"/>
        <v>1</v>
      </c>
      <c r="N352" s="719"/>
      <c r="O352" s="24">
        <f t="shared" si="76"/>
        <v>1</v>
      </c>
      <c r="P352" s="719"/>
      <c r="Q352" s="24">
        <f t="shared" si="77"/>
        <v>0</v>
      </c>
      <c r="R352" s="715">
        <f t="shared" si="78"/>
        <v>0</v>
      </c>
      <c r="S352" s="361">
        <f t="shared" si="68"/>
        <v>0</v>
      </c>
      <c r="T352" s="799">
        <f>剩余房源售价清单!I331</f>
        <v>0</v>
      </c>
      <c r="U352" s="799" t="e">
        <f t="shared" si="69"/>
        <v>#DIV/0!</v>
      </c>
    </row>
    <row r="353" spans="1:21">
      <c r="A353" s="2985"/>
      <c r="B353" s="59"/>
      <c r="C353" s="24">
        <f t="shared" si="70"/>
        <v>1</v>
      </c>
      <c r="D353" s="719"/>
      <c r="E353" s="24">
        <f t="shared" si="71"/>
        <v>0</v>
      </c>
      <c r="F353" s="719"/>
      <c r="G353" s="24">
        <f t="shared" si="72"/>
        <v>0.03</v>
      </c>
      <c r="H353" s="719"/>
      <c r="I353" s="24">
        <f t="shared" si="73"/>
        <v>0.02</v>
      </c>
      <c r="J353" s="719"/>
      <c r="K353" s="24">
        <f t="shared" si="74"/>
        <v>1</v>
      </c>
      <c r="L353" s="719"/>
      <c r="M353" s="24">
        <f t="shared" si="75"/>
        <v>1</v>
      </c>
      <c r="N353" s="719"/>
      <c r="O353" s="24">
        <f t="shared" si="76"/>
        <v>1</v>
      </c>
      <c r="P353" s="719"/>
      <c r="Q353" s="24">
        <f t="shared" si="77"/>
        <v>0</v>
      </c>
      <c r="R353" s="715">
        <f t="shared" si="78"/>
        <v>0</v>
      </c>
      <c r="S353" s="361">
        <f t="shared" si="68"/>
        <v>0</v>
      </c>
      <c r="T353" s="799">
        <f>剩余房源售价清单!I332</f>
        <v>0</v>
      </c>
      <c r="U353" s="799" t="e">
        <f t="shared" si="69"/>
        <v>#DIV/0!</v>
      </c>
    </row>
    <row r="354" spans="1:21">
      <c r="A354" s="2985"/>
      <c r="B354" s="59"/>
      <c r="C354" s="24">
        <f t="shared" si="70"/>
        <v>1</v>
      </c>
      <c r="D354" s="719"/>
      <c r="E354" s="24">
        <f t="shared" si="71"/>
        <v>0</v>
      </c>
      <c r="F354" s="719"/>
      <c r="G354" s="24">
        <f t="shared" si="72"/>
        <v>0.03</v>
      </c>
      <c r="H354" s="719"/>
      <c r="I354" s="24">
        <f t="shared" si="73"/>
        <v>0.02</v>
      </c>
      <c r="J354" s="719"/>
      <c r="K354" s="24">
        <f t="shared" si="74"/>
        <v>1</v>
      </c>
      <c r="L354" s="719"/>
      <c r="M354" s="24">
        <f t="shared" si="75"/>
        <v>1</v>
      </c>
      <c r="N354" s="719"/>
      <c r="O354" s="24">
        <f t="shared" si="76"/>
        <v>1</v>
      </c>
      <c r="P354" s="719"/>
      <c r="Q354" s="24">
        <f t="shared" si="77"/>
        <v>0</v>
      </c>
      <c r="R354" s="715">
        <f t="shared" si="78"/>
        <v>0</v>
      </c>
      <c r="S354" s="361">
        <f t="shared" si="68"/>
        <v>0</v>
      </c>
      <c r="T354" s="799">
        <f>剩余房源售价清单!I333</f>
        <v>0</v>
      </c>
      <c r="U354" s="799" t="e">
        <f t="shared" si="69"/>
        <v>#DIV/0!</v>
      </c>
    </row>
    <row r="355" spans="1:21">
      <c r="A355" s="2985"/>
      <c r="B355" s="59"/>
      <c r="C355" s="24">
        <f t="shared" si="70"/>
        <v>1</v>
      </c>
      <c r="D355" s="719"/>
      <c r="E355" s="24">
        <f t="shared" si="71"/>
        <v>0</v>
      </c>
      <c r="F355" s="719"/>
      <c r="G355" s="24">
        <f t="shared" si="72"/>
        <v>0.03</v>
      </c>
      <c r="H355" s="719"/>
      <c r="I355" s="24">
        <f t="shared" si="73"/>
        <v>0.02</v>
      </c>
      <c r="J355" s="719"/>
      <c r="K355" s="24">
        <f t="shared" si="74"/>
        <v>1</v>
      </c>
      <c r="L355" s="719"/>
      <c r="M355" s="24">
        <f t="shared" si="75"/>
        <v>1</v>
      </c>
      <c r="N355" s="719"/>
      <c r="O355" s="24">
        <f t="shared" si="76"/>
        <v>1</v>
      </c>
      <c r="P355" s="719"/>
      <c r="Q355" s="24">
        <f t="shared" si="77"/>
        <v>0</v>
      </c>
      <c r="R355" s="715">
        <f t="shared" si="78"/>
        <v>0</v>
      </c>
      <c r="S355" s="361">
        <f t="shared" si="68"/>
        <v>0</v>
      </c>
      <c r="T355" s="799">
        <f>剩余房源售价清单!I334</f>
        <v>0</v>
      </c>
      <c r="U355" s="799" t="e">
        <f t="shared" si="69"/>
        <v>#DIV/0!</v>
      </c>
    </row>
    <row r="356" spans="1:21">
      <c r="A356" s="2985"/>
      <c r="B356" s="59"/>
      <c r="C356" s="24">
        <f t="shared" si="70"/>
        <v>1</v>
      </c>
      <c r="D356" s="719"/>
      <c r="E356" s="24">
        <f t="shared" si="71"/>
        <v>0</v>
      </c>
      <c r="F356" s="719"/>
      <c r="G356" s="24">
        <f t="shared" si="72"/>
        <v>0.03</v>
      </c>
      <c r="H356" s="719"/>
      <c r="I356" s="24">
        <f t="shared" si="73"/>
        <v>0.02</v>
      </c>
      <c r="J356" s="719"/>
      <c r="K356" s="24">
        <f t="shared" si="74"/>
        <v>1</v>
      </c>
      <c r="L356" s="719"/>
      <c r="M356" s="24">
        <f t="shared" si="75"/>
        <v>1</v>
      </c>
      <c r="N356" s="719"/>
      <c r="O356" s="24">
        <f t="shared" si="76"/>
        <v>1</v>
      </c>
      <c r="P356" s="719"/>
      <c r="Q356" s="24">
        <f t="shared" si="77"/>
        <v>0</v>
      </c>
      <c r="R356" s="715">
        <f t="shared" si="78"/>
        <v>0</v>
      </c>
      <c r="S356" s="361">
        <f t="shared" si="68"/>
        <v>0</v>
      </c>
      <c r="T356" s="799">
        <f>剩余房源售价清单!I335</f>
        <v>0</v>
      </c>
      <c r="U356" s="799" t="e">
        <f t="shared" si="69"/>
        <v>#DIV/0!</v>
      </c>
    </row>
    <row r="357" spans="1:21">
      <c r="A357" s="2985"/>
      <c r="B357" s="59"/>
      <c r="C357" s="24">
        <f t="shared" si="70"/>
        <v>1</v>
      </c>
      <c r="D357" s="719"/>
      <c r="E357" s="24">
        <f t="shared" si="71"/>
        <v>0</v>
      </c>
      <c r="F357" s="719"/>
      <c r="G357" s="24">
        <f t="shared" si="72"/>
        <v>0.03</v>
      </c>
      <c r="H357" s="719"/>
      <c r="I357" s="24">
        <f t="shared" si="73"/>
        <v>0.02</v>
      </c>
      <c r="J357" s="719"/>
      <c r="K357" s="24">
        <f t="shared" si="74"/>
        <v>1</v>
      </c>
      <c r="L357" s="719"/>
      <c r="M357" s="24">
        <f t="shared" si="75"/>
        <v>1</v>
      </c>
      <c r="N357" s="719"/>
      <c r="O357" s="24">
        <f t="shared" si="76"/>
        <v>1</v>
      </c>
      <c r="P357" s="719"/>
      <c r="Q357" s="24">
        <f t="shared" si="77"/>
        <v>0</v>
      </c>
      <c r="R357" s="715">
        <f t="shared" si="78"/>
        <v>0</v>
      </c>
      <c r="S357" s="361">
        <f t="shared" si="68"/>
        <v>0</v>
      </c>
      <c r="T357" s="799">
        <f>剩余房源售价清单!I336</f>
        <v>0</v>
      </c>
      <c r="U357" s="799" t="e">
        <f t="shared" si="69"/>
        <v>#DIV/0!</v>
      </c>
    </row>
    <row r="358" spans="1:21">
      <c r="A358" s="2985"/>
      <c r="B358" s="59"/>
      <c r="C358" s="24">
        <f t="shared" si="70"/>
        <v>1</v>
      </c>
      <c r="D358" s="719"/>
      <c r="E358" s="24">
        <f t="shared" si="71"/>
        <v>0</v>
      </c>
      <c r="F358" s="719"/>
      <c r="G358" s="24">
        <f t="shared" si="72"/>
        <v>0.03</v>
      </c>
      <c r="H358" s="719"/>
      <c r="I358" s="24">
        <f t="shared" si="73"/>
        <v>0.02</v>
      </c>
      <c r="J358" s="719"/>
      <c r="K358" s="24">
        <f t="shared" si="74"/>
        <v>1</v>
      </c>
      <c r="L358" s="719"/>
      <c r="M358" s="24">
        <f t="shared" si="75"/>
        <v>1</v>
      </c>
      <c r="N358" s="719"/>
      <c r="O358" s="24">
        <f t="shared" si="76"/>
        <v>1</v>
      </c>
      <c r="P358" s="719"/>
      <c r="Q358" s="24">
        <f t="shared" si="77"/>
        <v>0</v>
      </c>
      <c r="R358" s="715">
        <f t="shared" si="78"/>
        <v>0</v>
      </c>
      <c r="S358" s="361">
        <f t="shared" si="68"/>
        <v>0</v>
      </c>
      <c r="T358" s="799">
        <f>剩余房源售价清单!I337</f>
        <v>0</v>
      </c>
      <c r="U358" s="799" t="e">
        <f t="shared" si="69"/>
        <v>#DIV/0!</v>
      </c>
    </row>
    <row r="359" spans="1:21">
      <c r="A359" s="2985"/>
      <c r="B359" s="59"/>
      <c r="C359" s="24">
        <f t="shared" si="70"/>
        <v>1</v>
      </c>
      <c r="D359" s="719"/>
      <c r="E359" s="24">
        <f t="shared" si="71"/>
        <v>0</v>
      </c>
      <c r="F359" s="719"/>
      <c r="G359" s="24">
        <f t="shared" si="72"/>
        <v>0.03</v>
      </c>
      <c r="H359" s="719"/>
      <c r="I359" s="24">
        <f t="shared" si="73"/>
        <v>0.02</v>
      </c>
      <c r="J359" s="719"/>
      <c r="K359" s="24">
        <f t="shared" si="74"/>
        <v>1</v>
      </c>
      <c r="L359" s="719"/>
      <c r="M359" s="24">
        <f t="shared" si="75"/>
        <v>1</v>
      </c>
      <c r="N359" s="719"/>
      <c r="O359" s="24">
        <f t="shared" si="76"/>
        <v>1</v>
      </c>
      <c r="P359" s="719"/>
      <c r="Q359" s="24">
        <f t="shared" si="77"/>
        <v>0</v>
      </c>
      <c r="R359" s="715">
        <f t="shared" si="78"/>
        <v>0</v>
      </c>
      <c r="S359" s="361">
        <f t="shared" si="68"/>
        <v>0</v>
      </c>
      <c r="T359" s="799">
        <f>剩余房源售价清单!I338</f>
        <v>0</v>
      </c>
      <c r="U359" s="799" t="e">
        <f t="shared" si="69"/>
        <v>#DIV/0!</v>
      </c>
    </row>
    <row r="360" spans="1:21">
      <c r="A360" s="2985"/>
      <c r="B360" s="59"/>
      <c r="C360" s="24">
        <f t="shared" si="70"/>
        <v>1</v>
      </c>
      <c r="D360" s="719"/>
      <c r="E360" s="24">
        <f t="shared" si="71"/>
        <v>0</v>
      </c>
      <c r="F360" s="719"/>
      <c r="G360" s="24">
        <f t="shared" si="72"/>
        <v>0.03</v>
      </c>
      <c r="H360" s="719"/>
      <c r="I360" s="24">
        <f t="shared" si="73"/>
        <v>0.02</v>
      </c>
      <c r="J360" s="719"/>
      <c r="K360" s="24">
        <f t="shared" si="74"/>
        <v>1</v>
      </c>
      <c r="L360" s="719"/>
      <c r="M360" s="24">
        <f t="shared" si="75"/>
        <v>1</v>
      </c>
      <c r="N360" s="719"/>
      <c r="O360" s="24">
        <f t="shared" si="76"/>
        <v>1</v>
      </c>
      <c r="P360" s="719"/>
      <c r="Q360" s="24">
        <f t="shared" si="77"/>
        <v>0</v>
      </c>
      <c r="R360" s="715">
        <f t="shared" si="78"/>
        <v>0</v>
      </c>
      <c r="S360" s="361">
        <f t="shared" si="68"/>
        <v>0</v>
      </c>
      <c r="T360" s="799">
        <f>剩余房源售价清单!I339</f>
        <v>0</v>
      </c>
      <c r="U360" s="799" t="e">
        <f t="shared" si="69"/>
        <v>#DIV/0!</v>
      </c>
    </row>
    <row r="361" spans="1:21">
      <c r="A361" s="2985"/>
      <c r="B361" s="59"/>
      <c r="C361" s="24">
        <f t="shared" si="70"/>
        <v>1</v>
      </c>
      <c r="D361" s="719"/>
      <c r="E361" s="24">
        <f t="shared" si="71"/>
        <v>0</v>
      </c>
      <c r="F361" s="719"/>
      <c r="G361" s="24">
        <f t="shared" si="72"/>
        <v>0.03</v>
      </c>
      <c r="H361" s="719"/>
      <c r="I361" s="24">
        <f t="shared" si="73"/>
        <v>0.02</v>
      </c>
      <c r="J361" s="719"/>
      <c r="K361" s="24">
        <f t="shared" si="74"/>
        <v>1</v>
      </c>
      <c r="L361" s="719"/>
      <c r="M361" s="24">
        <f t="shared" si="75"/>
        <v>1</v>
      </c>
      <c r="N361" s="719"/>
      <c r="O361" s="24">
        <f t="shared" si="76"/>
        <v>1</v>
      </c>
      <c r="P361" s="719"/>
      <c r="Q361" s="24">
        <f t="shared" si="77"/>
        <v>0</v>
      </c>
      <c r="R361" s="715">
        <f t="shared" si="78"/>
        <v>0</v>
      </c>
      <c r="S361" s="361">
        <f t="shared" si="68"/>
        <v>0</v>
      </c>
      <c r="T361" s="799">
        <f>剩余房源售价清单!I340</f>
        <v>0</v>
      </c>
      <c r="U361" s="799" t="e">
        <f t="shared" si="69"/>
        <v>#DIV/0!</v>
      </c>
    </row>
    <row r="362" spans="1:21">
      <c r="A362" s="2985"/>
      <c r="B362" s="59"/>
      <c r="C362" s="24">
        <f t="shared" si="70"/>
        <v>1</v>
      </c>
      <c r="D362" s="719"/>
      <c r="E362" s="24">
        <f t="shared" si="71"/>
        <v>0</v>
      </c>
      <c r="F362" s="719"/>
      <c r="G362" s="24">
        <f t="shared" si="72"/>
        <v>0.03</v>
      </c>
      <c r="H362" s="719"/>
      <c r="I362" s="24">
        <f t="shared" si="73"/>
        <v>0.02</v>
      </c>
      <c r="J362" s="719"/>
      <c r="K362" s="24">
        <f t="shared" si="74"/>
        <v>1</v>
      </c>
      <c r="L362" s="719"/>
      <c r="M362" s="24">
        <f t="shared" si="75"/>
        <v>1</v>
      </c>
      <c r="N362" s="719"/>
      <c r="O362" s="24">
        <f t="shared" si="76"/>
        <v>1</v>
      </c>
      <c r="P362" s="719"/>
      <c r="Q362" s="24">
        <f t="shared" si="77"/>
        <v>0</v>
      </c>
      <c r="R362" s="715">
        <f t="shared" si="78"/>
        <v>0</v>
      </c>
      <c r="S362" s="361">
        <f t="shared" si="68"/>
        <v>0</v>
      </c>
      <c r="T362" s="799">
        <f>剩余房源售价清单!I341</f>
        <v>0</v>
      </c>
      <c r="U362" s="799" t="e">
        <f t="shared" si="69"/>
        <v>#DIV/0!</v>
      </c>
    </row>
    <row r="363" spans="1:21">
      <c r="A363" s="2985"/>
      <c r="B363" s="59"/>
      <c r="C363" s="24">
        <f t="shared" si="70"/>
        <v>1</v>
      </c>
      <c r="D363" s="719"/>
      <c r="E363" s="24">
        <f t="shared" si="71"/>
        <v>0</v>
      </c>
      <c r="F363" s="719"/>
      <c r="G363" s="24">
        <f t="shared" si="72"/>
        <v>0.03</v>
      </c>
      <c r="H363" s="719"/>
      <c r="I363" s="24">
        <f t="shared" si="73"/>
        <v>0.02</v>
      </c>
      <c r="J363" s="719"/>
      <c r="K363" s="24">
        <f t="shared" si="74"/>
        <v>1</v>
      </c>
      <c r="L363" s="719"/>
      <c r="M363" s="24">
        <f t="shared" si="75"/>
        <v>1</v>
      </c>
      <c r="N363" s="719"/>
      <c r="O363" s="24">
        <f t="shared" si="76"/>
        <v>1</v>
      </c>
      <c r="P363" s="719"/>
      <c r="Q363" s="24">
        <f t="shared" si="77"/>
        <v>0</v>
      </c>
      <c r="R363" s="715">
        <f t="shared" si="78"/>
        <v>0</v>
      </c>
      <c r="S363" s="361">
        <f t="shared" si="68"/>
        <v>0</v>
      </c>
      <c r="T363" s="799">
        <f>剩余房源售价清单!I342</f>
        <v>0</v>
      </c>
      <c r="U363" s="799" t="e">
        <f t="shared" si="69"/>
        <v>#DIV/0!</v>
      </c>
    </row>
    <row r="364" spans="1:21">
      <c r="A364" s="2985"/>
      <c r="B364" s="59"/>
      <c r="C364" s="24">
        <f t="shared" si="70"/>
        <v>1</v>
      </c>
      <c r="D364" s="719"/>
      <c r="E364" s="24">
        <f t="shared" si="71"/>
        <v>0</v>
      </c>
      <c r="F364" s="719"/>
      <c r="G364" s="24">
        <f t="shared" si="72"/>
        <v>0.03</v>
      </c>
      <c r="H364" s="719"/>
      <c r="I364" s="24">
        <f t="shared" si="73"/>
        <v>0.02</v>
      </c>
      <c r="J364" s="719"/>
      <c r="K364" s="24">
        <f t="shared" si="74"/>
        <v>1</v>
      </c>
      <c r="L364" s="719"/>
      <c r="M364" s="24">
        <f t="shared" si="75"/>
        <v>1</v>
      </c>
      <c r="N364" s="719"/>
      <c r="O364" s="24">
        <f t="shared" si="76"/>
        <v>1</v>
      </c>
      <c r="P364" s="719"/>
      <c r="Q364" s="24">
        <f t="shared" si="77"/>
        <v>0</v>
      </c>
      <c r="R364" s="715">
        <f t="shared" si="78"/>
        <v>0</v>
      </c>
      <c r="S364" s="361">
        <f t="shared" si="68"/>
        <v>0</v>
      </c>
      <c r="T364" s="799">
        <f>剩余房源售价清单!I343</f>
        <v>0</v>
      </c>
      <c r="U364" s="799" t="e">
        <f t="shared" si="69"/>
        <v>#DIV/0!</v>
      </c>
    </row>
    <row r="365" spans="1:21">
      <c r="A365" s="2985"/>
      <c r="B365" s="59"/>
      <c r="C365" s="24">
        <f t="shared" si="70"/>
        <v>1</v>
      </c>
      <c r="D365" s="719"/>
      <c r="E365" s="24">
        <f t="shared" si="71"/>
        <v>0</v>
      </c>
      <c r="F365" s="719"/>
      <c r="G365" s="24">
        <f t="shared" si="72"/>
        <v>0.03</v>
      </c>
      <c r="H365" s="719"/>
      <c r="I365" s="24">
        <f t="shared" si="73"/>
        <v>0.02</v>
      </c>
      <c r="J365" s="719"/>
      <c r="K365" s="24">
        <f t="shared" si="74"/>
        <v>1</v>
      </c>
      <c r="L365" s="719"/>
      <c r="M365" s="24">
        <f t="shared" si="75"/>
        <v>1</v>
      </c>
      <c r="N365" s="719"/>
      <c r="O365" s="24">
        <f t="shared" si="76"/>
        <v>1</v>
      </c>
      <c r="P365" s="719"/>
      <c r="Q365" s="24">
        <f t="shared" si="77"/>
        <v>0</v>
      </c>
      <c r="R365" s="715">
        <f t="shared" si="78"/>
        <v>0</v>
      </c>
      <c r="S365" s="361">
        <f t="shared" si="68"/>
        <v>0</v>
      </c>
      <c r="T365" s="799">
        <f>剩余房源售价清单!I344</f>
        <v>0</v>
      </c>
      <c r="U365" s="799" t="e">
        <f t="shared" si="69"/>
        <v>#DIV/0!</v>
      </c>
    </row>
    <row r="366" spans="1:21">
      <c r="A366" s="2985"/>
      <c r="B366" s="59"/>
      <c r="C366" s="24">
        <f t="shared" si="70"/>
        <v>1</v>
      </c>
      <c r="D366" s="719"/>
      <c r="E366" s="24">
        <f t="shared" si="71"/>
        <v>0</v>
      </c>
      <c r="F366" s="719"/>
      <c r="G366" s="24">
        <f t="shared" si="72"/>
        <v>0.03</v>
      </c>
      <c r="H366" s="719"/>
      <c r="I366" s="24">
        <f t="shared" si="73"/>
        <v>0.02</v>
      </c>
      <c r="J366" s="719"/>
      <c r="K366" s="24">
        <f t="shared" si="74"/>
        <v>1</v>
      </c>
      <c r="L366" s="719"/>
      <c r="M366" s="24">
        <f t="shared" si="75"/>
        <v>1</v>
      </c>
      <c r="N366" s="719"/>
      <c r="O366" s="24">
        <f t="shared" si="76"/>
        <v>1</v>
      </c>
      <c r="P366" s="719"/>
      <c r="Q366" s="24">
        <f t="shared" si="77"/>
        <v>0</v>
      </c>
      <c r="R366" s="715">
        <f t="shared" si="78"/>
        <v>0</v>
      </c>
      <c r="S366" s="361">
        <f t="shared" si="68"/>
        <v>0</v>
      </c>
      <c r="T366" s="799">
        <f>剩余房源售价清单!I345</f>
        <v>0</v>
      </c>
      <c r="U366" s="799" t="e">
        <f t="shared" si="69"/>
        <v>#DIV/0!</v>
      </c>
    </row>
    <row r="367" spans="1:21">
      <c r="A367" s="2985"/>
      <c r="B367" s="59"/>
      <c r="C367" s="24">
        <f t="shared" si="70"/>
        <v>1</v>
      </c>
      <c r="D367" s="719"/>
      <c r="E367" s="24">
        <f t="shared" si="71"/>
        <v>0</v>
      </c>
      <c r="F367" s="719"/>
      <c r="G367" s="24">
        <f t="shared" si="72"/>
        <v>0.03</v>
      </c>
      <c r="H367" s="719"/>
      <c r="I367" s="24">
        <f t="shared" si="73"/>
        <v>0.02</v>
      </c>
      <c r="J367" s="719"/>
      <c r="K367" s="24">
        <f t="shared" si="74"/>
        <v>1</v>
      </c>
      <c r="L367" s="719"/>
      <c r="M367" s="24">
        <f t="shared" si="75"/>
        <v>1</v>
      </c>
      <c r="N367" s="719"/>
      <c r="O367" s="24">
        <f t="shared" si="76"/>
        <v>1</v>
      </c>
      <c r="P367" s="719"/>
      <c r="Q367" s="24">
        <f t="shared" si="77"/>
        <v>0</v>
      </c>
      <c r="R367" s="715">
        <f t="shared" si="78"/>
        <v>0</v>
      </c>
      <c r="S367" s="361">
        <f t="shared" si="68"/>
        <v>0</v>
      </c>
      <c r="T367" s="799">
        <f>剩余房源售价清单!I346</f>
        <v>0</v>
      </c>
      <c r="U367" s="799" t="e">
        <f t="shared" si="69"/>
        <v>#DIV/0!</v>
      </c>
    </row>
    <row r="368" spans="1:21">
      <c r="A368" s="2985"/>
      <c r="B368" s="59"/>
      <c r="C368" s="24">
        <f t="shared" si="70"/>
        <v>1</v>
      </c>
      <c r="D368" s="719"/>
      <c r="E368" s="24">
        <f t="shared" si="71"/>
        <v>0</v>
      </c>
      <c r="F368" s="719"/>
      <c r="G368" s="24">
        <f t="shared" si="72"/>
        <v>0.03</v>
      </c>
      <c r="H368" s="719"/>
      <c r="I368" s="24">
        <f t="shared" si="73"/>
        <v>0.02</v>
      </c>
      <c r="J368" s="719"/>
      <c r="K368" s="24">
        <f t="shared" si="74"/>
        <v>1</v>
      </c>
      <c r="L368" s="719"/>
      <c r="M368" s="24">
        <f t="shared" si="75"/>
        <v>1</v>
      </c>
      <c r="N368" s="719"/>
      <c r="O368" s="24">
        <f t="shared" si="76"/>
        <v>1</v>
      </c>
      <c r="P368" s="719"/>
      <c r="Q368" s="24">
        <f t="shared" si="77"/>
        <v>0</v>
      </c>
      <c r="R368" s="715">
        <f t="shared" si="78"/>
        <v>0</v>
      </c>
      <c r="S368" s="361">
        <f t="shared" si="68"/>
        <v>0</v>
      </c>
      <c r="T368" s="799">
        <f>剩余房源售价清单!I347</f>
        <v>0</v>
      </c>
      <c r="U368" s="799" t="e">
        <f t="shared" si="69"/>
        <v>#DIV/0!</v>
      </c>
    </row>
    <row r="369" spans="1:21">
      <c r="A369" s="159"/>
      <c r="B369" s="59"/>
      <c r="C369" s="24">
        <f t="shared" si="70"/>
        <v>1</v>
      </c>
      <c r="D369" s="719"/>
      <c r="E369" s="24">
        <f t="shared" si="71"/>
        <v>0</v>
      </c>
      <c r="F369" s="719"/>
      <c r="G369" s="24">
        <f t="shared" si="72"/>
        <v>0.03</v>
      </c>
      <c r="H369" s="719"/>
      <c r="I369" s="24">
        <f t="shared" si="73"/>
        <v>0.02</v>
      </c>
      <c r="J369" s="719"/>
      <c r="K369" s="24">
        <f t="shared" si="74"/>
        <v>1</v>
      </c>
      <c r="L369" s="719"/>
      <c r="M369" s="24">
        <f t="shared" si="75"/>
        <v>1</v>
      </c>
      <c r="N369" s="719"/>
      <c r="O369" s="24">
        <f t="shared" si="76"/>
        <v>1</v>
      </c>
      <c r="P369" s="719"/>
      <c r="Q369" s="24">
        <f t="shared" si="77"/>
        <v>0</v>
      </c>
      <c r="R369" s="715">
        <f t="shared" si="78"/>
        <v>0</v>
      </c>
      <c r="S369" s="361">
        <f t="shared" si="68"/>
        <v>0</v>
      </c>
      <c r="T369" s="799">
        <f>剩余房源售价清单!I348</f>
        <v>0</v>
      </c>
      <c r="U369" s="799" t="e">
        <f t="shared" si="69"/>
        <v>#DIV/0!</v>
      </c>
    </row>
    <row r="370" spans="1:21">
      <c r="A370" s="159"/>
      <c r="B370" s="59"/>
      <c r="C370" s="24">
        <f t="shared" si="70"/>
        <v>1</v>
      </c>
      <c r="D370" s="719"/>
      <c r="E370" s="24">
        <f t="shared" si="71"/>
        <v>0</v>
      </c>
      <c r="F370" s="719"/>
      <c r="G370" s="24">
        <f t="shared" si="72"/>
        <v>0.03</v>
      </c>
      <c r="H370" s="719"/>
      <c r="I370" s="24">
        <f t="shared" si="73"/>
        <v>0.02</v>
      </c>
      <c r="J370" s="719"/>
      <c r="K370" s="24">
        <f t="shared" si="74"/>
        <v>1</v>
      </c>
      <c r="L370" s="719"/>
      <c r="M370" s="24">
        <f t="shared" si="75"/>
        <v>1</v>
      </c>
      <c r="N370" s="719"/>
      <c r="O370" s="24">
        <f t="shared" si="76"/>
        <v>1</v>
      </c>
      <c r="P370" s="719"/>
      <c r="Q370" s="24">
        <f t="shared" si="77"/>
        <v>0</v>
      </c>
      <c r="R370" s="715">
        <f t="shared" si="78"/>
        <v>0</v>
      </c>
      <c r="S370" s="361">
        <f t="shared" si="68"/>
        <v>0</v>
      </c>
      <c r="T370" s="799">
        <f>剩余房源售价清单!I349</f>
        <v>0</v>
      </c>
      <c r="U370" s="799" t="e">
        <f t="shared" si="69"/>
        <v>#DIV/0!</v>
      </c>
    </row>
    <row r="371" spans="1:21">
      <c r="A371" s="159"/>
      <c r="B371" s="59"/>
      <c r="C371" s="24">
        <f t="shared" si="70"/>
        <v>1</v>
      </c>
      <c r="D371" s="719"/>
      <c r="E371" s="24">
        <f t="shared" si="71"/>
        <v>0</v>
      </c>
      <c r="F371" s="719"/>
      <c r="G371" s="24">
        <f t="shared" si="72"/>
        <v>0.03</v>
      </c>
      <c r="H371" s="719"/>
      <c r="I371" s="24">
        <f t="shared" si="73"/>
        <v>0.02</v>
      </c>
      <c r="J371" s="719"/>
      <c r="K371" s="24">
        <f t="shared" si="74"/>
        <v>1</v>
      </c>
      <c r="L371" s="719"/>
      <c r="M371" s="24">
        <f t="shared" si="75"/>
        <v>1</v>
      </c>
      <c r="N371" s="719"/>
      <c r="O371" s="24">
        <f t="shared" si="76"/>
        <v>1</v>
      </c>
      <c r="P371" s="719"/>
      <c r="Q371" s="24">
        <f t="shared" si="77"/>
        <v>0</v>
      </c>
      <c r="R371" s="715">
        <f t="shared" si="78"/>
        <v>0</v>
      </c>
      <c r="S371" s="361">
        <f t="shared" si="68"/>
        <v>0</v>
      </c>
      <c r="T371" s="799">
        <f>剩余房源售价清单!I350</f>
        <v>0</v>
      </c>
      <c r="U371" s="799" t="e">
        <f t="shared" si="69"/>
        <v>#DIV/0!</v>
      </c>
    </row>
    <row r="372" spans="1:21">
      <c r="A372" s="159"/>
      <c r="B372" s="59"/>
      <c r="C372" s="24">
        <f t="shared" si="70"/>
        <v>1</v>
      </c>
      <c r="D372" s="719"/>
      <c r="E372" s="24">
        <f t="shared" si="71"/>
        <v>0</v>
      </c>
      <c r="F372" s="719"/>
      <c r="G372" s="24">
        <f t="shared" si="72"/>
        <v>0.03</v>
      </c>
      <c r="H372" s="719"/>
      <c r="I372" s="24">
        <f t="shared" si="73"/>
        <v>0.02</v>
      </c>
      <c r="J372" s="719"/>
      <c r="K372" s="24">
        <f t="shared" si="74"/>
        <v>1</v>
      </c>
      <c r="L372" s="719"/>
      <c r="M372" s="24">
        <f t="shared" si="75"/>
        <v>1</v>
      </c>
      <c r="N372" s="719"/>
      <c r="O372" s="24">
        <f t="shared" si="76"/>
        <v>1</v>
      </c>
      <c r="P372" s="719"/>
      <c r="Q372" s="24">
        <f t="shared" si="77"/>
        <v>0</v>
      </c>
      <c r="R372" s="715">
        <f t="shared" si="78"/>
        <v>0</v>
      </c>
      <c r="S372" s="361">
        <f t="shared" si="68"/>
        <v>0</v>
      </c>
      <c r="T372" s="799">
        <f>剩余房源售价清单!I351</f>
        <v>0</v>
      </c>
      <c r="U372" s="799" t="e">
        <f t="shared" si="69"/>
        <v>#DIV/0!</v>
      </c>
    </row>
    <row r="373" spans="1:21">
      <c r="A373" s="159"/>
      <c r="B373" s="59"/>
      <c r="C373" s="24">
        <f t="shared" si="70"/>
        <v>1</v>
      </c>
      <c r="D373" s="719"/>
      <c r="E373" s="24">
        <f t="shared" si="71"/>
        <v>0</v>
      </c>
      <c r="F373" s="719"/>
      <c r="G373" s="24">
        <f t="shared" si="72"/>
        <v>0.03</v>
      </c>
      <c r="H373" s="719"/>
      <c r="I373" s="24">
        <f t="shared" si="73"/>
        <v>0.02</v>
      </c>
      <c r="J373" s="719"/>
      <c r="K373" s="24">
        <f t="shared" si="74"/>
        <v>1</v>
      </c>
      <c r="L373" s="719"/>
      <c r="M373" s="24">
        <f t="shared" si="75"/>
        <v>1</v>
      </c>
      <c r="N373" s="719"/>
      <c r="O373" s="24">
        <f t="shared" si="76"/>
        <v>1</v>
      </c>
      <c r="P373" s="719"/>
      <c r="Q373" s="24">
        <f t="shared" si="77"/>
        <v>0</v>
      </c>
      <c r="R373" s="715">
        <f t="shared" si="78"/>
        <v>0</v>
      </c>
      <c r="S373" s="361">
        <f t="shared" si="68"/>
        <v>0</v>
      </c>
      <c r="T373" s="799">
        <f>剩余房源售价清单!I352</f>
        <v>0</v>
      </c>
      <c r="U373" s="799" t="e">
        <f t="shared" si="69"/>
        <v>#DIV/0!</v>
      </c>
    </row>
    <row r="374" spans="1:21">
      <c r="A374" s="159"/>
      <c r="B374" s="59"/>
      <c r="C374" s="24">
        <f t="shared" si="70"/>
        <v>1</v>
      </c>
      <c r="D374" s="719"/>
      <c r="E374" s="24">
        <f t="shared" si="71"/>
        <v>0</v>
      </c>
      <c r="F374" s="719"/>
      <c r="G374" s="24">
        <f t="shared" si="72"/>
        <v>0.03</v>
      </c>
      <c r="H374" s="719"/>
      <c r="I374" s="24">
        <f t="shared" si="73"/>
        <v>0.02</v>
      </c>
      <c r="J374" s="719"/>
      <c r="K374" s="24">
        <f t="shared" si="74"/>
        <v>1</v>
      </c>
      <c r="L374" s="719"/>
      <c r="M374" s="24">
        <f t="shared" si="75"/>
        <v>1</v>
      </c>
      <c r="N374" s="719"/>
      <c r="O374" s="24">
        <f t="shared" si="76"/>
        <v>1</v>
      </c>
      <c r="P374" s="719"/>
      <c r="Q374" s="24">
        <f t="shared" si="77"/>
        <v>0</v>
      </c>
      <c r="R374" s="715">
        <f t="shared" si="78"/>
        <v>0</v>
      </c>
      <c r="S374" s="361">
        <f t="shared" si="68"/>
        <v>0</v>
      </c>
      <c r="T374" s="799">
        <f>剩余房源售价清单!I353</f>
        <v>0</v>
      </c>
      <c r="U374" s="799" t="e">
        <f t="shared" si="69"/>
        <v>#DIV/0!</v>
      </c>
    </row>
    <row r="375" spans="1:21">
      <c r="A375" s="159"/>
      <c r="B375" s="59"/>
      <c r="C375" s="24">
        <f t="shared" si="70"/>
        <v>1</v>
      </c>
      <c r="D375" s="719"/>
      <c r="E375" s="24">
        <f t="shared" si="71"/>
        <v>0</v>
      </c>
      <c r="F375" s="719"/>
      <c r="G375" s="24">
        <f t="shared" si="72"/>
        <v>0.03</v>
      </c>
      <c r="H375" s="719"/>
      <c r="I375" s="24">
        <f t="shared" si="73"/>
        <v>0.02</v>
      </c>
      <c r="J375" s="719"/>
      <c r="K375" s="24">
        <f t="shared" si="74"/>
        <v>1</v>
      </c>
      <c r="L375" s="719"/>
      <c r="M375" s="24">
        <f t="shared" si="75"/>
        <v>1</v>
      </c>
      <c r="N375" s="719"/>
      <c r="O375" s="24">
        <f t="shared" si="76"/>
        <v>1</v>
      </c>
      <c r="P375" s="719"/>
      <c r="Q375" s="24">
        <f t="shared" si="77"/>
        <v>0</v>
      </c>
      <c r="R375" s="715">
        <f t="shared" si="78"/>
        <v>0</v>
      </c>
      <c r="S375" s="361">
        <f t="shared" si="68"/>
        <v>0</v>
      </c>
      <c r="T375" s="799">
        <f>剩余房源售价清单!I354</f>
        <v>0</v>
      </c>
      <c r="U375" s="799" t="e">
        <f t="shared" si="69"/>
        <v>#DIV/0!</v>
      </c>
    </row>
    <row r="376" spans="1:21">
      <c r="A376" s="159"/>
      <c r="B376" s="59"/>
      <c r="C376" s="24">
        <f t="shared" si="70"/>
        <v>1</v>
      </c>
      <c r="D376" s="719"/>
      <c r="E376" s="24">
        <f t="shared" si="71"/>
        <v>0</v>
      </c>
      <c r="F376" s="719"/>
      <c r="G376" s="24">
        <f t="shared" si="72"/>
        <v>0.03</v>
      </c>
      <c r="H376" s="719"/>
      <c r="I376" s="24">
        <f t="shared" si="73"/>
        <v>0.02</v>
      </c>
      <c r="J376" s="719"/>
      <c r="K376" s="24">
        <f t="shared" si="74"/>
        <v>1</v>
      </c>
      <c r="L376" s="719"/>
      <c r="M376" s="24">
        <f t="shared" si="75"/>
        <v>1</v>
      </c>
      <c r="N376" s="719"/>
      <c r="O376" s="24">
        <f t="shared" si="76"/>
        <v>1</v>
      </c>
      <c r="P376" s="719"/>
      <c r="Q376" s="24">
        <f t="shared" si="77"/>
        <v>0</v>
      </c>
      <c r="R376" s="715">
        <f t="shared" si="78"/>
        <v>0</v>
      </c>
      <c r="S376" s="361">
        <f t="shared" si="68"/>
        <v>0</v>
      </c>
      <c r="T376" s="799">
        <f>剩余房源售价清单!I355</f>
        <v>0</v>
      </c>
      <c r="U376" s="799" t="e">
        <f t="shared" si="69"/>
        <v>#DIV/0!</v>
      </c>
    </row>
    <row r="377" spans="1:21">
      <c r="A377" s="159"/>
      <c r="B377" s="59"/>
      <c r="C377" s="24">
        <f t="shared" si="70"/>
        <v>1</v>
      </c>
      <c r="D377" s="719"/>
      <c r="E377" s="24">
        <f t="shared" si="71"/>
        <v>0</v>
      </c>
      <c r="F377" s="719"/>
      <c r="G377" s="24">
        <f t="shared" si="72"/>
        <v>0.03</v>
      </c>
      <c r="H377" s="719"/>
      <c r="I377" s="24">
        <f t="shared" si="73"/>
        <v>0.02</v>
      </c>
      <c r="J377" s="719"/>
      <c r="K377" s="24">
        <f t="shared" si="74"/>
        <v>1</v>
      </c>
      <c r="L377" s="719"/>
      <c r="M377" s="24">
        <f t="shared" si="75"/>
        <v>1</v>
      </c>
      <c r="N377" s="719"/>
      <c r="O377" s="24">
        <f t="shared" si="76"/>
        <v>1</v>
      </c>
      <c r="P377" s="719"/>
      <c r="Q377" s="24">
        <f t="shared" si="77"/>
        <v>0</v>
      </c>
      <c r="R377" s="715">
        <f t="shared" si="78"/>
        <v>0</v>
      </c>
      <c r="S377" s="361">
        <f t="shared" si="68"/>
        <v>0</v>
      </c>
      <c r="T377" s="799">
        <f>剩余房源售价清单!I356</f>
        <v>0</v>
      </c>
      <c r="U377" s="799" t="e">
        <f t="shared" si="69"/>
        <v>#DIV/0!</v>
      </c>
    </row>
    <row r="378" spans="1:21">
      <c r="A378" s="159"/>
      <c r="B378" s="59"/>
      <c r="C378" s="24">
        <f t="shared" si="70"/>
        <v>1</v>
      </c>
      <c r="D378" s="719"/>
      <c r="E378" s="24">
        <f t="shared" si="71"/>
        <v>0</v>
      </c>
      <c r="F378" s="719"/>
      <c r="G378" s="24">
        <f t="shared" si="72"/>
        <v>0.03</v>
      </c>
      <c r="H378" s="719"/>
      <c r="I378" s="24">
        <f t="shared" si="73"/>
        <v>0.02</v>
      </c>
      <c r="J378" s="719"/>
      <c r="K378" s="24">
        <f t="shared" si="74"/>
        <v>1</v>
      </c>
      <c r="L378" s="719"/>
      <c r="M378" s="24">
        <f t="shared" si="75"/>
        <v>1</v>
      </c>
      <c r="N378" s="719"/>
      <c r="O378" s="24">
        <f t="shared" si="76"/>
        <v>1</v>
      </c>
      <c r="P378" s="719"/>
      <c r="Q378" s="24">
        <f t="shared" si="77"/>
        <v>0</v>
      </c>
      <c r="R378" s="715">
        <f t="shared" si="78"/>
        <v>0</v>
      </c>
      <c r="S378" s="361">
        <f t="shared" si="68"/>
        <v>0</v>
      </c>
      <c r="T378" s="799">
        <f>剩余房源售价清单!I357</f>
        <v>0</v>
      </c>
      <c r="U378" s="799" t="e">
        <f t="shared" si="69"/>
        <v>#DIV/0!</v>
      </c>
    </row>
    <row r="379" spans="1:21">
      <c r="A379" s="159"/>
      <c r="B379" s="59"/>
      <c r="C379" s="24">
        <f t="shared" si="70"/>
        <v>1</v>
      </c>
      <c r="D379" s="719"/>
      <c r="E379" s="24">
        <f t="shared" si="71"/>
        <v>0</v>
      </c>
      <c r="F379" s="719"/>
      <c r="G379" s="24">
        <f t="shared" si="72"/>
        <v>0.03</v>
      </c>
      <c r="H379" s="719"/>
      <c r="I379" s="24">
        <f t="shared" si="73"/>
        <v>0.02</v>
      </c>
      <c r="J379" s="719"/>
      <c r="K379" s="24">
        <f t="shared" si="74"/>
        <v>1</v>
      </c>
      <c r="L379" s="719"/>
      <c r="M379" s="24">
        <f t="shared" si="75"/>
        <v>1</v>
      </c>
      <c r="N379" s="719"/>
      <c r="O379" s="24">
        <f t="shared" si="76"/>
        <v>1</v>
      </c>
      <c r="P379" s="719"/>
      <c r="Q379" s="24">
        <f t="shared" si="77"/>
        <v>0</v>
      </c>
      <c r="R379" s="715">
        <f t="shared" si="78"/>
        <v>0</v>
      </c>
      <c r="S379" s="361">
        <f t="shared" si="68"/>
        <v>0</v>
      </c>
      <c r="T379" s="799">
        <f>剩余房源售价清单!I358</f>
        <v>0</v>
      </c>
      <c r="U379" s="799" t="e">
        <f t="shared" si="69"/>
        <v>#DIV/0!</v>
      </c>
    </row>
    <row r="380" spans="1:21">
      <c r="A380" s="159"/>
      <c r="B380" s="59"/>
      <c r="C380" s="24">
        <f t="shared" si="70"/>
        <v>1</v>
      </c>
      <c r="D380" s="719"/>
      <c r="E380" s="24">
        <f t="shared" si="71"/>
        <v>0</v>
      </c>
      <c r="F380" s="719"/>
      <c r="G380" s="24">
        <f t="shared" si="72"/>
        <v>0.03</v>
      </c>
      <c r="H380" s="719"/>
      <c r="I380" s="24">
        <f t="shared" si="73"/>
        <v>0.02</v>
      </c>
      <c r="J380" s="719"/>
      <c r="K380" s="24">
        <f t="shared" si="74"/>
        <v>1</v>
      </c>
      <c r="L380" s="719"/>
      <c r="M380" s="24">
        <f t="shared" si="75"/>
        <v>1</v>
      </c>
      <c r="N380" s="719"/>
      <c r="O380" s="24">
        <f t="shared" si="76"/>
        <v>1</v>
      </c>
      <c r="P380" s="719"/>
      <c r="Q380" s="24">
        <f t="shared" si="77"/>
        <v>0</v>
      </c>
      <c r="R380" s="715">
        <f t="shared" si="78"/>
        <v>0</v>
      </c>
      <c r="S380" s="361">
        <f t="shared" si="68"/>
        <v>0</v>
      </c>
      <c r="T380" s="799">
        <f>剩余房源售价清单!I359</f>
        <v>0</v>
      </c>
      <c r="U380" s="799" t="e">
        <f t="shared" si="69"/>
        <v>#DIV/0!</v>
      </c>
    </row>
    <row r="381" spans="1:21">
      <c r="A381" s="159"/>
      <c r="B381" s="59"/>
      <c r="C381" s="24">
        <f t="shared" si="70"/>
        <v>1</v>
      </c>
      <c r="D381" s="719"/>
      <c r="E381" s="24">
        <f t="shared" si="71"/>
        <v>0</v>
      </c>
      <c r="F381" s="719"/>
      <c r="G381" s="24">
        <f t="shared" si="72"/>
        <v>0.03</v>
      </c>
      <c r="H381" s="719"/>
      <c r="I381" s="24">
        <f t="shared" si="73"/>
        <v>0.02</v>
      </c>
      <c r="J381" s="719"/>
      <c r="K381" s="24">
        <f t="shared" si="74"/>
        <v>1</v>
      </c>
      <c r="L381" s="719"/>
      <c r="M381" s="24">
        <f t="shared" si="75"/>
        <v>1</v>
      </c>
      <c r="N381" s="719"/>
      <c r="O381" s="24">
        <f t="shared" si="76"/>
        <v>1</v>
      </c>
      <c r="P381" s="719"/>
      <c r="Q381" s="24">
        <f t="shared" si="77"/>
        <v>0</v>
      </c>
      <c r="R381" s="715">
        <f t="shared" si="78"/>
        <v>0</v>
      </c>
      <c r="S381" s="361">
        <f t="shared" si="68"/>
        <v>0</v>
      </c>
      <c r="T381" s="799">
        <f>剩余房源售价清单!I360</f>
        <v>0</v>
      </c>
      <c r="U381" s="799" t="e">
        <f t="shared" si="69"/>
        <v>#DIV/0!</v>
      </c>
    </row>
    <row r="382" spans="1:21">
      <c r="A382" s="159"/>
      <c r="B382" s="59"/>
      <c r="C382" s="24">
        <f t="shared" si="70"/>
        <v>1</v>
      </c>
      <c r="D382" s="719"/>
      <c r="E382" s="24">
        <f t="shared" si="71"/>
        <v>0</v>
      </c>
      <c r="F382" s="719"/>
      <c r="G382" s="24">
        <f t="shared" si="72"/>
        <v>0.03</v>
      </c>
      <c r="H382" s="719"/>
      <c r="I382" s="24">
        <f t="shared" si="73"/>
        <v>0.02</v>
      </c>
      <c r="J382" s="719"/>
      <c r="K382" s="24">
        <f t="shared" si="74"/>
        <v>1</v>
      </c>
      <c r="L382" s="719"/>
      <c r="M382" s="24">
        <f t="shared" si="75"/>
        <v>1</v>
      </c>
      <c r="N382" s="719"/>
      <c r="O382" s="24">
        <f t="shared" si="76"/>
        <v>1</v>
      </c>
      <c r="P382" s="719"/>
      <c r="Q382" s="24">
        <f t="shared" si="77"/>
        <v>0</v>
      </c>
      <c r="R382" s="715">
        <f t="shared" si="78"/>
        <v>0</v>
      </c>
      <c r="S382" s="361">
        <f t="shared" si="68"/>
        <v>0</v>
      </c>
      <c r="T382" s="799">
        <f>剩余房源售价清单!I361</f>
        <v>0</v>
      </c>
      <c r="U382" s="799" t="e">
        <f t="shared" si="69"/>
        <v>#DIV/0!</v>
      </c>
    </row>
    <row r="383" spans="1:21">
      <c r="A383" s="159"/>
      <c r="B383" s="59"/>
      <c r="C383" s="24">
        <f t="shared" si="70"/>
        <v>1</v>
      </c>
      <c r="D383" s="719"/>
      <c r="E383" s="24">
        <f t="shared" si="71"/>
        <v>0</v>
      </c>
      <c r="F383" s="719"/>
      <c r="G383" s="24">
        <f t="shared" si="72"/>
        <v>0.03</v>
      </c>
      <c r="H383" s="719"/>
      <c r="I383" s="24">
        <f t="shared" si="73"/>
        <v>0.02</v>
      </c>
      <c r="J383" s="719"/>
      <c r="K383" s="24">
        <f t="shared" si="74"/>
        <v>1</v>
      </c>
      <c r="L383" s="719"/>
      <c r="M383" s="24">
        <f t="shared" si="75"/>
        <v>1</v>
      </c>
      <c r="N383" s="719"/>
      <c r="O383" s="24">
        <f t="shared" si="76"/>
        <v>1</v>
      </c>
      <c r="P383" s="719"/>
      <c r="Q383" s="24">
        <f t="shared" si="77"/>
        <v>0</v>
      </c>
      <c r="R383" s="715">
        <f t="shared" si="78"/>
        <v>0</v>
      </c>
      <c r="S383" s="361">
        <f t="shared" si="68"/>
        <v>0</v>
      </c>
      <c r="T383" s="799">
        <f>剩余房源售价清单!I362</f>
        <v>0</v>
      </c>
      <c r="U383" s="799" t="e">
        <f t="shared" si="69"/>
        <v>#DIV/0!</v>
      </c>
    </row>
    <row r="384" spans="1:21">
      <c r="A384" s="159"/>
      <c r="B384" s="59"/>
      <c r="C384" s="24">
        <f t="shared" si="70"/>
        <v>1</v>
      </c>
      <c r="D384" s="719"/>
      <c r="E384" s="24">
        <f t="shared" si="71"/>
        <v>0</v>
      </c>
      <c r="F384" s="719"/>
      <c r="G384" s="24">
        <f t="shared" si="72"/>
        <v>0.03</v>
      </c>
      <c r="H384" s="719"/>
      <c r="I384" s="24">
        <f t="shared" si="73"/>
        <v>0.02</v>
      </c>
      <c r="J384" s="719"/>
      <c r="K384" s="24">
        <f t="shared" si="74"/>
        <v>1</v>
      </c>
      <c r="L384" s="719"/>
      <c r="M384" s="24">
        <f t="shared" si="75"/>
        <v>1</v>
      </c>
      <c r="N384" s="719"/>
      <c r="O384" s="24">
        <f t="shared" si="76"/>
        <v>1</v>
      </c>
      <c r="P384" s="719"/>
      <c r="Q384" s="24">
        <f t="shared" si="77"/>
        <v>0</v>
      </c>
      <c r="R384" s="715">
        <f t="shared" si="78"/>
        <v>0</v>
      </c>
      <c r="S384" s="361">
        <f t="shared" si="68"/>
        <v>0</v>
      </c>
      <c r="T384" s="799">
        <f>剩余房源售价清单!I363</f>
        <v>0</v>
      </c>
      <c r="U384" s="799" t="e">
        <f t="shared" si="69"/>
        <v>#DIV/0!</v>
      </c>
    </row>
    <row r="385" spans="1:21">
      <c r="A385" s="159"/>
      <c r="B385" s="59"/>
      <c r="C385" s="24">
        <f t="shared" si="70"/>
        <v>1</v>
      </c>
      <c r="D385" s="719"/>
      <c r="E385" s="24">
        <f t="shared" si="71"/>
        <v>0</v>
      </c>
      <c r="F385" s="719"/>
      <c r="G385" s="24">
        <f t="shared" si="72"/>
        <v>0.03</v>
      </c>
      <c r="H385" s="719"/>
      <c r="I385" s="24">
        <f t="shared" si="73"/>
        <v>0.02</v>
      </c>
      <c r="J385" s="719"/>
      <c r="K385" s="24">
        <f t="shared" si="74"/>
        <v>1</v>
      </c>
      <c r="L385" s="719"/>
      <c r="M385" s="24">
        <f t="shared" si="75"/>
        <v>1</v>
      </c>
      <c r="N385" s="719"/>
      <c r="O385" s="24">
        <f t="shared" si="76"/>
        <v>1</v>
      </c>
      <c r="P385" s="719"/>
      <c r="Q385" s="24">
        <f t="shared" si="77"/>
        <v>0</v>
      </c>
      <c r="R385" s="715">
        <f t="shared" si="78"/>
        <v>0</v>
      </c>
      <c r="S385" s="361">
        <f t="shared" ref="S385:S422" si="79">ROUND(R385*B385/10000,0)</f>
        <v>0</v>
      </c>
      <c r="T385" s="799">
        <f>剩余房源售价清单!I364</f>
        <v>0</v>
      </c>
      <c r="U385" s="799" t="e">
        <f t="shared" si="69"/>
        <v>#DIV/0!</v>
      </c>
    </row>
    <row r="386" spans="1:21">
      <c r="A386" s="159"/>
      <c r="B386" s="59"/>
      <c r="C386" s="24">
        <f t="shared" si="70"/>
        <v>1</v>
      </c>
      <c r="D386" s="719"/>
      <c r="E386" s="24">
        <f t="shared" si="71"/>
        <v>0</v>
      </c>
      <c r="F386" s="719"/>
      <c r="G386" s="24">
        <f t="shared" si="72"/>
        <v>0.03</v>
      </c>
      <c r="H386" s="719"/>
      <c r="I386" s="24">
        <f t="shared" si="73"/>
        <v>0.02</v>
      </c>
      <c r="J386" s="719"/>
      <c r="K386" s="24">
        <f t="shared" si="74"/>
        <v>1</v>
      </c>
      <c r="L386" s="719"/>
      <c r="M386" s="24">
        <f t="shared" si="75"/>
        <v>1</v>
      </c>
      <c r="N386" s="719"/>
      <c r="O386" s="24">
        <f t="shared" si="76"/>
        <v>1</v>
      </c>
      <c r="P386" s="719"/>
      <c r="Q386" s="24">
        <f t="shared" si="77"/>
        <v>0</v>
      </c>
      <c r="R386" s="715">
        <f t="shared" si="78"/>
        <v>0</v>
      </c>
      <c r="S386" s="361">
        <f t="shared" si="79"/>
        <v>0</v>
      </c>
      <c r="T386" s="799">
        <f>剩余房源售价清单!I365</f>
        <v>0</v>
      </c>
      <c r="U386" s="799" t="e">
        <f t="shared" si="69"/>
        <v>#DIV/0!</v>
      </c>
    </row>
    <row r="387" spans="1:21">
      <c r="A387" s="159"/>
      <c r="B387" s="59"/>
      <c r="C387" s="24">
        <f t="shared" si="70"/>
        <v>1</v>
      </c>
      <c r="D387" s="719"/>
      <c r="E387" s="24">
        <f t="shared" si="71"/>
        <v>0</v>
      </c>
      <c r="F387" s="719"/>
      <c r="G387" s="24">
        <f t="shared" si="72"/>
        <v>0.03</v>
      </c>
      <c r="H387" s="719"/>
      <c r="I387" s="24">
        <f t="shared" si="73"/>
        <v>0.02</v>
      </c>
      <c r="J387" s="719"/>
      <c r="K387" s="24">
        <f t="shared" si="74"/>
        <v>1</v>
      </c>
      <c r="L387" s="719"/>
      <c r="M387" s="24">
        <f t="shared" si="75"/>
        <v>1</v>
      </c>
      <c r="N387" s="719"/>
      <c r="O387" s="24">
        <f t="shared" si="76"/>
        <v>1</v>
      </c>
      <c r="P387" s="719"/>
      <c r="Q387" s="24">
        <f t="shared" si="77"/>
        <v>0</v>
      </c>
      <c r="R387" s="715">
        <f t="shared" si="78"/>
        <v>0</v>
      </c>
      <c r="S387" s="361">
        <f t="shared" si="79"/>
        <v>0</v>
      </c>
      <c r="T387" s="799">
        <f>剩余房源售价清单!I366</f>
        <v>0</v>
      </c>
      <c r="U387" s="799" t="e">
        <f t="shared" si="69"/>
        <v>#DIV/0!</v>
      </c>
    </row>
    <row r="388" spans="1:21">
      <c r="A388" s="159"/>
      <c r="B388" s="59"/>
      <c r="C388" s="24">
        <f t="shared" si="70"/>
        <v>1</v>
      </c>
      <c r="D388" s="719"/>
      <c r="E388" s="24">
        <f t="shared" si="71"/>
        <v>0</v>
      </c>
      <c r="F388" s="719"/>
      <c r="G388" s="24">
        <f t="shared" si="72"/>
        <v>0.03</v>
      </c>
      <c r="H388" s="719"/>
      <c r="I388" s="24">
        <f t="shared" si="73"/>
        <v>0.02</v>
      </c>
      <c r="J388" s="719"/>
      <c r="K388" s="24">
        <f t="shared" si="74"/>
        <v>1</v>
      </c>
      <c r="L388" s="719"/>
      <c r="M388" s="24">
        <f t="shared" si="75"/>
        <v>1</v>
      </c>
      <c r="N388" s="719"/>
      <c r="O388" s="24">
        <f t="shared" si="76"/>
        <v>1</v>
      </c>
      <c r="P388" s="719"/>
      <c r="Q388" s="24">
        <f t="shared" si="77"/>
        <v>0</v>
      </c>
      <c r="R388" s="715">
        <f t="shared" si="78"/>
        <v>0</v>
      </c>
      <c r="S388" s="361">
        <f t="shared" si="79"/>
        <v>0</v>
      </c>
      <c r="T388" s="799">
        <f>剩余房源售价清单!I367</f>
        <v>0</v>
      </c>
      <c r="U388" s="799" t="e">
        <f t="shared" si="69"/>
        <v>#DIV/0!</v>
      </c>
    </row>
    <row r="389" spans="1:21">
      <c r="A389" s="159"/>
      <c r="B389" s="59"/>
      <c r="C389" s="24">
        <f t="shared" si="70"/>
        <v>1</v>
      </c>
      <c r="D389" s="719"/>
      <c r="E389" s="24">
        <f t="shared" si="71"/>
        <v>0</v>
      </c>
      <c r="F389" s="719"/>
      <c r="G389" s="24">
        <f t="shared" si="72"/>
        <v>0.03</v>
      </c>
      <c r="H389" s="719"/>
      <c r="I389" s="24">
        <f t="shared" si="73"/>
        <v>0.02</v>
      </c>
      <c r="J389" s="719"/>
      <c r="K389" s="24">
        <f t="shared" si="74"/>
        <v>1</v>
      </c>
      <c r="L389" s="719"/>
      <c r="M389" s="24">
        <f t="shared" si="75"/>
        <v>1</v>
      </c>
      <c r="N389" s="719"/>
      <c r="O389" s="24">
        <f t="shared" si="76"/>
        <v>1</v>
      </c>
      <c r="P389" s="719"/>
      <c r="Q389" s="24">
        <f t="shared" si="77"/>
        <v>0</v>
      </c>
      <c r="R389" s="715">
        <f t="shared" si="78"/>
        <v>0</v>
      </c>
      <c r="S389" s="361">
        <f t="shared" si="79"/>
        <v>0</v>
      </c>
      <c r="T389" s="799">
        <f>剩余房源售价清单!I368</f>
        <v>0</v>
      </c>
      <c r="U389" s="799" t="e">
        <f t="shared" si="69"/>
        <v>#DIV/0!</v>
      </c>
    </row>
    <row r="390" spans="1:21">
      <c r="A390" s="159"/>
      <c r="B390" s="59"/>
      <c r="C390" s="24">
        <f t="shared" si="70"/>
        <v>1</v>
      </c>
      <c r="D390" s="719"/>
      <c r="E390" s="24">
        <f t="shared" si="71"/>
        <v>0</v>
      </c>
      <c r="F390" s="719"/>
      <c r="G390" s="24">
        <f t="shared" si="72"/>
        <v>0.03</v>
      </c>
      <c r="H390" s="719"/>
      <c r="I390" s="24">
        <f t="shared" si="73"/>
        <v>0.02</v>
      </c>
      <c r="J390" s="719"/>
      <c r="K390" s="24">
        <f t="shared" si="74"/>
        <v>1</v>
      </c>
      <c r="L390" s="719"/>
      <c r="M390" s="24">
        <f t="shared" si="75"/>
        <v>1</v>
      </c>
      <c r="N390" s="719"/>
      <c r="O390" s="24">
        <f t="shared" si="76"/>
        <v>1</v>
      </c>
      <c r="P390" s="719"/>
      <c r="Q390" s="24">
        <f t="shared" si="77"/>
        <v>0</v>
      </c>
      <c r="R390" s="715">
        <f t="shared" si="78"/>
        <v>0</v>
      </c>
      <c r="S390" s="361">
        <f t="shared" si="79"/>
        <v>0</v>
      </c>
      <c r="T390" s="799">
        <f>剩余房源售价清单!I369</f>
        <v>0</v>
      </c>
      <c r="U390" s="799" t="e">
        <f t="shared" si="69"/>
        <v>#DIV/0!</v>
      </c>
    </row>
    <row r="391" spans="1:21">
      <c r="A391" s="159"/>
      <c r="B391" s="59"/>
      <c r="C391" s="24">
        <f t="shared" si="70"/>
        <v>1</v>
      </c>
      <c r="D391" s="719"/>
      <c r="E391" s="24">
        <f t="shared" si="71"/>
        <v>0</v>
      </c>
      <c r="F391" s="719"/>
      <c r="G391" s="24">
        <f t="shared" si="72"/>
        <v>0.03</v>
      </c>
      <c r="H391" s="719"/>
      <c r="I391" s="24">
        <f t="shared" si="73"/>
        <v>0.02</v>
      </c>
      <c r="J391" s="719"/>
      <c r="K391" s="24">
        <f t="shared" si="74"/>
        <v>1</v>
      </c>
      <c r="L391" s="719"/>
      <c r="M391" s="24">
        <f t="shared" si="75"/>
        <v>1</v>
      </c>
      <c r="N391" s="719"/>
      <c r="O391" s="24">
        <f t="shared" si="76"/>
        <v>1</v>
      </c>
      <c r="P391" s="719"/>
      <c r="Q391" s="24">
        <f t="shared" si="77"/>
        <v>0</v>
      </c>
      <c r="R391" s="715">
        <f t="shared" si="78"/>
        <v>0</v>
      </c>
      <c r="S391" s="361">
        <f t="shared" si="79"/>
        <v>0</v>
      </c>
      <c r="T391" s="799">
        <f>剩余房源售价清单!I370</f>
        <v>0</v>
      </c>
      <c r="U391" s="799" t="e">
        <f t="shared" si="69"/>
        <v>#DIV/0!</v>
      </c>
    </row>
    <row r="392" spans="1:21">
      <c r="A392" s="159"/>
      <c r="B392" s="59"/>
      <c r="C392" s="24">
        <f t="shared" si="70"/>
        <v>1</v>
      </c>
      <c r="D392" s="719"/>
      <c r="E392" s="24">
        <f t="shared" si="71"/>
        <v>0</v>
      </c>
      <c r="F392" s="719"/>
      <c r="G392" s="24">
        <f t="shared" si="72"/>
        <v>0.03</v>
      </c>
      <c r="H392" s="719"/>
      <c r="I392" s="24">
        <f t="shared" si="73"/>
        <v>0.02</v>
      </c>
      <c r="J392" s="719"/>
      <c r="K392" s="24">
        <f t="shared" si="74"/>
        <v>1</v>
      </c>
      <c r="L392" s="719"/>
      <c r="M392" s="24">
        <f t="shared" si="75"/>
        <v>1</v>
      </c>
      <c r="N392" s="719"/>
      <c r="O392" s="24">
        <f t="shared" si="76"/>
        <v>1</v>
      </c>
      <c r="P392" s="719"/>
      <c r="Q392" s="24">
        <f t="shared" si="77"/>
        <v>0</v>
      </c>
      <c r="R392" s="715">
        <f t="shared" si="78"/>
        <v>0</v>
      </c>
      <c r="S392" s="361">
        <f t="shared" si="79"/>
        <v>0</v>
      </c>
      <c r="T392" s="799">
        <f>剩余房源售价清单!I371</f>
        <v>0</v>
      </c>
      <c r="U392" s="799" t="e">
        <f t="shared" si="69"/>
        <v>#DIV/0!</v>
      </c>
    </row>
    <row r="393" spans="1:21">
      <c r="A393" s="159"/>
      <c r="B393" s="59"/>
      <c r="C393" s="24">
        <f t="shared" si="70"/>
        <v>1</v>
      </c>
      <c r="D393" s="719"/>
      <c r="E393" s="24">
        <f t="shared" si="71"/>
        <v>0</v>
      </c>
      <c r="F393" s="719"/>
      <c r="G393" s="24">
        <f t="shared" si="72"/>
        <v>0.03</v>
      </c>
      <c r="H393" s="719"/>
      <c r="I393" s="24">
        <f t="shared" si="73"/>
        <v>0.02</v>
      </c>
      <c r="J393" s="719"/>
      <c r="K393" s="24">
        <f t="shared" si="74"/>
        <v>1</v>
      </c>
      <c r="L393" s="719"/>
      <c r="M393" s="24">
        <f t="shared" si="75"/>
        <v>1</v>
      </c>
      <c r="N393" s="719"/>
      <c r="O393" s="24">
        <f t="shared" si="76"/>
        <v>1</v>
      </c>
      <c r="P393" s="719"/>
      <c r="Q393" s="24">
        <f t="shared" si="77"/>
        <v>0</v>
      </c>
      <c r="R393" s="715">
        <f t="shared" si="78"/>
        <v>0</v>
      </c>
      <c r="S393" s="361">
        <f t="shared" si="79"/>
        <v>0</v>
      </c>
      <c r="T393" s="799">
        <f>剩余房源售价清单!I372</f>
        <v>0</v>
      </c>
      <c r="U393" s="799" t="e">
        <f t="shared" si="69"/>
        <v>#DIV/0!</v>
      </c>
    </row>
    <row r="394" spans="1:21">
      <c r="A394" s="159"/>
      <c r="B394" s="59"/>
      <c r="C394" s="24">
        <f t="shared" si="70"/>
        <v>1</v>
      </c>
      <c r="D394" s="719"/>
      <c r="E394" s="24">
        <f t="shared" si="71"/>
        <v>0</v>
      </c>
      <c r="F394" s="719"/>
      <c r="G394" s="24">
        <f t="shared" si="72"/>
        <v>0.03</v>
      </c>
      <c r="H394" s="719"/>
      <c r="I394" s="24">
        <f t="shared" si="73"/>
        <v>0.02</v>
      </c>
      <c r="J394" s="719"/>
      <c r="K394" s="24">
        <f t="shared" si="74"/>
        <v>1</v>
      </c>
      <c r="L394" s="719"/>
      <c r="M394" s="24">
        <f t="shared" si="75"/>
        <v>1</v>
      </c>
      <c r="N394" s="719"/>
      <c r="O394" s="24">
        <f t="shared" si="76"/>
        <v>1</v>
      </c>
      <c r="P394" s="719"/>
      <c r="Q394" s="24">
        <f t="shared" si="77"/>
        <v>0</v>
      </c>
      <c r="R394" s="715">
        <f t="shared" si="78"/>
        <v>0</v>
      </c>
      <c r="S394" s="361">
        <f t="shared" si="79"/>
        <v>0</v>
      </c>
      <c r="T394" s="799">
        <f>剩余房源售价清单!I373</f>
        <v>0</v>
      </c>
      <c r="U394" s="799" t="e">
        <f t="shared" si="69"/>
        <v>#DIV/0!</v>
      </c>
    </row>
    <row r="395" spans="1:21">
      <c r="A395" s="159"/>
      <c r="B395" s="59"/>
      <c r="C395" s="24">
        <f t="shared" si="70"/>
        <v>1</v>
      </c>
      <c r="D395" s="719"/>
      <c r="E395" s="24">
        <f t="shared" si="71"/>
        <v>0</v>
      </c>
      <c r="F395" s="719"/>
      <c r="G395" s="24">
        <f t="shared" si="72"/>
        <v>0.03</v>
      </c>
      <c r="H395" s="719"/>
      <c r="I395" s="24">
        <f t="shared" si="73"/>
        <v>0.02</v>
      </c>
      <c r="J395" s="719"/>
      <c r="K395" s="24">
        <f t="shared" si="74"/>
        <v>1</v>
      </c>
      <c r="L395" s="719"/>
      <c r="M395" s="24">
        <f t="shared" si="75"/>
        <v>1</v>
      </c>
      <c r="N395" s="719"/>
      <c r="O395" s="24">
        <f t="shared" si="76"/>
        <v>1</v>
      </c>
      <c r="P395" s="719"/>
      <c r="Q395" s="24">
        <f t="shared" si="77"/>
        <v>0</v>
      </c>
      <c r="R395" s="715">
        <f t="shared" si="78"/>
        <v>0</v>
      </c>
      <c r="S395" s="361">
        <f t="shared" si="79"/>
        <v>0</v>
      </c>
      <c r="T395" s="799">
        <f>剩余房源售价清单!I374</f>
        <v>0</v>
      </c>
      <c r="U395" s="799" t="e">
        <f t="shared" si="69"/>
        <v>#DIV/0!</v>
      </c>
    </row>
    <row r="396" spans="1:21">
      <c r="A396" s="159"/>
      <c r="B396" s="59"/>
      <c r="C396" s="24">
        <f t="shared" si="70"/>
        <v>1</v>
      </c>
      <c r="D396" s="719"/>
      <c r="E396" s="24">
        <f t="shared" si="71"/>
        <v>0</v>
      </c>
      <c r="F396" s="719"/>
      <c r="G396" s="24">
        <f t="shared" si="72"/>
        <v>0.03</v>
      </c>
      <c r="H396" s="719"/>
      <c r="I396" s="24">
        <f t="shared" si="73"/>
        <v>0.02</v>
      </c>
      <c r="J396" s="719"/>
      <c r="K396" s="24">
        <f t="shared" si="74"/>
        <v>1</v>
      </c>
      <c r="L396" s="719"/>
      <c r="M396" s="24">
        <f t="shared" si="75"/>
        <v>1</v>
      </c>
      <c r="N396" s="719"/>
      <c r="O396" s="24">
        <f t="shared" si="76"/>
        <v>1</v>
      </c>
      <c r="P396" s="719"/>
      <c r="Q396" s="24">
        <f t="shared" si="77"/>
        <v>0</v>
      </c>
      <c r="R396" s="715">
        <f t="shared" si="78"/>
        <v>0</v>
      </c>
      <c r="S396" s="361">
        <f t="shared" si="79"/>
        <v>0</v>
      </c>
      <c r="T396" s="799">
        <f>剩余房源售价清单!I375</f>
        <v>0</v>
      </c>
      <c r="U396" s="799" t="e">
        <f t="shared" si="69"/>
        <v>#DIV/0!</v>
      </c>
    </row>
    <row r="397" spans="1:21">
      <c r="A397" s="159"/>
      <c r="B397" s="59"/>
      <c r="C397" s="24">
        <f t="shared" si="70"/>
        <v>1</v>
      </c>
      <c r="D397" s="719"/>
      <c r="E397" s="24">
        <f t="shared" si="71"/>
        <v>0</v>
      </c>
      <c r="F397" s="719"/>
      <c r="G397" s="24">
        <f t="shared" si="72"/>
        <v>0.03</v>
      </c>
      <c r="H397" s="719"/>
      <c r="I397" s="24">
        <f t="shared" si="73"/>
        <v>0.02</v>
      </c>
      <c r="J397" s="719"/>
      <c r="K397" s="24">
        <f t="shared" si="74"/>
        <v>1</v>
      </c>
      <c r="L397" s="719"/>
      <c r="M397" s="24">
        <f t="shared" si="75"/>
        <v>1</v>
      </c>
      <c r="N397" s="719"/>
      <c r="O397" s="24">
        <f t="shared" si="76"/>
        <v>1</v>
      </c>
      <c r="P397" s="719"/>
      <c r="Q397" s="24">
        <f t="shared" si="77"/>
        <v>0</v>
      </c>
      <c r="R397" s="715">
        <f t="shared" si="78"/>
        <v>0</v>
      </c>
      <c r="S397" s="361">
        <f t="shared" si="79"/>
        <v>0</v>
      </c>
      <c r="T397" s="799">
        <f>剩余房源售价清单!I376</f>
        <v>0</v>
      </c>
      <c r="U397" s="799" t="e">
        <f t="shared" si="69"/>
        <v>#DIV/0!</v>
      </c>
    </row>
    <row r="398" spans="1:21">
      <c r="A398" s="159"/>
      <c r="B398" s="59"/>
      <c r="C398" s="24">
        <f t="shared" si="70"/>
        <v>1</v>
      </c>
      <c r="D398" s="719"/>
      <c r="E398" s="24">
        <f t="shared" si="71"/>
        <v>0</v>
      </c>
      <c r="F398" s="719"/>
      <c r="G398" s="24">
        <f t="shared" si="72"/>
        <v>0.03</v>
      </c>
      <c r="H398" s="719"/>
      <c r="I398" s="24">
        <f t="shared" si="73"/>
        <v>0.02</v>
      </c>
      <c r="J398" s="719"/>
      <c r="K398" s="24">
        <f t="shared" si="74"/>
        <v>1</v>
      </c>
      <c r="L398" s="719"/>
      <c r="M398" s="24">
        <f t="shared" si="75"/>
        <v>1</v>
      </c>
      <c r="N398" s="719"/>
      <c r="O398" s="24">
        <f t="shared" si="76"/>
        <v>1</v>
      </c>
      <c r="P398" s="719"/>
      <c r="Q398" s="24">
        <f t="shared" si="77"/>
        <v>0</v>
      </c>
      <c r="R398" s="715">
        <f t="shared" si="78"/>
        <v>0</v>
      </c>
      <c r="S398" s="361">
        <f t="shared" si="79"/>
        <v>0</v>
      </c>
      <c r="T398" s="799">
        <f>剩余房源售价清单!I377</f>
        <v>0</v>
      </c>
      <c r="U398" s="799" t="e">
        <f t="shared" si="69"/>
        <v>#DIV/0!</v>
      </c>
    </row>
    <row r="399" spans="1:21">
      <c r="A399" s="159"/>
      <c r="B399" s="59"/>
      <c r="C399" s="24">
        <f t="shared" si="70"/>
        <v>1</v>
      </c>
      <c r="D399" s="719"/>
      <c r="E399" s="24">
        <f t="shared" si="71"/>
        <v>0</v>
      </c>
      <c r="F399" s="719"/>
      <c r="G399" s="24">
        <f t="shared" si="72"/>
        <v>0.03</v>
      </c>
      <c r="H399" s="719"/>
      <c r="I399" s="24">
        <f t="shared" si="73"/>
        <v>0.02</v>
      </c>
      <c r="J399" s="719"/>
      <c r="K399" s="24">
        <f t="shared" si="74"/>
        <v>1</v>
      </c>
      <c r="L399" s="719"/>
      <c r="M399" s="24">
        <f t="shared" si="75"/>
        <v>1</v>
      </c>
      <c r="N399" s="719"/>
      <c r="O399" s="24">
        <f t="shared" si="76"/>
        <v>1</v>
      </c>
      <c r="P399" s="719"/>
      <c r="Q399" s="24">
        <f t="shared" si="77"/>
        <v>0</v>
      </c>
      <c r="R399" s="715">
        <f t="shared" si="78"/>
        <v>0</v>
      </c>
      <c r="S399" s="361">
        <f t="shared" si="79"/>
        <v>0</v>
      </c>
      <c r="T399" s="799">
        <f>剩余房源售价清单!I378</f>
        <v>0</v>
      </c>
      <c r="U399" s="799" t="e">
        <f t="shared" si="69"/>
        <v>#DIV/0!</v>
      </c>
    </row>
    <row r="400" spans="1:21">
      <c r="A400" s="159"/>
      <c r="B400" s="59"/>
      <c r="C400" s="24">
        <f t="shared" si="70"/>
        <v>1</v>
      </c>
      <c r="D400" s="719"/>
      <c r="E400" s="24">
        <f t="shared" si="71"/>
        <v>0</v>
      </c>
      <c r="F400" s="719"/>
      <c r="G400" s="24">
        <f t="shared" si="72"/>
        <v>0.03</v>
      </c>
      <c r="H400" s="719"/>
      <c r="I400" s="24">
        <f t="shared" si="73"/>
        <v>0.02</v>
      </c>
      <c r="J400" s="719"/>
      <c r="K400" s="24">
        <f t="shared" si="74"/>
        <v>1</v>
      </c>
      <c r="L400" s="719"/>
      <c r="M400" s="24">
        <f t="shared" si="75"/>
        <v>1</v>
      </c>
      <c r="N400" s="719"/>
      <c r="O400" s="24">
        <f t="shared" si="76"/>
        <v>1</v>
      </c>
      <c r="P400" s="719"/>
      <c r="Q400" s="24">
        <f t="shared" si="77"/>
        <v>0</v>
      </c>
      <c r="R400" s="715">
        <f t="shared" si="78"/>
        <v>0</v>
      </c>
      <c r="S400" s="361">
        <f t="shared" si="79"/>
        <v>0</v>
      </c>
      <c r="T400" s="799">
        <f>剩余房源售价清单!I379</f>
        <v>0</v>
      </c>
      <c r="U400" s="799" t="e">
        <f t="shared" si="69"/>
        <v>#DIV/0!</v>
      </c>
    </row>
    <row r="401" spans="1:21">
      <c r="A401" s="159"/>
      <c r="B401" s="59"/>
      <c r="C401" s="24">
        <f t="shared" si="70"/>
        <v>1</v>
      </c>
      <c r="D401" s="719"/>
      <c r="E401" s="24">
        <f t="shared" si="71"/>
        <v>0</v>
      </c>
      <c r="F401" s="719"/>
      <c r="G401" s="24">
        <f t="shared" si="72"/>
        <v>0.03</v>
      </c>
      <c r="H401" s="719"/>
      <c r="I401" s="24">
        <f t="shared" si="73"/>
        <v>0.02</v>
      </c>
      <c r="J401" s="719"/>
      <c r="K401" s="24">
        <f t="shared" si="74"/>
        <v>1</v>
      </c>
      <c r="L401" s="719"/>
      <c r="M401" s="24">
        <f t="shared" si="75"/>
        <v>1</v>
      </c>
      <c r="N401" s="719"/>
      <c r="O401" s="24">
        <f t="shared" si="76"/>
        <v>1</v>
      </c>
      <c r="P401" s="719"/>
      <c r="Q401" s="24">
        <f t="shared" si="77"/>
        <v>0</v>
      </c>
      <c r="R401" s="715">
        <f t="shared" si="78"/>
        <v>0</v>
      </c>
      <c r="S401" s="361">
        <f t="shared" si="79"/>
        <v>0</v>
      </c>
      <c r="T401" s="799">
        <f>剩余房源售价清单!I380</f>
        <v>0</v>
      </c>
      <c r="U401" s="799" t="e">
        <f t="shared" si="69"/>
        <v>#DIV/0!</v>
      </c>
    </row>
    <row r="402" spans="1:21">
      <c r="A402" s="159"/>
      <c r="B402" s="59"/>
      <c r="C402" s="24">
        <f t="shared" si="70"/>
        <v>1</v>
      </c>
      <c r="D402" s="719"/>
      <c r="E402" s="24">
        <f t="shared" si="71"/>
        <v>0</v>
      </c>
      <c r="F402" s="719"/>
      <c r="G402" s="24">
        <f t="shared" si="72"/>
        <v>0.03</v>
      </c>
      <c r="H402" s="719"/>
      <c r="I402" s="24">
        <f t="shared" si="73"/>
        <v>0.02</v>
      </c>
      <c r="J402" s="719"/>
      <c r="K402" s="24">
        <f t="shared" si="74"/>
        <v>1</v>
      </c>
      <c r="L402" s="719"/>
      <c r="M402" s="24">
        <f t="shared" si="75"/>
        <v>1</v>
      </c>
      <c r="N402" s="719"/>
      <c r="O402" s="24">
        <f t="shared" si="76"/>
        <v>1</v>
      </c>
      <c r="P402" s="719"/>
      <c r="Q402" s="24">
        <f t="shared" si="77"/>
        <v>0</v>
      </c>
      <c r="R402" s="715">
        <f t="shared" si="78"/>
        <v>0</v>
      </c>
      <c r="S402" s="361">
        <f t="shared" si="79"/>
        <v>0</v>
      </c>
      <c r="T402" s="799">
        <f>剩余房源售价清单!I381</f>
        <v>0</v>
      </c>
      <c r="U402" s="799" t="e">
        <f t="shared" si="69"/>
        <v>#DIV/0!</v>
      </c>
    </row>
    <row r="403" spans="1:21">
      <c r="A403" s="159"/>
      <c r="B403" s="59"/>
      <c r="C403" s="24">
        <f t="shared" si="70"/>
        <v>1</v>
      </c>
      <c r="D403" s="719"/>
      <c r="E403" s="24">
        <f t="shared" si="71"/>
        <v>0</v>
      </c>
      <c r="F403" s="719"/>
      <c r="G403" s="24">
        <f t="shared" si="72"/>
        <v>0.03</v>
      </c>
      <c r="H403" s="719"/>
      <c r="I403" s="24">
        <f t="shared" si="73"/>
        <v>0.02</v>
      </c>
      <c r="J403" s="719"/>
      <c r="K403" s="24">
        <f t="shared" si="74"/>
        <v>1</v>
      </c>
      <c r="L403" s="719"/>
      <c r="M403" s="24">
        <f t="shared" si="75"/>
        <v>1</v>
      </c>
      <c r="N403" s="719"/>
      <c r="O403" s="24">
        <f t="shared" si="76"/>
        <v>1</v>
      </c>
      <c r="P403" s="719"/>
      <c r="Q403" s="24">
        <f t="shared" si="77"/>
        <v>0</v>
      </c>
      <c r="R403" s="715">
        <f t="shared" si="78"/>
        <v>0</v>
      </c>
      <c r="S403" s="361">
        <f t="shared" si="79"/>
        <v>0</v>
      </c>
      <c r="T403" s="799">
        <f>剩余房源售价清单!I382</f>
        <v>0</v>
      </c>
      <c r="U403" s="799" t="e">
        <f t="shared" si="69"/>
        <v>#DIV/0!</v>
      </c>
    </row>
    <row r="404" spans="1:21">
      <c r="A404" s="159"/>
      <c r="B404" s="59"/>
      <c r="C404" s="24">
        <f t="shared" si="70"/>
        <v>1</v>
      </c>
      <c r="D404" s="719"/>
      <c r="E404" s="24">
        <f t="shared" si="71"/>
        <v>0</v>
      </c>
      <c r="F404" s="719"/>
      <c r="G404" s="24">
        <f t="shared" si="72"/>
        <v>0.03</v>
      </c>
      <c r="H404" s="719"/>
      <c r="I404" s="24">
        <f t="shared" si="73"/>
        <v>0.02</v>
      </c>
      <c r="J404" s="719"/>
      <c r="K404" s="24">
        <f t="shared" si="74"/>
        <v>1</v>
      </c>
      <c r="L404" s="719"/>
      <c r="M404" s="24">
        <f t="shared" si="75"/>
        <v>1</v>
      </c>
      <c r="N404" s="719"/>
      <c r="O404" s="24">
        <f t="shared" si="76"/>
        <v>1</v>
      </c>
      <c r="P404" s="719"/>
      <c r="Q404" s="24">
        <f t="shared" si="77"/>
        <v>0</v>
      </c>
      <c r="R404" s="715">
        <f t="shared" si="78"/>
        <v>0</v>
      </c>
      <c r="S404" s="361">
        <f t="shared" si="79"/>
        <v>0</v>
      </c>
      <c r="T404" s="799">
        <f>剩余房源售价清单!I383</f>
        <v>0</v>
      </c>
      <c r="U404" s="799" t="e">
        <f t="shared" si="69"/>
        <v>#DIV/0!</v>
      </c>
    </row>
    <row r="405" spans="1:21">
      <c r="A405" s="159"/>
      <c r="B405" s="59"/>
      <c r="C405" s="24">
        <f t="shared" si="70"/>
        <v>1</v>
      </c>
      <c r="D405" s="719"/>
      <c r="E405" s="24">
        <f t="shared" si="71"/>
        <v>0</v>
      </c>
      <c r="F405" s="719"/>
      <c r="G405" s="24">
        <f t="shared" si="72"/>
        <v>0.03</v>
      </c>
      <c r="H405" s="719"/>
      <c r="I405" s="24">
        <f t="shared" si="73"/>
        <v>0.02</v>
      </c>
      <c r="J405" s="719"/>
      <c r="K405" s="24">
        <f t="shared" si="74"/>
        <v>1</v>
      </c>
      <c r="L405" s="719"/>
      <c r="M405" s="24">
        <f t="shared" si="75"/>
        <v>1</v>
      </c>
      <c r="N405" s="719"/>
      <c r="O405" s="24">
        <f t="shared" si="76"/>
        <v>1</v>
      </c>
      <c r="P405" s="719"/>
      <c r="Q405" s="24">
        <f t="shared" si="77"/>
        <v>0</v>
      </c>
      <c r="R405" s="715">
        <f t="shared" si="78"/>
        <v>0</v>
      </c>
      <c r="S405" s="361">
        <f t="shared" si="79"/>
        <v>0</v>
      </c>
      <c r="T405" s="799">
        <f>剩余房源售价清单!I384</f>
        <v>0</v>
      </c>
      <c r="U405" s="799" t="e">
        <f t="shared" si="69"/>
        <v>#DIV/0!</v>
      </c>
    </row>
    <row r="406" spans="1:21">
      <c r="A406" s="159"/>
      <c r="B406" s="59"/>
      <c r="C406" s="24">
        <f t="shared" si="70"/>
        <v>1</v>
      </c>
      <c r="D406" s="719"/>
      <c r="E406" s="24">
        <f t="shared" si="71"/>
        <v>0</v>
      </c>
      <c r="F406" s="719"/>
      <c r="G406" s="24">
        <f t="shared" si="72"/>
        <v>0.03</v>
      </c>
      <c r="H406" s="719"/>
      <c r="I406" s="24">
        <f t="shared" si="73"/>
        <v>0.02</v>
      </c>
      <c r="J406" s="719"/>
      <c r="K406" s="24">
        <f t="shared" si="74"/>
        <v>1</v>
      </c>
      <c r="L406" s="719"/>
      <c r="M406" s="24">
        <f t="shared" si="75"/>
        <v>1</v>
      </c>
      <c r="N406" s="719"/>
      <c r="O406" s="24">
        <f t="shared" si="76"/>
        <v>1</v>
      </c>
      <c r="P406" s="719"/>
      <c r="Q406" s="24">
        <f t="shared" si="77"/>
        <v>0</v>
      </c>
      <c r="R406" s="715">
        <f t="shared" si="78"/>
        <v>0</v>
      </c>
      <c r="S406" s="361">
        <f t="shared" si="79"/>
        <v>0</v>
      </c>
      <c r="T406" s="799">
        <f>剩余房源售价清单!I385</f>
        <v>0</v>
      </c>
      <c r="U406" s="799" t="e">
        <f t="shared" si="69"/>
        <v>#DIV/0!</v>
      </c>
    </row>
    <row r="407" spans="1:21">
      <c r="A407" s="159"/>
      <c r="B407" s="59"/>
      <c r="C407" s="24">
        <f t="shared" si="70"/>
        <v>1</v>
      </c>
      <c r="D407" s="719"/>
      <c r="E407" s="24">
        <f t="shared" si="71"/>
        <v>0</v>
      </c>
      <c r="F407" s="719"/>
      <c r="G407" s="24">
        <f t="shared" si="72"/>
        <v>0.03</v>
      </c>
      <c r="H407" s="719"/>
      <c r="I407" s="24">
        <f t="shared" si="73"/>
        <v>0.02</v>
      </c>
      <c r="J407" s="719"/>
      <c r="K407" s="24">
        <f t="shared" si="74"/>
        <v>1</v>
      </c>
      <c r="L407" s="719"/>
      <c r="M407" s="24">
        <f t="shared" si="75"/>
        <v>1</v>
      </c>
      <c r="N407" s="719"/>
      <c r="O407" s="24">
        <f t="shared" si="76"/>
        <v>1</v>
      </c>
      <c r="P407" s="719"/>
      <c r="Q407" s="24">
        <f t="shared" si="77"/>
        <v>0</v>
      </c>
      <c r="R407" s="715">
        <f t="shared" si="78"/>
        <v>0</v>
      </c>
      <c r="S407" s="361">
        <f t="shared" si="79"/>
        <v>0</v>
      </c>
      <c r="T407" s="799">
        <f>剩余房源售价清单!I386</f>
        <v>0</v>
      </c>
      <c r="U407" s="799" t="e">
        <f t="shared" si="69"/>
        <v>#DIV/0!</v>
      </c>
    </row>
    <row r="408" spans="1:21">
      <c r="A408" s="159"/>
      <c r="B408" s="59"/>
      <c r="C408" s="24">
        <f t="shared" si="70"/>
        <v>1</v>
      </c>
      <c r="D408" s="719"/>
      <c r="E408" s="24">
        <f t="shared" si="71"/>
        <v>0</v>
      </c>
      <c r="F408" s="719"/>
      <c r="G408" s="24">
        <f t="shared" si="72"/>
        <v>0.03</v>
      </c>
      <c r="H408" s="719"/>
      <c r="I408" s="24">
        <f t="shared" si="73"/>
        <v>0.02</v>
      </c>
      <c r="J408" s="719"/>
      <c r="K408" s="24">
        <f t="shared" si="74"/>
        <v>1</v>
      </c>
      <c r="L408" s="719"/>
      <c r="M408" s="24">
        <f t="shared" si="75"/>
        <v>1</v>
      </c>
      <c r="N408" s="719"/>
      <c r="O408" s="24">
        <f t="shared" si="76"/>
        <v>1</v>
      </c>
      <c r="P408" s="719"/>
      <c r="Q408" s="24">
        <f t="shared" si="77"/>
        <v>0</v>
      </c>
      <c r="R408" s="715">
        <f t="shared" si="78"/>
        <v>0</v>
      </c>
      <c r="S408" s="361">
        <f t="shared" si="79"/>
        <v>0</v>
      </c>
      <c r="T408" s="799">
        <f>剩余房源售价清单!I387</f>
        <v>0</v>
      </c>
      <c r="U408" s="799" t="e">
        <f t="shared" si="69"/>
        <v>#DIV/0!</v>
      </c>
    </row>
    <row r="409" spans="1:21">
      <c r="A409" s="159"/>
      <c r="B409" s="59"/>
      <c r="C409" s="24">
        <f t="shared" si="70"/>
        <v>1</v>
      </c>
      <c r="D409" s="719"/>
      <c r="E409" s="24">
        <f t="shared" si="71"/>
        <v>0</v>
      </c>
      <c r="F409" s="719"/>
      <c r="G409" s="24">
        <f t="shared" si="72"/>
        <v>0.03</v>
      </c>
      <c r="H409" s="719"/>
      <c r="I409" s="24">
        <f t="shared" si="73"/>
        <v>0.02</v>
      </c>
      <c r="J409" s="719"/>
      <c r="K409" s="24">
        <f t="shared" si="74"/>
        <v>1</v>
      </c>
      <c r="L409" s="719"/>
      <c r="M409" s="24">
        <f t="shared" si="75"/>
        <v>1</v>
      </c>
      <c r="N409" s="719"/>
      <c r="O409" s="24">
        <f t="shared" si="76"/>
        <v>1</v>
      </c>
      <c r="P409" s="719"/>
      <c r="Q409" s="24">
        <f t="shared" si="77"/>
        <v>0</v>
      </c>
      <c r="R409" s="715">
        <f t="shared" si="78"/>
        <v>0</v>
      </c>
      <c r="S409" s="361">
        <f t="shared" si="79"/>
        <v>0</v>
      </c>
      <c r="T409" s="799">
        <f>剩余房源售价清单!I388</f>
        <v>0</v>
      </c>
      <c r="U409" s="799" t="e">
        <f t="shared" ref="U409:U472" si="80">R409/T409</f>
        <v>#DIV/0!</v>
      </c>
    </row>
    <row r="410" spans="1:21">
      <c r="A410" s="159"/>
      <c r="B410" s="59"/>
      <c r="C410" s="24">
        <f t="shared" ref="C410:C473" si="81">IF(B410="",1,(LOOKUP(B410,$3:$3,$4:$4)-LOOKUP($B$24,$3:$3,$4:$4)+100)/100)</f>
        <v>1</v>
      </c>
      <c r="D410" s="719"/>
      <c r="E410" s="24">
        <f t="shared" ref="E410:E473" si="82">(SUMIF($5:$5,D410,$6:$6)-SUMIF($5:$5,$D$24,$6:$6)+100)/100</f>
        <v>0</v>
      </c>
      <c r="F410" s="719"/>
      <c r="G410" s="24">
        <f t="shared" ref="G410:G473" si="83">(SUMIF($7:$7,F410,$8:$8)-SUMIF($7:$7,$F$24,$8:$8)+100)/100</f>
        <v>0.03</v>
      </c>
      <c r="H410" s="719"/>
      <c r="I410" s="24">
        <f t="shared" ref="I410:I473" si="84">(SUMIF($9:$9,H410,$10:$10)-SUMIF($9:$9,$H$24,$10:$10)+100)/100</f>
        <v>0.02</v>
      </c>
      <c r="J410" s="719"/>
      <c r="K410" s="24">
        <f t="shared" ref="K410:K473" si="85">(SUMIF($11:$11,J410,$12:$12)-SUMIF($11:$11,$J$24,$12:$12)+100)/100</f>
        <v>1</v>
      </c>
      <c r="L410" s="719"/>
      <c r="M410" s="24">
        <f t="shared" ref="M410:M473" si="86">(SUMIF($13:$13,L410,$14:$14)-SUMIF($13:$13,$L$24,$14:$14)+100)/100</f>
        <v>1</v>
      </c>
      <c r="N410" s="719"/>
      <c r="O410" s="24">
        <f t="shared" ref="O410:O473" si="87">(SUMIF($15:$15,N410,$16:$16)-SUMIF($15:$15,$N$24,$16:$16)+100)/100</f>
        <v>1</v>
      </c>
      <c r="P410" s="719"/>
      <c r="Q410" s="24">
        <f t="shared" ref="Q410:Q473" si="88">(SUMIF($17:$17,P410,$18:$18)-SUMIF($17:$17,$P$24,$18:$18)+100)/100</f>
        <v>0</v>
      </c>
      <c r="R410" s="715">
        <f t="shared" ref="R410:R473" si="89">IF(B410="",0,ROUND($R$24*C410*E410*G410*I410*K410*M410*O410*Q410,0))</f>
        <v>0</v>
      </c>
      <c r="S410" s="361">
        <f t="shared" si="79"/>
        <v>0</v>
      </c>
      <c r="T410" s="799">
        <f>剩余房源售价清单!I389</f>
        <v>0</v>
      </c>
      <c r="U410" s="799" t="e">
        <f t="shared" si="80"/>
        <v>#DIV/0!</v>
      </c>
    </row>
    <row r="411" spans="1:21">
      <c r="A411" s="159"/>
      <c r="B411" s="59"/>
      <c r="C411" s="24">
        <f t="shared" si="81"/>
        <v>1</v>
      </c>
      <c r="D411" s="719"/>
      <c r="E411" s="24">
        <f t="shared" si="82"/>
        <v>0</v>
      </c>
      <c r="F411" s="719"/>
      <c r="G411" s="24">
        <f t="shared" si="83"/>
        <v>0.03</v>
      </c>
      <c r="H411" s="719"/>
      <c r="I411" s="24">
        <f t="shared" si="84"/>
        <v>0.02</v>
      </c>
      <c r="J411" s="719"/>
      <c r="K411" s="24">
        <f t="shared" si="85"/>
        <v>1</v>
      </c>
      <c r="L411" s="719"/>
      <c r="M411" s="24">
        <f t="shared" si="86"/>
        <v>1</v>
      </c>
      <c r="N411" s="719"/>
      <c r="O411" s="24">
        <f t="shared" si="87"/>
        <v>1</v>
      </c>
      <c r="P411" s="719"/>
      <c r="Q411" s="24">
        <f t="shared" si="88"/>
        <v>0</v>
      </c>
      <c r="R411" s="715">
        <f t="shared" si="89"/>
        <v>0</v>
      </c>
      <c r="S411" s="361">
        <f t="shared" si="79"/>
        <v>0</v>
      </c>
      <c r="T411" s="799">
        <f>剩余房源售价清单!I390</f>
        <v>0</v>
      </c>
      <c r="U411" s="799" t="e">
        <f t="shared" si="80"/>
        <v>#DIV/0!</v>
      </c>
    </row>
    <row r="412" spans="1:21">
      <c r="A412" s="159"/>
      <c r="B412" s="59"/>
      <c r="C412" s="24">
        <f t="shared" si="81"/>
        <v>1</v>
      </c>
      <c r="D412" s="719"/>
      <c r="E412" s="24">
        <f t="shared" si="82"/>
        <v>0</v>
      </c>
      <c r="F412" s="719"/>
      <c r="G412" s="24">
        <f t="shared" si="83"/>
        <v>0.03</v>
      </c>
      <c r="H412" s="719"/>
      <c r="I412" s="24">
        <f t="shared" si="84"/>
        <v>0.02</v>
      </c>
      <c r="J412" s="719"/>
      <c r="K412" s="24">
        <f t="shared" si="85"/>
        <v>1</v>
      </c>
      <c r="L412" s="719"/>
      <c r="M412" s="24">
        <f t="shared" si="86"/>
        <v>1</v>
      </c>
      <c r="N412" s="719"/>
      <c r="O412" s="24">
        <f t="shared" si="87"/>
        <v>1</v>
      </c>
      <c r="P412" s="719"/>
      <c r="Q412" s="24">
        <f t="shared" si="88"/>
        <v>0</v>
      </c>
      <c r="R412" s="715">
        <f t="shared" si="89"/>
        <v>0</v>
      </c>
      <c r="S412" s="361">
        <f t="shared" si="79"/>
        <v>0</v>
      </c>
      <c r="T412" s="799">
        <f>剩余房源售价清单!I391</f>
        <v>0</v>
      </c>
      <c r="U412" s="799" t="e">
        <f t="shared" si="80"/>
        <v>#DIV/0!</v>
      </c>
    </row>
    <row r="413" spans="1:21">
      <c r="A413" s="159"/>
      <c r="B413" s="59"/>
      <c r="C413" s="24">
        <f t="shared" si="81"/>
        <v>1</v>
      </c>
      <c r="D413" s="719"/>
      <c r="E413" s="24">
        <f t="shared" si="82"/>
        <v>0</v>
      </c>
      <c r="F413" s="719"/>
      <c r="G413" s="24">
        <f t="shared" si="83"/>
        <v>0.03</v>
      </c>
      <c r="H413" s="719"/>
      <c r="I413" s="24">
        <f t="shared" si="84"/>
        <v>0.02</v>
      </c>
      <c r="J413" s="719"/>
      <c r="K413" s="24">
        <f t="shared" si="85"/>
        <v>1</v>
      </c>
      <c r="L413" s="719"/>
      <c r="M413" s="24">
        <f t="shared" si="86"/>
        <v>1</v>
      </c>
      <c r="N413" s="719"/>
      <c r="O413" s="24">
        <f t="shared" si="87"/>
        <v>1</v>
      </c>
      <c r="P413" s="719"/>
      <c r="Q413" s="24">
        <f t="shared" si="88"/>
        <v>0</v>
      </c>
      <c r="R413" s="715">
        <f t="shared" si="89"/>
        <v>0</v>
      </c>
      <c r="S413" s="361">
        <f t="shared" si="79"/>
        <v>0</v>
      </c>
      <c r="T413" s="799">
        <f>剩余房源售价清单!I392</f>
        <v>0</v>
      </c>
      <c r="U413" s="799" t="e">
        <f t="shared" si="80"/>
        <v>#DIV/0!</v>
      </c>
    </row>
    <row r="414" spans="1:21">
      <c r="A414" s="159"/>
      <c r="B414" s="59"/>
      <c r="C414" s="24">
        <f t="shared" si="81"/>
        <v>1</v>
      </c>
      <c r="D414" s="719"/>
      <c r="E414" s="24">
        <f t="shared" si="82"/>
        <v>0</v>
      </c>
      <c r="F414" s="719"/>
      <c r="G414" s="24">
        <f t="shared" si="83"/>
        <v>0.03</v>
      </c>
      <c r="H414" s="719"/>
      <c r="I414" s="24">
        <f t="shared" si="84"/>
        <v>0.02</v>
      </c>
      <c r="J414" s="719"/>
      <c r="K414" s="24">
        <f t="shared" si="85"/>
        <v>1</v>
      </c>
      <c r="L414" s="719"/>
      <c r="M414" s="24">
        <f t="shared" si="86"/>
        <v>1</v>
      </c>
      <c r="N414" s="719"/>
      <c r="O414" s="24">
        <f t="shared" si="87"/>
        <v>1</v>
      </c>
      <c r="P414" s="719"/>
      <c r="Q414" s="24">
        <f t="shared" si="88"/>
        <v>0</v>
      </c>
      <c r="R414" s="715">
        <f t="shared" si="89"/>
        <v>0</v>
      </c>
      <c r="S414" s="361">
        <f t="shared" si="79"/>
        <v>0</v>
      </c>
      <c r="T414" s="799">
        <f>剩余房源售价清单!I393</f>
        <v>0</v>
      </c>
      <c r="U414" s="799" t="e">
        <f t="shared" si="80"/>
        <v>#DIV/0!</v>
      </c>
    </row>
    <row r="415" spans="1:21">
      <c r="A415" s="159"/>
      <c r="B415" s="59"/>
      <c r="C415" s="24">
        <f t="shared" si="81"/>
        <v>1</v>
      </c>
      <c r="D415" s="719"/>
      <c r="E415" s="24">
        <f t="shared" si="82"/>
        <v>0</v>
      </c>
      <c r="F415" s="719"/>
      <c r="G415" s="24">
        <f t="shared" si="83"/>
        <v>0.03</v>
      </c>
      <c r="H415" s="719"/>
      <c r="I415" s="24">
        <f t="shared" si="84"/>
        <v>0.02</v>
      </c>
      <c r="J415" s="719"/>
      <c r="K415" s="24">
        <f t="shared" si="85"/>
        <v>1</v>
      </c>
      <c r="L415" s="719"/>
      <c r="M415" s="24">
        <f t="shared" si="86"/>
        <v>1</v>
      </c>
      <c r="N415" s="719"/>
      <c r="O415" s="24">
        <f t="shared" si="87"/>
        <v>1</v>
      </c>
      <c r="P415" s="719"/>
      <c r="Q415" s="24">
        <f t="shared" si="88"/>
        <v>0</v>
      </c>
      <c r="R415" s="715">
        <f t="shared" si="89"/>
        <v>0</v>
      </c>
      <c r="S415" s="361">
        <f t="shared" si="79"/>
        <v>0</v>
      </c>
      <c r="T415" s="799">
        <f>剩余房源售价清单!I394</f>
        <v>0</v>
      </c>
      <c r="U415" s="799" t="e">
        <f t="shared" si="80"/>
        <v>#DIV/0!</v>
      </c>
    </row>
    <row r="416" spans="1:21">
      <c r="A416" s="159"/>
      <c r="B416" s="59"/>
      <c r="C416" s="24">
        <f t="shared" si="81"/>
        <v>1</v>
      </c>
      <c r="D416" s="719"/>
      <c r="E416" s="24">
        <f t="shared" si="82"/>
        <v>0</v>
      </c>
      <c r="F416" s="719"/>
      <c r="G416" s="24">
        <f t="shared" si="83"/>
        <v>0.03</v>
      </c>
      <c r="H416" s="719"/>
      <c r="I416" s="24">
        <f t="shared" si="84"/>
        <v>0.02</v>
      </c>
      <c r="J416" s="719"/>
      <c r="K416" s="24">
        <f t="shared" si="85"/>
        <v>1</v>
      </c>
      <c r="L416" s="719"/>
      <c r="M416" s="24">
        <f t="shared" si="86"/>
        <v>1</v>
      </c>
      <c r="N416" s="719"/>
      <c r="O416" s="24">
        <f t="shared" si="87"/>
        <v>1</v>
      </c>
      <c r="P416" s="719"/>
      <c r="Q416" s="24">
        <f t="shared" si="88"/>
        <v>0</v>
      </c>
      <c r="R416" s="715">
        <f t="shared" si="89"/>
        <v>0</v>
      </c>
      <c r="S416" s="361">
        <f t="shared" si="79"/>
        <v>0</v>
      </c>
      <c r="T416" s="799">
        <f>剩余房源售价清单!I395</f>
        <v>0</v>
      </c>
      <c r="U416" s="799" t="e">
        <f t="shared" si="80"/>
        <v>#DIV/0!</v>
      </c>
    </row>
    <row r="417" spans="1:21">
      <c r="A417" s="159"/>
      <c r="B417" s="59"/>
      <c r="C417" s="24">
        <f t="shared" si="81"/>
        <v>1</v>
      </c>
      <c r="D417" s="719"/>
      <c r="E417" s="24">
        <f t="shared" si="82"/>
        <v>0</v>
      </c>
      <c r="F417" s="719"/>
      <c r="G417" s="24">
        <f t="shared" si="83"/>
        <v>0.03</v>
      </c>
      <c r="H417" s="719"/>
      <c r="I417" s="24">
        <f t="shared" si="84"/>
        <v>0.02</v>
      </c>
      <c r="J417" s="719"/>
      <c r="K417" s="24">
        <f t="shared" si="85"/>
        <v>1</v>
      </c>
      <c r="L417" s="719"/>
      <c r="M417" s="24">
        <f t="shared" si="86"/>
        <v>1</v>
      </c>
      <c r="N417" s="719"/>
      <c r="O417" s="24">
        <f t="shared" si="87"/>
        <v>1</v>
      </c>
      <c r="P417" s="719"/>
      <c r="Q417" s="24">
        <f t="shared" si="88"/>
        <v>0</v>
      </c>
      <c r="R417" s="715">
        <f t="shared" si="89"/>
        <v>0</v>
      </c>
      <c r="S417" s="361">
        <f t="shared" si="79"/>
        <v>0</v>
      </c>
      <c r="T417" s="799">
        <f>剩余房源售价清单!I396</f>
        <v>0</v>
      </c>
      <c r="U417" s="799" t="e">
        <f t="shared" si="80"/>
        <v>#DIV/0!</v>
      </c>
    </row>
    <row r="418" spans="1:21">
      <c r="A418" s="159"/>
      <c r="B418" s="59"/>
      <c r="C418" s="24">
        <f t="shared" si="81"/>
        <v>1</v>
      </c>
      <c r="D418" s="719"/>
      <c r="E418" s="24">
        <f t="shared" si="82"/>
        <v>0</v>
      </c>
      <c r="F418" s="719"/>
      <c r="G418" s="24">
        <f t="shared" si="83"/>
        <v>0.03</v>
      </c>
      <c r="H418" s="719"/>
      <c r="I418" s="24">
        <f t="shared" si="84"/>
        <v>0.02</v>
      </c>
      <c r="J418" s="719"/>
      <c r="K418" s="24">
        <f t="shared" si="85"/>
        <v>1</v>
      </c>
      <c r="L418" s="719"/>
      <c r="M418" s="24">
        <f t="shared" si="86"/>
        <v>1</v>
      </c>
      <c r="N418" s="719"/>
      <c r="O418" s="24">
        <f t="shared" si="87"/>
        <v>1</v>
      </c>
      <c r="P418" s="719"/>
      <c r="Q418" s="24">
        <f t="shared" si="88"/>
        <v>0</v>
      </c>
      <c r="R418" s="715">
        <f t="shared" si="89"/>
        <v>0</v>
      </c>
      <c r="S418" s="361">
        <f t="shared" si="79"/>
        <v>0</v>
      </c>
      <c r="T418" s="799">
        <f>剩余房源售价清单!I397</f>
        <v>0</v>
      </c>
      <c r="U418" s="799" t="e">
        <f t="shared" si="80"/>
        <v>#DIV/0!</v>
      </c>
    </row>
    <row r="419" spans="1:21">
      <c r="A419" s="159"/>
      <c r="B419" s="59"/>
      <c r="C419" s="24">
        <f t="shared" si="81"/>
        <v>1</v>
      </c>
      <c r="D419" s="719"/>
      <c r="E419" s="24">
        <f t="shared" si="82"/>
        <v>0</v>
      </c>
      <c r="F419" s="719"/>
      <c r="G419" s="24">
        <f t="shared" si="83"/>
        <v>0.03</v>
      </c>
      <c r="H419" s="719"/>
      <c r="I419" s="24">
        <f t="shared" si="84"/>
        <v>0.02</v>
      </c>
      <c r="J419" s="719"/>
      <c r="K419" s="24">
        <f t="shared" si="85"/>
        <v>1</v>
      </c>
      <c r="L419" s="719"/>
      <c r="M419" s="24">
        <f t="shared" si="86"/>
        <v>1</v>
      </c>
      <c r="N419" s="719"/>
      <c r="O419" s="24">
        <f t="shared" si="87"/>
        <v>1</v>
      </c>
      <c r="P419" s="719"/>
      <c r="Q419" s="24">
        <f t="shared" si="88"/>
        <v>0</v>
      </c>
      <c r="R419" s="715">
        <f t="shared" si="89"/>
        <v>0</v>
      </c>
      <c r="S419" s="361">
        <f t="shared" si="79"/>
        <v>0</v>
      </c>
      <c r="T419" s="799">
        <f>剩余房源售价清单!I398</f>
        <v>0</v>
      </c>
      <c r="U419" s="799" t="e">
        <f t="shared" si="80"/>
        <v>#DIV/0!</v>
      </c>
    </row>
    <row r="420" spans="1:21">
      <c r="A420" s="159"/>
      <c r="B420" s="59"/>
      <c r="C420" s="24">
        <f t="shared" si="81"/>
        <v>1</v>
      </c>
      <c r="D420" s="719"/>
      <c r="E420" s="24">
        <f t="shared" si="82"/>
        <v>0</v>
      </c>
      <c r="F420" s="719"/>
      <c r="G420" s="24">
        <f t="shared" si="83"/>
        <v>0.03</v>
      </c>
      <c r="H420" s="719"/>
      <c r="I420" s="24">
        <f t="shared" si="84"/>
        <v>0.02</v>
      </c>
      <c r="J420" s="719"/>
      <c r="K420" s="24">
        <f t="shared" si="85"/>
        <v>1</v>
      </c>
      <c r="L420" s="719"/>
      <c r="M420" s="24">
        <f t="shared" si="86"/>
        <v>1</v>
      </c>
      <c r="N420" s="719"/>
      <c r="O420" s="24">
        <f t="shared" si="87"/>
        <v>1</v>
      </c>
      <c r="P420" s="719"/>
      <c r="Q420" s="24">
        <f t="shared" si="88"/>
        <v>0</v>
      </c>
      <c r="R420" s="715">
        <f t="shared" si="89"/>
        <v>0</v>
      </c>
      <c r="S420" s="361">
        <f t="shared" si="79"/>
        <v>0</v>
      </c>
      <c r="T420" s="799">
        <f>剩余房源售价清单!I399</f>
        <v>0</v>
      </c>
      <c r="U420" s="799" t="e">
        <f t="shared" si="80"/>
        <v>#DIV/0!</v>
      </c>
    </row>
    <row r="421" spans="1:21">
      <c r="A421" s="159"/>
      <c r="B421" s="59"/>
      <c r="C421" s="24">
        <f t="shared" si="81"/>
        <v>1</v>
      </c>
      <c r="D421" s="719"/>
      <c r="E421" s="24">
        <f t="shared" si="82"/>
        <v>0</v>
      </c>
      <c r="F421" s="719"/>
      <c r="G421" s="24">
        <f t="shared" si="83"/>
        <v>0.03</v>
      </c>
      <c r="H421" s="719"/>
      <c r="I421" s="24">
        <f t="shared" si="84"/>
        <v>0.02</v>
      </c>
      <c r="J421" s="719"/>
      <c r="K421" s="24">
        <f t="shared" si="85"/>
        <v>1</v>
      </c>
      <c r="L421" s="719"/>
      <c r="M421" s="24">
        <f t="shared" si="86"/>
        <v>1</v>
      </c>
      <c r="N421" s="719"/>
      <c r="O421" s="24">
        <f t="shared" si="87"/>
        <v>1</v>
      </c>
      <c r="P421" s="719"/>
      <c r="Q421" s="24">
        <f t="shared" si="88"/>
        <v>0</v>
      </c>
      <c r="R421" s="715">
        <f t="shared" si="89"/>
        <v>0</v>
      </c>
      <c r="S421" s="361">
        <f t="shared" si="79"/>
        <v>0</v>
      </c>
      <c r="T421" s="799">
        <f>剩余房源售价清单!I400</f>
        <v>0</v>
      </c>
      <c r="U421" s="799" t="e">
        <f t="shared" si="80"/>
        <v>#DIV/0!</v>
      </c>
    </row>
    <row r="422" spans="1:21">
      <c r="A422" s="159"/>
      <c r="B422" s="59"/>
      <c r="C422" s="24">
        <f t="shared" si="81"/>
        <v>1</v>
      </c>
      <c r="D422" s="719"/>
      <c r="E422" s="24">
        <f t="shared" si="82"/>
        <v>0</v>
      </c>
      <c r="F422" s="719"/>
      <c r="G422" s="24">
        <f t="shared" si="83"/>
        <v>0.03</v>
      </c>
      <c r="H422" s="719"/>
      <c r="I422" s="24">
        <f t="shared" si="84"/>
        <v>0.02</v>
      </c>
      <c r="J422" s="719"/>
      <c r="K422" s="24">
        <f t="shared" si="85"/>
        <v>1</v>
      </c>
      <c r="L422" s="719"/>
      <c r="M422" s="24">
        <f t="shared" si="86"/>
        <v>1</v>
      </c>
      <c r="N422" s="719"/>
      <c r="O422" s="24">
        <f t="shared" si="87"/>
        <v>1</v>
      </c>
      <c r="P422" s="719"/>
      <c r="Q422" s="24">
        <f t="shared" si="88"/>
        <v>0</v>
      </c>
      <c r="R422" s="715">
        <f t="shared" si="89"/>
        <v>0</v>
      </c>
      <c r="S422" s="361">
        <f t="shared" si="79"/>
        <v>0</v>
      </c>
      <c r="T422" s="799">
        <f>剩余房源售价清单!I401</f>
        <v>0</v>
      </c>
      <c r="U422" s="799" t="e">
        <f t="shared" si="80"/>
        <v>#DIV/0!</v>
      </c>
    </row>
    <row r="423" spans="1:21">
      <c r="A423" s="159"/>
      <c r="B423" s="59"/>
      <c r="C423" s="24">
        <f t="shared" si="81"/>
        <v>1</v>
      </c>
      <c r="D423" s="719"/>
      <c r="E423" s="24">
        <f t="shared" si="82"/>
        <v>0</v>
      </c>
      <c r="F423" s="719"/>
      <c r="G423" s="24">
        <f t="shared" si="83"/>
        <v>0.03</v>
      </c>
      <c r="H423" s="719"/>
      <c r="I423" s="24">
        <f t="shared" si="84"/>
        <v>0.02</v>
      </c>
      <c r="J423" s="719"/>
      <c r="K423" s="24">
        <f t="shared" si="85"/>
        <v>1</v>
      </c>
      <c r="L423" s="719"/>
      <c r="M423" s="24">
        <f t="shared" si="86"/>
        <v>1</v>
      </c>
      <c r="N423" s="719"/>
      <c r="O423" s="24">
        <f t="shared" si="87"/>
        <v>1</v>
      </c>
      <c r="P423" s="719"/>
      <c r="Q423" s="24">
        <f t="shared" si="88"/>
        <v>0</v>
      </c>
      <c r="R423" s="715">
        <f t="shared" si="89"/>
        <v>0</v>
      </c>
      <c r="S423" s="361">
        <f t="shared" ref="S423:S467" si="90">ROUND(R423*B423/10000,0)</f>
        <v>0</v>
      </c>
      <c r="T423" s="799">
        <f>剩余房源售价清单!I402</f>
        <v>0</v>
      </c>
      <c r="U423" s="799" t="e">
        <f t="shared" si="80"/>
        <v>#DIV/0!</v>
      </c>
    </row>
    <row r="424" spans="1:21">
      <c r="A424" s="159"/>
      <c r="B424" s="59"/>
      <c r="C424" s="24">
        <f t="shared" si="81"/>
        <v>1</v>
      </c>
      <c r="D424" s="719"/>
      <c r="E424" s="24">
        <f t="shared" si="82"/>
        <v>0</v>
      </c>
      <c r="F424" s="719"/>
      <c r="G424" s="24">
        <f t="shared" si="83"/>
        <v>0.03</v>
      </c>
      <c r="H424" s="719"/>
      <c r="I424" s="24">
        <f t="shared" si="84"/>
        <v>0.02</v>
      </c>
      <c r="J424" s="719"/>
      <c r="K424" s="24">
        <f t="shared" si="85"/>
        <v>1</v>
      </c>
      <c r="L424" s="719"/>
      <c r="M424" s="24">
        <f t="shared" si="86"/>
        <v>1</v>
      </c>
      <c r="N424" s="719"/>
      <c r="O424" s="24">
        <f t="shared" si="87"/>
        <v>1</v>
      </c>
      <c r="P424" s="719"/>
      <c r="Q424" s="24">
        <f t="shared" si="88"/>
        <v>0</v>
      </c>
      <c r="R424" s="715">
        <f t="shared" si="89"/>
        <v>0</v>
      </c>
      <c r="S424" s="361">
        <f t="shared" si="90"/>
        <v>0</v>
      </c>
      <c r="T424" s="799">
        <f>剩余房源售价清单!I403</f>
        <v>0</v>
      </c>
      <c r="U424" s="799" t="e">
        <f t="shared" si="80"/>
        <v>#DIV/0!</v>
      </c>
    </row>
    <row r="425" spans="1:21">
      <c r="A425" s="159"/>
      <c r="B425" s="59"/>
      <c r="C425" s="24">
        <f t="shared" si="81"/>
        <v>1</v>
      </c>
      <c r="D425" s="719"/>
      <c r="E425" s="24">
        <f t="shared" si="82"/>
        <v>0</v>
      </c>
      <c r="F425" s="719"/>
      <c r="G425" s="24">
        <f t="shared" si="83"/>
        <v>0.03</v>
      </c>
      <c r="H425" s="719"/>
      <c r="I425" s="24">
        <f t="shared" si="84"/>
        <v>0.02</v>
      </c>
      <c r="J425" s="719"/>
      <c r="K425" s="24">
        <f t="shared" si="85"/>
        <v>1</v>
      </c>
      <c r="L425" s="719"/>
      <c r="M425" s="24">
        <f t="shared" si="86"/>
        <v>1</v>
      </c>
      <c r="N425" s="719"/>
      <c r="O425" s="24">
        <f t="shared" si="87"/>
        <v>1</v>
      </c>
      <c r="P425" s="719"/>
      <c r="Q425" s="24">
        <f t="shared" si="88"/>
        <v>0</v>
      </c>
      <c r="R425" s="715">
        <f t="shared" si="89"/>
        <v>0</v>
      </c>
      <c r="S425" s="361">
        <f t="shared" si="90"/>
        <v>0</v>
      </c>
      <c r="T425" s="799">
        <f>剩余房源售价清单!I404</f>
        <v>0</v>
      </c>
      <c r="U425" s="799" t="e">
        <f t="shared" si="80"/>
        <v>#DIV/0!</v>
      </c>
    </row>
    <row r="426" spans="1:21">
      <c r="A426" s="159"/>
      <c r="B426" s="59"/>
      <c r="C426" s="24">
        <f t="shared" si="81"/>
        <v>1</v>
      </c>
      <c r="D426" s="719"/>
      <c r="E426" s="24">
        <f t="shared" si="82"/>
        <v>0</v>
      </c>
      <c r="F426" s="719"/>
      <c r="G426" s="24">
        <f t="shared" si="83"/>
        <v>0.03</v>
      </c>
      <c r="H426" s="719"/>
      <c r="I426" s="24">
        <f t="shared" si="84"/>
        <v>0.02</v>
      </c>
      <c r="J426" s="719"/>
      <c r="K426" s="24">
        <f t="shared" si="85"/>
        <v>1</v>
      </c>
      <c r="L426" s="719"/>
      <c r="M426" s="24">
        <f t="shared" si="86"/>
        <v>1</v>
      </c>
      <c r="N426" s="719"/>
      <c r="O426" s="24">
        <f t="shared" si="87"/>
        <v>1</v>
      </c>
      <c r="P426" s="719"/>
      <c r="Q426" s="24">
        <f t="shared" si="88"/>
        <v>0</v>
      </c>
      <c r="R426" s="715">
        <f t="shared" si="89"/>
        <v>0</v>
      </c>
      <c r="S426" s="361">
        <f t="shared" si="90"/>
        <v>0</v>
      </c>
      <c r="T426" s="799">
        <f>剩余房源售价清单!I405</f>
        <v>0</v>
      </c>
      <c r="U426" s="799" t="e">
        <f t="shared" si="80"/>
        <v>#DIV/0!</v>
      </c>
    </row>
    <row r="427" spans="1:21">
      <c r="A427" s="159"/>
      <c r="B427" s="59"/>
      <c r="C427" s="24">
        <f t="shared" si="81"/>
        <v>1</v>
      </c>
      <c r="D427" s="719"/>
      <c r="E427" s="24">
        <f t="shared" si="82"/>
        <v>0</v>
      </c>
      <c r="F427" s="719"/>
      <c r="G427" s="24">
        <f t="shared" si="83"/>
        <v>0.03</v>
      </c>
      <c r="H427" s="719"/>
      <c r="I427" s="24">
        <f t="shared" si="84"/>
        <v>0.02</v>
      </c>
      <c r="J427" s="719"/>
      <c r="K427" s="24">
        <f t="shared" si="85"/>
        <v>1</v>
      </c>
      <c r="L427" s="719"/>
      <c r="M427" s="24">
        <f t="shared" si="86"/>
        <v>1</v>
      </c>
      <c r="N427" s="719"/>
      <c r="O427" s="24">
        <f t="shared" si="87"/>
        <v>1</v>
      </c>
      <c r="P427" s="719"/>
      <c r="Q427" s="24">
        <f t="shared" si="88"/>
        <v>0</v>
      </c>
      <c r="R427" s="715">
        <f t="shared" si="89"/>
        <v>0</v>
      </c>
      <c r="S427" s="361">
        <f t="shared" si="90"/>
        <v>0</v>
      </c>
      <c r="T427" s="799">
        <f>剩余房源售价清单!I406</f>
        <v>0</v>
      </c>
      <c r="U427" s="799" t="e">
        <f t="shared" si="80"/>
        <v>#DIV/0!</v>
      </c>
    </row>
    <row r="428" spans="1:21">
      <c r="A428" s="159"/>
      <c r="B428" s="59"/>
      <c r="C428" s="24">
        <f t="shared" si="81"/>
        <v>1</v>
      </c>
      <c r="D428" s="719"/>
      <c r="E428" s="24">
        <f t="shared" si="82"/>
        <v>0</v>
      </c>
      <c r="F428" s="719"/>
      <c r="G428" s="24">
        <f t="shared" si="83"/>
        <v>0.03</v>
      </c>
      <c r="H428" s="719"/>
      <c r="I428" s="24">
        <f t="shared" si="84"/>
        <v>0.02</v>
      </c>
      <c r="J428" s="719"/>
      <c r="K428" s="24">
        <f t="shared" si="85"/>
        <v>1</v>
      </c>
      <c r="L428" s="719"/>
      <c r="M428" s="24">
        <f t="shared" si="86"/>
        <v>1</v>
      </c>
      <c r="N428" s="719"/>
      <c r="O428" s="24">
        <f t="shared" si="87"/>
        <v>1</v>
      </c>
      <c r="P428" s="719"/>
      <c r="Q428" s="24">
        <f t="shared" si="88"/>
        <v>0</v>
      </c>
      <c r="R428" s="715">
        <f t="shared" si="89"/>
        <v>0</v>
      </c>
      <c r="S428" s="361">
        <f t="shared" si="90"/>
        <v>0</v>
      </c>
      <c r="T428" s="799">
        <f>剩余房源售价清单!I407</f>
        <v>0</v>
      </c>
      <c r="U428" s="799" t="e">
        <f t="shared" si="80"/>
        <v>#DIV/0!</v>
      </c>
    </row>
    <row r="429" spans="1:21">
      <c r="A429" s="159"/>
      <c r="B429" s="59"/>
      <c r="C429" s="24">
        <f t="shared" si="81"/>
        <v>1</v>
      </c>
      <c r="D429" s="719"/>
      <c r="E429" s="24">
        <f t="shared" si="82"/>
        <v>0</v>
      </c>
      <c r="F429" s="719"/>
      <c r="G429" s="24">
        <f t="shared" si="83"/>
        <v>0.03</v>
      </c>
      <c r="H429" s="719"/>
      <c r="I429" s="24">
        <f t="shared" si="84"/>
        <v>0.02</v>
      </c>
      <c r="J429" s="719"/>
      <c r="K429" s="24">
        <f t="shared" si="85"/>
        <v>1</v>
      </c>
      <c r="L429" s="719"/>
      <c r="M429" s="24">
        <f t="shared" si="86"/>
        <v>1</v>
      </c>
      <c r="N429" s="719"/>
      <c r="O429" s="24">
        <f t="shared" si="87"/>
        <v>1</v>
      </c>
      <c r="P429" s="719"/>
      <c r="Q429" s="24">
        <f t="shared" si="88"/>
        <v>0</v>
      </c>
      <c r="R429" s="715">
        <f t="shared" si="89"/>
        <v>0</v>
      </c>
      <c r="S429" s="361">
        <f t="shared" si="90"/>
        <v>0</v>
      </c>
      <c r="T429" s="799">
        <f>剩余房源售价清单!I408</f>
        <v>0</v>
      </c>
      <c r="U429" s="799" t="e">
        <f t="shared" si="80"/>
        <v>#DIV/0!</v>
      </c>
    </row>
    <row r="430" spans="1:21">
      <c r="A430" s="159"/>
      <c r="B430" s="59"/>
      <c r="C430" s="24">
        <f t="shared" si="81"/>
        <v>1</v>
      </c>
      <c r="D430" s="719"/>
      <c r="E430" s="24">
        <f t="shared" si="82"/>
        <v>0</v>
      </c>
      <c r="F430" s="719"/>
      <c r="G430" s="24">
        <f t="shared" si="83"/>
        <v>0.03</v>
      </c>
      <c r="H430" s="719"/>
      <c r="I430" s="24">
        <f t="shared" si="84"/>
        <v>0.02</v>
      </c>
      <c r="J430" s="719"/>
      <c r="K430" s="24">
        <f t="shared" si="85"/>
        <v>1</v>
      </c>
      <c r="L430" s="719"/>
      <c r="M430" s="24">
        <f t="shared" si="86"/>
        <v>1</v>
      </c>
      <c r="N430" s="719"/>
      <c r="O430" s="24">
        <f t="shared" si="87"/>
        <v>1</v>
      </c>
      <c r="P430" s="719"/>
      <c r="Q430" s="24">
        <f t="shared" si="88"/>
        <v>0</v>
      </c>
      <c r="R430" s="715">
        <f t="shared" si="89"/>
        <v>0</v>
      </c>
      <c r="S430" s="361">
        <f t="shared" si="90"/>
        <v>0</v>
      </c>
      <c r="T430" s="799">
        <f>剩余房源售价清单!I409</f>
        <v>0</v>
      </c>
      <c r="U430" s="799" t="e">
        <f t="shared" si="80"/>
        <v>#DIV/0!</v>
      </c>
    </row>
    <row r="431" spans="1:21">
      <c r="A431" s="159"/>
      <c r="B431" s="59"/>
      <c r="C431" s="24">
        <f t="shared" si="81"/>
        <v>1</v>
      </c>
      <c r="D431" s="719"/>
      <c r="E431" s="24">
        <f t="shared" si="82"/>
        <v>0</v>
      </c>
      <c r="F431" s="719"/>
      <c r="G431" s="24">
        <f t="shared" si="83"/>
        <v>0.03</v>
      </c>
      <c r="H431" s="719"/>
      <c r="I431" s="24">
        <f t="shared" si="84"/>
        <v>0.02</v>
      </c>
      <c r="J431" s="719"/>
      <c r="K431" s="24">
        <f t="shared" si="85"/>
        <v>1</v>
      </c>
      <c r="L431" s="719"/>
      <c r="M431" s="24">
        <f t="shared" si="86"/>
        <v>1</v>
      </c>
      <c r="N431" s="719"/>
      <c r="O431" s="24">
        <f t="shared" si="87"/>
        <v>1</v>
      </c>
      <c r="P431" s="719"/>
      <c r="Q431" s="24">
        <f t="shared" si="88"/>
        <v>0</v>
      </c>
      <c r="R431" s="715">
        <f t="shared" si="89"/>
        <v>0</v>
      </c>
      <c r="S431" s="361">
        <f t="shared" si="90"/>
        <v>0</v>
      </c>
      <c r="T431" s="799">
        <f>剩余房源售价清单!I410</f>
        <v>0</v>
      </c>
      <c r="U431" s="799" t="e">
        <f t="shared" si="80"/>
        <v>#DIV/0!</v>
      </c>
    </row>
    <row r="432" spans="1:21">
      <c r="A432" s="159"/>
      <c r="B432" s="59"/>
      <c r="C432" s="24">
        <f t="shared" si="81"/>
        <v>1</v>
      </c>
      <c r="D432" s="719"/>
      <c r="E432" s="24">
        <f t="shared" si="82"/>
        <v>0</v>
      </c>
      <c r="F432" s="719"/>
      <c r="G432" s="24">
        <f t="shared" si="83"/>
        <v>0.03</v>
      </c>
      <c r="H432" s="719"/>
      <c r="I432" s="24">
        <f t="shared" si="84"/>
        <v>0.02</v>
      </c>
      <c r="J432" s="719"/>
      <c r="K432" s="24">
        <f t="shared" si="85"/>
        <v>1</v>
      </c>
      <c r="L432" s="719"/>
      <c r="M432" s="24">
        <f t="shared" si="86"/>
        <v>1</v>
      </c>
      <c r="N432" s="719"/>
      <c r="O432" s="24">
        <f t="shared" si="87"/>
        <v>1</v>
      </c>
      <c r="P432" s="719"/>
      <c r="Q432" s="24">
        <f t="shared" si="88"/>
        <v>0</v>
      </c>
      <c r="R432" s="715">
        <f t="shared" si="89"/>
        <v>0</v>
      </c>
      <c r="S432" s="361">
        <f t="shared" si="90"/>
        <v>0</v>
      </c>
      <c r="T432" s="799">
        <f>剩余房源售价清单!I411</f>
        <v>0</v>
      </c>
      <c r="U432" s="799" t="e">
        <f t="shared" si="80"/>
        <v>#DIV/0!</v>
      </c>
    </row>
    <row r="433" spans="1:21">
      <c r="A433" s="159"/>
      <c r="B433" s="59"/>
      <c r="C433" s="24">
        <f t="shared" si="81"/>
        <v>1</v>
      </c>
      <c r="D433" s="719"/>
      <c r="E433" s="24">
        <f t="shared" si="82"/>
        <v>0</v>
      </c>
      <c r="F433" s="719"/>
      <c r="G433" s="24">
        <f t="shared" si="83"/>
        <v>0.03</v>
      </c>
      <c r="H433" s="719"/>
      <c r="I433" s="24">
        <f t="shared" si="84"/>
        <v>0.02</v>
      </c>
      <c r="J433" s="719"/>
      <c r="K433" s="24">
        <f t="shared" si="85"/>
        <v>1</v>
      </c>
      <c r="L433" s="719"/>
      <c r="M433" s="24">
        <f t="shared" si="86"/>
        <v>1</v>
      </c>
      <c r="N433" s="719"/>
      <c r="O433" s="24">
        <f t="shared" si="87"/>
        <v>1</v>
      </c>
      <c r="P433" s="719"/>
      <c r="Q433" s="24">
        <f t="shared" si="88"/>
        <v>0</v>
      </c>
      <c r="R433" s="715">
        <f t="shared" si="89"/>
        <v>0</v>
      </c>
      <c r="S433" s="361">
        <f t="shared" si="90"/>
        <v>0</v>
      </c>
      <c r="T433" s="799">
        <f>剩余房源售价清单!I412</f>
        <v>0</v>
      </c>
      <c r="U433" s="799" t="e">
        <f t="shared" si="80"/>
        <v>#DIV/0!</v>
      </c>
    </row>
    <row r="434" spans="1:21">
      <c r="A434" s="159"/>
      <c r="B434" s="59"/>
      <c r="C434" s="24">
        <f t="shared" si="81"/>
        <v>1</v>
      </c>
      <c r="D434" s="719"/>
      <c r="E434" s="24">
        <f t="shared" si="82"/>
        <v>0</v>
      </c>
      <c r="F434" s="719"/>
      <c r="G434" s="24">
        <f t="shared" si="83"/>
        <v>0.03</v>
      </c>
      <c r="H434" s="719"/>
      <c r="I434" s="24">
        <f t="shared" si="84"/>
        <v>0.02</v>
      </c>
      <c r="J434" s="719"/>
      <c r="K434" s="24">
        <f t="shared" si="85"/>
        <v>1</v>
      </c>
      <c r="L434" s="719"/>
      <c r="M434" s="24">
        <f t="shared" si="86"/>
        <v>1</v>
      </c>
      <c r="N434" s="719"/>
      <c r="O434" s="24">
        <f t="shared" si="87"/>
        <v>1</v>
      </c>
      <c r="P434" s="719"/>
      <c r="Q434" s="24">
        <f t="shared" si="88"/>
        <v>0</v>
      </c>
      <c r="R434" s="715">
        <f t="shared" si="89"/>
        <v>0</v>
      </c>
      <c r="S434" s="361">
        <f t="shared" si="90"/>
        <v>0</v>
      </c>
      <c r="T434" s="799">
        <f>剩余房源售价清单!I413</f>
        <v>0</v>
      </c>
      <c r="U434" s="799" t="e">
        <f t="shared" si="80"/>
        <v>#DIV/0!</v>
      </c>
    </row>
    <row r="435" spans="1:21">
      <c r="A435" s="159"/>
      <c r="B435" s="59"/>
      <c r="C435" s="24">
        <f t="shared" si="81"/>
        <v>1</v>
      </c>
      <c r="D435" s="719"/>
      <c r="E435" s="24">
        <f t="shared" si="82"/>
        <v>0</v>
      </c>
      <c r="F435" s="719"/>
      <c r="G435" s="24">
        <f t="shared" si="83"/>
        <v>0.03</v>
      </c>
      <c r="H435" s="719"/>
      <c r="I435" s="24">
        <f t="shared" si="84"/>
        <v>0.02</v>
      </c>
      <c r="J435" s="719"/>
      <c r="K435" s="24">
        <f t="shared" si="85"/>
        <v>1</v>
      </c>
      <c r="L435" s="719"/>
      <c r="M435" s="24">
        <f t="shared" si="86"/>
        <v>1</v>
      </c>
      <c r="N435" s="719"/>
      <c r="O435" s="24">
        <f t="shared" si="87"/>
        <v>1</v>
      </c>
      <c r="P435" s="719"/>
      <c r="Q435" s="24">
        <f t="shared" si="88"/>
        <v>0</v>
      </c>
      <c r="R435" s="715">
        <f t="shared" si="89"/>
        <v>0</v>
      </c>
      <c r="S435" s="361">
        <f t="shared" si="90"/>
        <v>0</v>
      </c>
      <c r="T435" s="799">
        <f>剩余房源售价清单!I414</f>
        <v>0</v>
      </c>
      <c r="U435" s="799" t="e">
        <f t="shared" si="80"/>
        <v>#DIV/0!</v>
      </c>
    </row>
    <row r="436" spans="1:21">
      <c r="A436" s="159"/>
      <c r="B436" s="59"/>
      <c r="C436" s="24">
        <f t="shared" si="81"/>
        <v>1</v>
      </c>
      <c r="D436" s="719"/>
      <c r="E436" s="24">
        <f t="shared" si="82"/>
        <v>0</v>
      </c>
      <c r="F436" s="719"/>
      <c r="G436" s="24">
        <f t="shared" si="83"/>
        <v>0.03</v>
      </c>
      <c r="H436" s="719"/>
      <c r="I436" s="24">
        <f t="shared" si="84"/>
        <v>0.02</v>
      </c>
      <c r="J436" s="719"/>
      <c r="K436" s="24">
        <f t="shared" si="85"/>
        <v>1</v>
      </c>
      <c r="L436" s="719"/>
      <c r="M436" s="24">
        <f t="shared" si="86"/>
        <v>1</v>
      </c>
      <c r="N436" s="719"/>
      <c r="O436" s="24">
        <f t="shared" si="87"/>
        <v>1</v>
      </c>
      <c r="P436" s="719"/>
      <c r="Q436" s="24">
        <f t="shared" si="88"/>
        <v>0</v>
      </c>
      <c r="R436" s="715">
        <f t="shared" si="89"/>
        <v>0</v>
      </c>
      <c r="S436" s="361">
        <f t="shared" si="90"/>
        <v>0</v>
      </c>
      <c r="T436" s="799">
        <f>剩余房源售价清单!I415</f>
        <v>0</v>
      </c>
      <c r="U436" s="799" t="e">
        <f t="shared" si="80"/>
        <v>#DIV/0!</v>
      </c>
    </row>
    <row r="437" spans="1:21">
      <c r="A437" s="159"/>
      <c r="B437" s="59"/>
      <c r="C437" s="24">
        <f t="shared" si="81"/>
        <v>1</v>
      </c>
      <c r="D437" s="719"/>
      <c r="E437" s="24">
        <f t="shared" si="82"/>
        <v>0</v>
      </c>
      <c r="F437" s="719"/>
      <c r="G437" s="24">
        <f t="shared" si="83"/>
        <v>0.03</v>
      </c>
      <c r="H437" s="719"/>
      <c r="I437" s="24">
        <f t="shared" si="84"/>
        <v>0.02</v>
      </c>
      <c r="J437" s="719"/>
      <c r="K437" s="24">
        <f t="shared" si="85"/>
        <v>1</v>
      </c>
      <c r="L437" s="719"/>
      <c r="M437" s="24">
        <f t="shared" si="86"/>
        <v>1</v>
      </c>
      <c r="N437" s="719"/>
      <c r="O437" s="24">
        <f t="shared" si="87"/>
        <v>1</v>
      </c>
      <c r="P437" s="719"/>
      <c r="Q437" s="24">
        <f t="shared" si="88"/>
        <v>0</v>
      </c>
      <c r="R437" s="715">
        <f t="shared" si="89"/>
        <v>0</v>
      </c>
      <c r="S437" s="361">
        <f t="shared" si="90"/>
        <v>0</v>
      </c>
      <c r="T437" s="799">
        <f>剩余房源售价清单!I416</f>
        <v>0</v>
      </c>
      <c r="U437" s="799" t="e">
        <f t="shared" si="80"/>
        <v>#DIV/0!</v>
      </c>
    </row>
    <row r="438" spans="1:21">
      <c r="A438" s="159"/>
      <c r="B438" s="59"/>
      <c r="C438" s="24">
        <f t="shared" si="81"/>
        <v>1</v>
      </c>
      <c r="D438" s="719"/>
      <c r="E438" s="24">
        <f t="shared" si="82"/>
        <v>0</v>
      </c>
      <c r="F438" s="719"/>
      <c r="G438" s="24">
        <f t="shared" si="83"/>
        <v>0.03</v>
      </c>
      <c r="H438" s="719"/>
      <c r="I438" s="24">
        <f t="shared" si="84"/>
        <v>0.02</v>
      </c>
      <c r="J438" s="719"/>
      <c r="K438" s="24">
        <f t="shared" si="85"/>
        <v>1</v>
      </c>
      <c r="L438" s="719"/>
      <c r="M438" s="24">
        <f t="shared" si="86"/>
        <v>1</v>
      </c>
      <c r="N438" s="719"/>
      <c r="O438" s="24">
        <f t="shared" si="87"/>
        <v>1</v>
      </c>
      <c r="P438" s="719"/>
      <c r="Q438" s="24">
        <f t="shared" si="88"/>
        <v>0</v>
      </c>
      <c r="R438" s="715">
        <f t="shared" si="89"/>
        <v>0</v>
      </c>
      <c r="S438" s="361">
        <f t="shared" si="90"/>
        <v>0</v>
      </c>
      <c r="T438" s="799">
        <f>剩余房源售价清单!I417</f>
        <v>0</v>
      </c>
      <c r="U438" s="799" t="e">
        <f t="shared" si="80"/>
        <v>#DIV/0!</v>
      </c>
    </row>
    <row r="439" spans="1:21">
      <c r="A439" s="159"/>
      <c r="B439" s="59"/>
      <c r="C439" s="24">
        <f t="shared" si="81"/>
        <v>1</v>
      </c>
      <c r="D439" s="719"/>
      <c r="E439" s="24">
        <f t="shared" si="82"/>
        <v>0</v>
      </c>
      <c r="F439" s="719"/>
      <c r="G439" s="24">
        <f t="shared" si="83"/>
        <v>0.03</v>
      </c>
      <c r="H439" s="719"/>
      <c r="I439" s="24">
        <f t="shared" si="84"/>
        <v>0.02</v>
      </c>
      <c r="J439" s="719"/>
      <c r="K439" s="24">
        <f t="shared" si="85"/>
        <v>1</v>
      </c>
      <c r="L439" s="719"/>
      <c r="M439" s="24">
        <f t="shared" si="86"/>
        <v>1</v>
      </c>
      <c r="N439" s="719"/>
      <c r="O439" s="24">
        <f t="shared" si="87"/>
        <v>1</v>
      </c>
      <c r="P439" s="719"/>
      <c r="Q439" s="24">
        <f t="shared" si="88"/>
        <v>0</v>
      </c>
      <c r="R439" s="715">
        <f t="shared" si="89"/>
        <v>0</v>
      </c>
      <c r="S439" s="361">
        <f t="shared" si="90"/>
        <v>0</v>
      </c>
      <c r="T439" s="799">
        <f>剩余房源售价清单!I418</f>
        <v>0</v>
      </c>
      <c r="U439" s="799" t="e">
        <f t="shared" si="80"/>
        <v>#DIV/0!</v>
      </c>
    </row>
    <row r="440" spans="1:21">
      <c r="A440" s="159"/>
      <c r="B440" s="59"/>
      <c r="C440" s="24">
        <f t="shared" si="81"/>
        <v>1</v>
      </c>
      <c r="D440" s="719"/>
      <c r="E440" s="24">
        <f t="shared" si="82"/>
        <v>0</v>
      </c>
      <c r="F440" s="719"/>
      <c r="G440" s="24">
        <f t="shared" si="83"/>
        <v>0.03</v>
      </c>
      <c r="H440" s="719"/>
      <c r="I440" s="24">
        <f t="shared" si="84"/>
        <v>0.02</v>
      </c>
      <c r="J440" s="719"/>
      <c r="K440" s="24">
        <f t="shared" si="85"/>
        <v>1</v>
      </c>
      <c r="L440" s="719"/>
      <c r="M440" s="24">
        <f t="shared" si="86"/>
        <v>1</v>
      </c>
      <c r="N440" s="719"/>
      <c r="O440" s="24">
        <f t="shared" si="87"/>
        <v>1</v>
      </c>
      <c r="P440" s="719"/>
      <c r="Q440" s="24">
        <f t="shared" si="88"/>
        <v>0</v>
      </c>
      <c r="R440" s="715">
        <f t="shared" si="89"/>
        <v>0</v>
      </c>
      <c r="S440" s="361">
        <f t="shared" si="90"/>
        <v>0</v>
      </c>
      <c r="T440" s="799">
        <f>剩余房源售价清单!I419</f>
        <v>0</v>
      </c>
      <c r="U440" s="799" t="e">
        <f t="shared" si="80"/>
        <v>#DIV/0!</v>
      </c>
    </row>
    <row r="441" spans="1:21">
      <c r="A441" s="159"/>
      <c r="B441" s="59"/>
      <c r="C441" s="24">
        <f t="shared" si="81"/>
        <v>1</v>
      </c>
      <c r="D441" s="719"/>
      <c r="E441" s="24">
        <f t="shared" si="82"/>
        <v>0</v>
      </c>
      <c r="F441" s="719"/>
      <c r="G441" s="24">
        <f t="shared" si="83"/>
        <v>0.03</v>
      </c>
      <c r="H441" s="719"/>
      <c r="I441" s="24">
        <f t="shared" si="84"/>
        <v>0.02</v>
      </c>
      <c r="J441" s="719"/>
      <c r="K441" s="24">
        <f t="shared" si="85"/>
        <v>1</v>
      </c>
      <c r="L441" s="719"/>
      <c r="M441" s="24">
        <f t="shared" si="86"/>
        <v>1</v>
      </c>
      <c r="N441" s="719"/>
      <c r="O441" s="24">
        <f t="shared" si="87"/>
        <v>1</v>
      </c>
      <c r="P441" s="719"/>
      <c r="Q441" s="24">
        <f t="shared" si="88"/>
        <v>0</v>
      </c>
      <c r="R441" s="715">
        <f t="shared" si="89"/>
        <v>0</v>
      </c>
      <c r="S441" s="361">
        <f t="shared" si="90"/>
        <v>0</v>
      </c>
      <c r="T441" s="799">
        <f>剩余房源售价清单!I420</f>
        <v>0</v>
      </c>
      <c r="U441" s="799" t="e">
        <f t="shared" si="80"/>
        <v>#DIV/0!</v>
      </c>
    </row>
    <row r="442" spans="1:21">
      <c r="A442" s="159"/>
      <c r="B442" s="59"/>
      <c r="C442" s="24">
        <f t="shared" si="81"/>
        <v>1</v>
      </c>
      <c r="D442" s="719"/>
      <c r="E442" s="24">
        <f t="shared" si="82"/>
        <v>0</v>
      </c>
      <c r="F442" s="719"/>
      <c r="G442" s="24">
        <f t="shared" si="83"/>
        <v>0.03</v>
      </c>
      <c r="H442" s="719"/>
      <c r="I442" s="24">
        <f t="shared" si="84"/>
        <v>0.02</v>
      </c>
      <c r="J442" s="719"/>
      <c r="K442" s="24">
        <f t="shared" si="85"/>
        <v>1</v>
      </c>
      <c r="L442" s="719"/>
      <c r="M442" s="24">
        <f t="shared" si="86"/>
        <v>1</v>
      </c>
      <c r="N442" s="719"/>
      <c r="O442" s="24">
        <f t="shared" si="87"/>
        <v>1</v>
      </c>
      <c r="P442" s="719"/>
      <c r="Q442" s="24">
        <f t="shared" si="88"/>
        <v>0</v>
      </c>
      <c r="R442" s="715">
        <f t="shared" si="89"/>
        <v>0</v>
      </c>
      <c r="S442" s="361">
        <f t="shared" si="90"/>
        <v>0</v>
      </c>
      <c r="T442" s="799">
        <f>剩余房源售价清单!I421</f>
        <v>0</v>
      </c>
      <c r="U442" s="799" t="e">
        <f t="shared" si="80"/>
        <v>#DIV/0!</v>
      </c>
    </row>
    <row r="443" spans="1:21">
      <c r="A443" s="159"/>
      <c r="B443" s="59"/>
      <c r="C443" s="24">
        <f t="shared" si="81"/>
        <v>1</v>
      </c>
      <c r="D443" s="719"/>
      <c r="E443" s="24">
        <f t="shared" si="82"/>
        <v>0</v>
      </c>
      <c r="F443" s="719"/>
      <c r="G443" s="24">
        <f t="shared" si="83"/>
        <v>0.03</v>
      </c>
      <c r="H443" s="719"/>
      <c r="I443" s="24">
        <f t="shared" si="84"/>
        <v>0.02</v>
      </c>
      <c r="J443" s="719"/>
      <c r="K443" s="24">
        <f t="shared" si="85"/>
        <v>1</v>
      </c>
      <c r="L443" s="719"/>
      <c r="M443" s="24">
        <f t="shared" si="86"/>
        <v>1</v>
      </c>
      <c r="N443" s="719"/>
      <c r="O443" s="24">
        <f t="shared" si="87"/>
        <v>1</v>
      </c>
      <c r="P443" s="719"/>
      <c r="Q443" s="24">
        <f t="shared" si="88"/>
        <v>0</v>
      </c>
      <c r="R443" s="715">
        <f t="shared" si="89"/>
        <v>0</v>
      </c>
      <c r="S443" s="361">
        <f t="shared" si="90"/>
        <v>0</v>
      </c>
      <c r="T443" s="799">
        <f>剩余房源售价清单!I422</f>
        <v>0</v>
      </c>
      <c r="U443" s="799" t="e">
        <f t="shared" si="80"/>
        <v>#DIV/0!</v>
      </c>
    </row>
    <row r="444" spans="1:21">
      <c r="A444" s="159"/>
      <c r="B444" s="59"/>
      <c r="C444" s="24">
        <f t="shared" si="81"/>
        <v>1</v>
      </c>
      <c r="D444" s="719"/>
      <c r="E444" s="24">
        <f t="shared" si="82"/>
        <v>0</v>
      </c>
      <c r="F444" s="719"/>
      <c r="G444" s="24">
        <f t="shared" si="83"/>
        <v>0.03</v>
      </c>
      <c r="H444" s="719"/>
      <c r="I444" s="24">
        <f t="shared" si="84"/>
        <v>0.02</v>
      </c>
      <c r="J444" s="719"/>
      <c r="K444" s="24">
        <f t="shared" si="85"/>
        <v>1</v>
      </c>
      <c r="L444" s="719"/>
      <c r="M444" s="24">
        <f t="shared" si="86"/>
        <v>1</v>
      </c>
      <c r="N444" s="719"/>
      <c r="O444" s="24">
        <f t="shared" si="87"/>
        <v>1</v>
      </c>
      <c r="P444" s="719"/>
      <c r="Q444" s="24">
        <f t="shared" si="88"/>
        <v>0</v>
      </c>
      <c r="R444" s="715">
        <f t="shared" si="89"/>
        <v>0</v>
      </c>
      <c r="S444" s="361">
        <f t="shared" si="90"/>
        <v>0</v>
      </c>
      <c r="T444" s="799">
        <f>剩余房源售价清单!I423</f>
        <v>0</v>
      </c>
      <c r="U444" s="799" t="e">
        <f t="shared" si="80"/>
        <v>#DIV/0!</v>
      </c>
    </row>
    <row r="445" spans="1:21">
      <c r="A445" s="159"/>
      <c r="B445" s="59"/>
      <c r="C445" s="24">
        <f t="shared" si="81"/>
        <v>1</v>
      </c>
      <c r="D445" s="719"/>
      <c r="E445" s="24">
        <f t="shared" si="82"/>
        <v>0</v>
      </c>
      <c r="F445" s="719"/>
      <c r="G445" s="24">
        <f t="shared" si="83"/>
        <v>0.03</v>
      </c>
      <c r="H445" s="719"/>
      <c r="I445" s="24">
        <f t="shared" si="84"/>
        <v>0.02</v>
      </c>
      <c r="J445" s="719"/>
      <c r="K445" s="24">
        <f t="shared" si="85"/>
        <v>1</v>
      </c>
      <c r="L445" s="719"/>
      <c r="M445" s="24">
        <f t="shared" si="86"/>
        <v>1</v>
      </c>
      <c r="N445" s="719"/>
      <c r="O445" s="24">
        <f t="shared" si="87"/>
        <v>1</v>
      </c>
      <c r="P445" s="719"/>
      <c r="Q445" s="24">
        <f t="shared" si="88"/>
        <v>0</v>
      </c>
      <c r="R445" s="715">
        <f t="shared" si="89"/>
        <v>0</v>
      </c>
      <c r="S445" s="361">
        <f t="shared" si="90"/>
        <v>0</v>
      </c>
      <c r="T445" s="799">
        <f>剩余房源售价清单!I424</f>
        <v>0</v>
      </c>
      <c r="U445" s="799" t="e">
        <f t="shared" si="80"/>
        <v>#DIV/0!</v>
      </c>
    </row>
    <row r="446" spans="1:21">
      <c r="A446" s="159"/>
      <c r="B446" s="59"/>
      <c r="C446" s="24">
        <f t="shared" si="81"/>
        <v>1</v>
      </c>
      <c r="D446" s="719"/>
      <c r="E446" s="24">
        <f t="shared" si="82"/>
        <v>0</v>
      </c>
      <c r="F446" s="719"/>
      <c r="G446" s="24">
        <f t="shared" si="83"/>
        <v>0.03</v>
      </c>
      <c r="H446" s="719"/>
      <c r="I446" s="24">
        <f t="shared" si="84"/>
        <v>0.02</v>
      </c>
      <c r="J446" s="719"/>
      <c r="K446" s="24">
        <f t="shared" si="85"/>
        <v>1</v>
      </c>
      <c r="L446" s="719"/>
      <c r="M446" s="24">
        <f t="shared" si="86"/>
        <v>1</v>
      </c>
      <c r="N446" s="719"/>
      <c r="O446" s="24">
        <f t="shared" si="87"/>
        <v>1</v>
      </c>
      <c r="P446" s="719"/>
      <c r="Q446" s="24">
        <f t="shared" si="88"/>
        <v>0</v>
      </c>
      <c r="R446" s="715">
        <f t="shared" si="89"/>
        <v>0</v>
      </c>
      <c r="S446" s="361">
        <f t="shared" si="90"/>
        <v>0</v>
      </c>
      <c r="T446" s="799">
        <f>剩余房源售价清单!I425</f>
        <v>0</v>
      </c>
      <c r="U446" s="799" t="e">
        <f t="shared" si="80"/>
        <v>#DIV/0!</v>
      </c>
    </row>
    <row r="447" spans="1:21">
      <c r="A447" s="159"/>
      <c r="B447" s="59"/>
      <c r="C447" s="24">
        <f t="shared" si="81"/>
        <v>1</v>
      </c>
      <c r="D447" s="719"/>
      <c r="E447" s="24">
        <f t="shared" si="82"/>
        <v>0</v>
      </c>
      <c r="F447" s="719"/>
      <c r="G447" s="24">
        <f t="shared" si="83"/>
        <v>0.03</v>
      </c>
      <c r="H447" s="719"/>
      <c r="I447" s="24">
        <f t="shared" si="84"/>
        <v>0.02</v>
      </c>
      <c r="J447" s="719"/>
      <c r="K447" s="24">
        <f t="shared" si="85"/>
        <v>1</v>
      </c>
      <c r="L447" s="719"/>
      <c r="M447" s="24">
        <f t="shared" si="86"/>
        <v>1</v>
      </c>
      <c r="N447" s="719"/>
      <c r="O447" s="24">
        <f t="shared" si="87"/>
        <v>1</v>
      </c>
      <c r="P447" s="719"/>
      <c r="Q447" s="24">
        <f t="shared" si="88"/>
        <v>0</v>
      </c>
      <c r="R447" s="715">
        <f t="shared" si="89"/>
        <v>0</v>
      </c>
      <c r="S447" s="361">
        <f t="shared" si="90"/>
        <v>0</v>
      </c>
      <c r="T447" s="799">
        <f>剩余房源售价清单!I426</f>
        <v>0</v>
      </c>
      <c r="U447" s="799" t="e">
        <f t="shared" si="80"/>
        <v>#DIV/0!</v>
      </c>
    </row>
    <row r="448" spans="1:21">
      <c r="A448" s="159"/>
      <c r="B448" s="59"/>
      <c r="C448" s="24">
        <f t="shared" si="81"/>
        <v>1</v>
      </c>
      <c r="D448" s="719"/>
      <c r="E448" s="24">
        <f t="shared" si="82"/>
        <v>0</v>
      </c>
      <c r="F448" s="719"/>
      <c r="G448" s="24">
        <f t="shared" si="83"/>
        <v>0.03</v>
      </c>
      <c r="H448" s="719"/>
      <c r="I448" s="24">
        <f t="shared" si="84"/>
        <v>0.02</v>
      </c>
      <c r="J448" s="719"/>
      <c r="K448" s="24">
        <f t="shared" si="85"/>
        <v>1</v>
      </c>
      <c r="L448" s="719"/>
      <c r="M448" s="24">
        <f t="shared" si="86"/>
        <v>1</v>
      </c>
      <c r="N448" s="719"/>
      <c r="O448" s="24">
        <f t="shared" si="87"/>
        <v>1</v>
      </c>
      <c r="P448" s="719"/>
      <c r="Q448" s="24">
        <f t="shared" si="88"/>
        <v>0</v>
      </c>
      <c r="R448" s="715">
        <f t="shared" si="89"/>
        <v>0</v>
      </c>
      <c r="S448" s="361">
        <f t="shared" si="90"/>
        <v>0</v>
      </c>
      <c r="T448" s="799">
        <f>剩余房源售价清单!I427</f>
        <v>0</v>
      </c>
      <c r="U448" s="799" t="e">
        <f t="shared" si="80"/>
        <v>#DIV/0!</v>
      </c>
    </row>
    <row r="449" spans="1:21">
      <c r="A449" s="159"/>
      <c r="B449" s="59"/>
      <c r="C449" s="24">
        <f t="shared" si="81"/>
        <v>1</v>
      </c>
      <c r="D449" s="719"/>
      <c r="E449" s="24">
        <f t="shared" si="82"/>
        <v>0</v>
      </c>
      <c r="F449" s="719"/>
      <c r="G449" s="24">
        <f t="shared" si="83"/>
        <v>0.03</v>
      </c>
      <c r="H449" s="719"/>
      <c r="I449" s="24">
        <f t="shared" si="84"/>
        <v>0.02</v>
      </c>
      <c r="J449" s="719"/>
      <c r="K449" s="24">
        <f t="shared" si="85"/>
        <v>1</v>
      </c>
      <c r="L449" s="719"/>
      <c r="M449" s="24">
        <f t="shared" si="86"/>
        <v>1</v>
      </c>
      <c r="N449" s="719"/>
      <c r="O449" s="24">
        <f t="shared" si="87"/>
        <v>1</v>
      </c>
      <c r="P449" s="719"/>
      <c r="Q449" s="24">
        <f t="shared" si="88"/>
        <v>0</v>
      </c>
      <c r="R449" s="715">
        <f t="shared" si="89"/>
        <v>0</v>
      </c>
      <c r="S449" s="361">
        <f t="shared" si="90"/>
        <v>0</v>
      </c>
      <c r="T449" s="799">
        <f>剩余房源售价清单!I428</f>
        <v>0</v>
      </c>
      <c r="U449" s="799" t="e">
        <f t="shared" si="80"/>
        <v>#DIV/0!</v>
      </c>
    </row>
    <row r="450" spans="1:21">
      <c r="A450" s="159"/>
      <c r="B450" s="59"/>
      <c r="C450" s="24">
        <f t="shared" si="81"/>
        <v>1</v>
      </c>
      <c r="D450" s="719"/>
      <c r="E450" s="24">
        <f t="shared" si="82"/>
        <v>0</v>
      </c>
      <c r="F450" s="719"/>
      <c r="G450" s="24">
        <f t="shared" si="83"/>
        <v>0.03</v>
      </c>
      <c r="H450" s="719"/>
      <c r="I450" s="24">
        <f t="shared" si="84"/>
        <v>0.02</v>
      </c>
      <c r="J450" s="719"/>
      <c r="K450" s="24">
        <f t="shared" si="85"/>
        <v>1</v>
      </c>
      <c r="L450" s="719"/>
      <c r="M450" s="24">
        <f t="shared" si="86"/>
        <v>1</v>
      </c>
      <c r="N450" s="719"/>
      <c r="O450" s="24">
        <f t="shared" si="87"/>
        <v>1</v>
      </c>
      <c r="P450" s="719"/>
      <c r="Q450" s="24">
        <f t="shared" si="88"/>
        <v>0</v>
      </c>
      <c r="R450" s="715">
        <f t="shared" si="89"/>
        <v>0</v>
      </c>
      <c r="S450" s="361">
        <f t="shared" si="90"/>
        <v>0</v>
      </c>
      <c r="T450" s="799">
        <f>剩余房源售价清单!I429</f>
        <v>0</v>
      </c>
      <c r="U450" s="799" t="e">
        <f t="shared" si="80"/>
        <v>#DIV/0!</v>
      </c>
    </row>
    <row r="451" spans="1:21">
      <c r="A451" s="159"/>
      <c r="B451" s="59"/>
      <c r="C451" s="24">
        <f t="shared" si="81"/>
        <v>1</v>
      </c>
      <c r="D451" s="719"/>
      <c r="E451" s="24">
        <f t="shared" si="82"/>
        <v>0</v>
      </c>
      <c r="F451" s="719"/>
      <c r="G451" s="24">
        <f t="shared" si="83"/>
        <v>0.03</v>
      </c>
      <c r="H451" s="719"/>
      <c r="I451" s="24">
        <f t="shared" si="84"/>
        <v>0.02</v>
      </c>
      <c r="J451" s="719"/>
      <c r="K451" s="24">
        <f t="shared" si="85"/>
        <v>1</v>
      </c>
      <c r="L451" s="719"/>
      <c r="M451" s="24">
        <f t="shared" si="86"/>
        <v>1</v>
      </c>
      <c r="N451" s="719"/>
      <c r="O451" s="24">
        <f t="shared" si="87"/>
        <v>1</v>
      </c>
      <c r="P451" s="719"/>
      <c r="Q451" s="24">
        <f t="shared" si="88"/>
        <v>0</v>
      </c>
      <c r="R451" s="715">
        <f t="shared" si="89"/>
        <v>0</v>
      </c>
      <c r="S451" s="361">
        <f t="shared" si="90"/>
        <v>0</v>
      </c>
      <c r="T451" s="799">
        <f>剩余房源售价清单!I430</f>
        <v>0</v>
      </c>
      <c r="U451" s="799" t="e">
        <f t="shared" si="80"/>
        <v>#DIV/0!</v>
      </c>
    </row>
    <row r="452" spans="1:21">
      <c r="A452" s="159"/>
      <c r="B452" s="59"/>
      <c r="C452" s="24">
        <f t="shared" si="81"/>
        <v>1</v>
      </c>
      <c r="D452" s="719"/>
      <c r="E452" s="24">
        <f t="shared" si="82"/>
        <v>0</v>
      </c>
      <c r="F452" s="719"/>
      <c r="G452" s="24">
        <f t="shared" si="83"/>
        <v>0.03</v>
      </c>
      <c r="H452" s="719"/>
      <c r="I452" s="24">
        <f t="shared" si="84"/>
        <v>0.02</v>
      </c>
      <c r="J452" s="719"/>
      <c r="K452" s="24">
        <f t="shared" si="85"/>
        <v>1</v>
      </c>
      <c r="L452" s="719"/>
      <c r="M452" s="24">
        <f t="shared" si="86"/>
        <v>1</v>
      </c>
      <c r="N452" s="719"/>
      <c r="O452" s="24">
        <f t="shared" si="87"/>
        <v>1</v>
      </c>
      <c r="P452" s="719"/>
      <c r="Q452" s="24">
        <f t="shared" si="88"/>
        <v>0</v>
      </c>
      <c r="R452" s="715">
        <f t="shared" si="89"/>
        <v>0</v>
      </c>
      <c r="S452" s="361">
        <f t="shared" si="90"/>
        <v>0</v>
      </c>
      <c r="T452" s="799">
        <f>剩余房源售价清单!I431</f>
        <v>0</v>
      </c>
      <c r="U452" s="799" t="e">
        <f t="shared" si="80"/>
        <v>#DIV/0!</v>
      </c>
    </row>
    <row r="453" spans="1:21">
      <c r="A453" s="159"/>
      <c r="B453" s="59"/>
      <c r="C453" s="24">
        <f t="shared" si="81"/>
        <v>1</v>
      </c>
      <c r="D453" s="719"/>
      <c r="E453" s="24">
        <f t="shared" si="82"/>
        <v>0</v>
      </c>
      <c r="F453" s="719"/>
      <c r="G453" s="24">
        <f t="shared" si="83"/>
        <v>0.03</v>
      </c>
      <c r="H453" s="719"/>
      <c r="I453" s="24">
        <f t="shared" si="84"/>
        <v>0.02</v>
      </c>
      <c r="J453" s="719"/>
      <c r="K453" s="24">
        <f t="shared" si="85"/>
        <v>1</v>
      </c>
      <c r="L453" s="719"/>
      <c r="M453" s="24">
        <f t="shared" si="86"/>
        <v>1</v>
      </c>
      <c r="N453" s="719"/>
      <c r="O453" s="24">
        <f t="shared" si="87"/>
        <v>1</v>
      </c>
      <c r="P453" s="719"/>
      <c r="Q453" s="24">
        <f t="shared" si="88"/>
        <v>0</v>
      </c>
      <c r="R453" s="715">
        <f t="shared" si="89"/>
        <v>0</v>
      </c>
      <c r="S453" s="361">
        <f t="shared" si="90"/>
        <v>0</v>
      </c>
      <c r="T453" s="799">
        <f>剩余房源售价清单!I432</f>
        <v>0</v>
      </c>
      <c r="U453" s="799" t="e">
        <f t="shared" si="80"/>
        <v>#DIV/0!</v>
      </c>
    </row>
    <row r="454" spans="1:21">
      <c r="A454" s="159"/>
      <c r="B454" s="59"/>
      <c r="C454" s="24">
        <f t="shared" si="81"/>
        <v>1</v>
      </c>
      <c r="D454" s="719"/>
      <c r="E454" s="24">
        <f t="shared" si="82"/>
        <v>0</v>
      </c>
      <c r="F454" s="719"/>
      <c r="G454" s="24">
        <f t="shared" si="83"/>
        <v>0.03</v>
      </c>
      <c r="H454" s="719"/>
      <c r="I454" s="24">
        <f t="shared" si="84"/>
        <v>0.02</v>
      </c>
      <c r="J454" s="719"/>
      <c r="K454" s="24">
        <f t="shared" si="85"/>
        <v>1</v>
      </c>
      <c r="L454" s="719"/>
      <c r="M454" s="24">
        <f t="shared" si="86"/>
        <v>1</v>
      </c>
      <c r="N454" s="719"/>
      <c r="O454" s="24">
        <f t="shared" si="87"/>
        <v>1</v>
      </c>
      <c r="P454" s="719"/>
      <c r="Q454" s="24">
        <f t="shared" si="88"/>
        <v>0</v>
      </c>
      <c r="R454" s="715">
        <f t="shared" si="89"/>
        <v>0</v>
      </c>
      <c r="S454" s="361">
        <f t="shared" si="90"/>
        <v>0</v>
      </c>
      <c r="T454" s="799">
        <f>剩余房源售价清单!I433</f>
        <v>0</v>
      </c>
      <c r="U454" s="799" t="e">
        <f t="shared" si="80"/>
        <v>#DIV/0!</v>
      </c>
    </row>
    <row r="455" spans="1:21">
      <c r="A455" s="159"/>
      <c r="B455" s="59"/>
      <c r="C455" s="24">
        <f t="shared" si="81"/>
        <v>1</v>
      </c>
      <c r="D455" s="719"/>
      <c r="E455" s="24">
        <f t="shared" si="82"/>
        <v>0</v>
      </c>
      <c r="F455" s="719"/>
      <c r="G455" s="24">
        <f t="shared" si="83"/>
        <v>0.03</v>
      </c>
      <c r="H455" s="719"/>
      <c r="I455" s="24">
        <f t="shared" si="84"/>
        <v>0.02</v>
      </c>
      <c r="J455" s="719"/>
      <c r="K455" s="24">
        <f t="shared" si="85"/>
        <v>1</v>
      </c>
      <c r="L455" s="719"/>
      <c r="M455" s="24">
        <f t="shared" si="86"/>
        <v>1</v>
      </c>
      <c r="N455" s="719"/>
      <c r="O455" s="24">
        <f t="shared" si="87"/>
        <v>1</v>
      </c>
      <c r="P455" s="719"/>
      <c r="Q455" s="24">
        <f t="shared" si="88"/>
        <v>0</v>
      </c>
      <c r="R455" s="715">
        <f t="shared" si="89"/>
        <v>0</v>
      </c>
      <c r="S455" s="361">
        <f t="shared" si="90"/>
        <v>0</v>
      </c>
      <c r="T455" s="799">
        <f>剩余房源售价清单!I434</f>
        <v>0</v>
      </c>
      <c r="U455" s="799" t="e">
        <f t="shared" si="80"/>
        <v>#DIV/0!</v>
      </c>
    </row>
    <row r="456" spans="1:21">
      <c r="A456" s="159"/>
      <c r="B456" s="59"/>
      <c r="C456" s="24">
        <f t="shared" si="81"/>
        <v>1</v>
      </c>
      <c r="D456" s="719"/>
      <c r="E456" s="24">
        <f t="shared" si="82"/>
        <v>0</v>
      </c>
      <c r="F456" s="719"/>
      <c r="G456" s="24">
        <f t="shared" si="83"/>
        <v>0.03</v>
      </c>
      <c r="H456" s="719"/>
      <c r="I456" s="24">
        <f t="shared" si="84"/>
        <v>0.02</v>
      </c>
      <c r="J456" s="719"/>
      <c r="K456" s="24">
        <f t="shared" si="85"/>
        <v>1</v>
      </c>
      <c r="L456" s="719"/>
      <c r="M456" s="24">
        <f t="shared" si="86"/>
        <v>1</v>
      </c>
      <c r="N456" s="719"/>
      <c r="O456" s="24">
        <f t="shared" si="87"/>
        <v>1</v>
      </c>
      <c r="P456" s="719"/>
      <c r="Q456" s="24">
        <f t="shared" si="88"/>
        <v>0</v>
      </c>
      <c r="R456" s="715">
        <f t="shared" si="89"/>
        <v>0</v>
      </c>
      <c r="S456" s="361">
        <f t="shared" si="90"/>
        <v>0</v>
      </c>
      <c r="T456" s="799">
        <f>剩余房源售价清单!I435</f>
        <v>0</v>
      </c>
      <c r="U456" s="799" t="e">
        <f t="shared" si="80"/>
        <v>#DIV/0!</v>
      </c>
    </row>
    <row r="457" spans="1:21">
      <c r="A457" s="159"/>
      <c r="B457" s="59"/>
      <c r="C457" s="24">
        <f t="shared" si="81"/>
        <v>1</v>
      </c>
      <c r="D457" s="719"/>
      <c r="E457" s="24">
        <f t="shared" si="82"/>
        <v>0</v>
      </c>
      <c r="F457" s="719"/>
      <c r="G457" s="24">
        <f t="shared" si="83"/>
        <v>0.03</v>
      </c>
      <c r="H457" s="719"/>
      <c r="I457" s="24">
        <f t="shared" si="84"/>
        <v>0.02</v>
      </c>
      <c r="J457" s="719"/>
      <c r="K457" s="24">
        <f t="shared" si="85"/>
        <v>1</v>
      </c>
      <c r="L457" s="719"/>
      <c r="M457" s="24">
        <f t="shared" si="86"/>
        <v>1</v>
      </c>
      <c r="N457" s="719"/>
      <c r="O457" s="24">
        <f t="shared" si="87"/>
        <v>1</v>
      </c>
      <c r="P457" s="719"/>
      <c r="Q457" s="24">
        <f t="shared" si="88"/>
        <v>0</v>
      </c>
      <c r="R457" s="715">
        <f t="shared" si="89"/>
        <v>0</v>
      </c>
      <c r="S457" s="361">
        <f t="shared" si="90"/>
        <v>0</v>
      </c>
      <c r="T457" s="799">
        <f>剩余房源售价清单!I436</f>
        <v>0</v>
      </c>
      <c r="U457" s="799" t="e">
        <f t="shared" si="80"/>
        <v>#DIV/0!</v>
      </c>
    </row>
    <row r="458" spans="1:21">
      <c r="A458" s="159"/>
      <c r="B458" s="59"/>
      <c r="C458" s="24">
        <f t="shared" si="81"/>
        <v>1</v>
      </c>
      <c r="D458" s="719"/>
      <c r="E458" s="24">
        <f t="shared" si="82"/>
        <v>0</v>
      </c>
      <c r="F458" s="719"/>
      <c r="G458" s="24">
        <f t="shared" si="83"/>
        <v>0.03</v>
      </c>
      <c r="H458" s="719"/>
      <c r="I458" s="24">
        <f t="shared" si="84"/>
        <v>0.02</v>
      </c>
      <c r="J458" s="719"/>
      <c r="K458" s="24">
        <f t="shared" si="85"/>
        <v>1</v>
      </c>
      <c r="L458" s="719"/>
      <c r="M458" s="24">
        <f t="shared" si="86"/>
        <v>1</v>
      </c>
      <c r="N458" s="719"/>
      <c r="O458" s="24">
        <f t="shared" si="87"/>
        <v>1</v>
      </c>
      <c r="P458" s="719"/>
      <c r="Q458" s="24">
        <f t="shared" si="88"/>
        <v>0</v>
      </c>
      <c r="R458" s="715">
        <f t="shared" si="89"/>
        <v>0</v>
      </c>
      <c r="S458" s="361">
        <f t="shared" si="90"/>
        <v>0</v>
      </c>
      <c r="T458" s="799">
        <f>剩余房源售价清单!I437</f>
        <v>0</v>
      </c>
      <c r="U458" s="799" t="e">
        <f t="shared" si="80"/>
        <v>#DIV/0!</v>
      </c>
    </row>
    <row r="459" spans="1:21">
      <c r="A459" s="159"/>
      <c r="B459" s="59"/>
      <c r="C459" s="24">
        <f t="shared" si="81"/>
        <v>1</v>
      </c>
      <c r="D459" s="719"/>
      <c r="E459" s="24">
        <f t="shared" si="82"/>
        <v>0</v>
      </c>
      <c r="F459" s="719"/>
      <c r="G459" s="24">
        <f t="shared" si="83"/>
        <v>0.03</v>
      </c>
      <c r="H459" s="719"/>
      <c r="I459" s="24">
        <f t="shared" si="84"/>
        <v>0.02</v>
      </c>
      <c r="J459" s="719"/>
      <c r="K459" s="24">
        <f t="shared" si="85"/>
        <v>1</v>
      </c>
      <c r="L459" s="719"/>
      <c r="M459" s="24">
        <f t="shared" si="86"/>
        <v>1</v>
      </c>
      <c r="N459" s="719"/>
      <c r="O459" s="24">
        <f t="shared" si="87"/>
        <v>1</v>
      </c>
      <c r="P459" s="719"/>
      <c r="Q459" s="24">
        <f t="shared" si="88"/>
        <v>0</v>
      </c>
      <c r="R459" s="715">
        <f t="shared" si="89"/>
        <v>0</v>
      </c>
      <c r="S459" s="361">
        <f t="shared" si="90"/>
        <v>0</v>
      </c>
      <c r="T459" s="799">
        <f>剩余房源售价清单!I438</f>
        <v>0</v>
      </c>
      <c r="U459" s="799" t="e">
        <f t="shared" si="80"/>
        <v>#DIV/0!</v>
      </c>
    </row>
    <row r="460" spans="1:21">
      <c r="A460" s="159"/>
      <c r="B460" s="59"/>
      <c r="C460" s="24">
        <f t="shared" si="81"/>
        <v>1</v>
      </c>
      <c r="D460" s="719"/>
      <c r="E460" s="24">
        <f t="shared" si="82"/>
        <v>0</v>
      </c>
      <c r="F460" s="719"/>
      <c r="G460" s="24">
        <f t="shared" si="83"/>
        <v>0.03</v>
      </c>
      <c r="H460" s="719"/>
      <c r="I460" s="24">
        <f t="shared" si="84"/>
        <v>0.02</v>
      </c>
      <c r="J460" s="719"/>
      <c r="K460" s="24">
        <f t="shared" si="85"/>
        <v>1</v>
      </c>
      <c r="L460" s="719"/>
      <c r="M460" s="24">
        <f t="shared" si="86"/>
        <v>1</v>
      </c>
      <c r="N460" s="719"/>
      <c r="O460" s="24">
        <f t="shared" si="87"/>
        <v>1</v>
      </c>
      <c r="P460" s="719"/>
      <c r="Q460" s="24">
        <f t="shared" si="88"/>
        <v>0</v>
      </c>
      <c r="R460" s="715">
        <f t="shared" si="89"/>
        <v>0</v>
      </c>
      <c r="S460" s="361">
        <f t="shared" si="90"/>
        <v>0</v>
      </c>
      <c r="T460" s="799">
        <f>剩余房源售价清单!I439</f>
        <v>0</v>
      </c>
      <c r="U460" s="799" t="e">
        <f t="shared" si="80"/>
        <v>#DIV/0!</v>
      </c>
    </row>
    <row r="461" spans="1:21">
      <c r="A461" s="159"/>
      <c r="B461" s="59"/>
      <c r="C461" s="24">
        <f t="shared" si="81"/>
        <v>1</v>
      </c>
      <c r="D461" s="719"/>
      <c r="E461" s="24">
        <f t="shared" si="82"/>
        <v>0</v>
      </c>
      <c r="F461" s="719"/>
      <c r="G461" s="24">
        <f t="shared" si="83"/>
        <v>0.03</v>
      </c>
      <c r="H461" s="719"/>
      <c r="I461" s="24">
        <f t="shared" si="84"/>
        <v>0.02</v>
      </c>
      <c r="J461" s="719"/>
      <c r="K461" s="24">
        <f t="shared" si="85"/>
        <v>1</v>
      </c>
      <c r="L461" s="719"/>
      <c r="M461" s="24">
        <f t="shared" si="86"/>
        <v>1</v>
      </c>
      <c r="N461" s="719"/>
      <c r="O461" s="24">
        <f t="shared" si="87"/>
        <v>1</v>
      </c>
      <c r="P461" s="719"/>
      <c r="Q461" s="24">
        <f t="shared" si="88"/>
        <v>0</v>
      </c>
      <c r="R461" s="715">
        <f t="shared" si="89"/>
        <v>0</v>
      </c>
      <c r="S461" s="361">
        <f t="shared" si="90"/>
        <v>0</v>
      </c>
      <c r="T461" s="799">
        <f>剩余房源售价清单!I440</f>
        <v>0</v>
      </c>
      <c r="U461" s="799" t="e">
        <f t="shared" si="80"/>
        <v>#DIV/0!</v>
      </c>
    </row>
    <row r="462" spans="1:21">
      <c r="A462" s="159"/>
      <c r="B462" s="59"/>
      <c r="C462" s="24">
        <f t="shared" si="81"/>
        <v>1</v>
      </c>
      <c r="D462" s="719"/>
      <c r="E462" s="24">
        <f t="shared" si="82"/>
        <v>0</v>
      </c>
      <c r="F462" s="719"/>
      <c r="G462" s="24">
        <f t="shared" si="83"/>
        <v>0.03</v>
      </c>
      <c r="H462" s="719"/>
      <c r="I462" s="24">
        <f t="shared" si="84"/>
        <v>0.02</v>
      </c>
      <c r="J462" s="719"/>
      <c r="K462" s="24">
        <f t="shared" si="85"/>
        <v>1</v>
      </c>
      <c r="L462" s="719"/>
      <c r="M462" s="24">
        <f t="shared" si="86"/>
        <v>1</v>
      </c>
      <c r="N462" s="719"/>
      <c r="O462" s="24">
        <f t="shared" si="87"/>
        <v>1</v>
      </c>
      <c r="P462" s="719"/>
      <c r="Q462" s="24">
        <f t="shared" si="88"/>
        <v>0</v>
      </c>
      <c r="R462" s="715">
        <f t="shared" si="89"/>
        <v>0</v>
      </c>
      <c r="S462" s="361">
        <f t="shared" si="90"/>
        <v>0</v>
      </c>
      <c r="T462" s="799">
        <f>剩余房源售价清单!I441</f>
        <v>0</v>
      </c>
      <c r="U462" s="799" t="e">
        <f t="shared" si="80"/>
        <v>#DIV/0!</v>
      </c>
    </row>
    <row r="463" spans="1:21">
      <c r="A463" s="159"/>
      <c r="B463" s="59"/>
      <c r="C463" s="24">
        <f t="shared" si="81"/>
        <v>1</v>
      </c>
      <c r="D463" s="719"/>
      <c r="E463" s="24">
        <f t="shared" si="82"/>
        <v>0</v>
      </c>
      <c r="F463" s="719"/>
      <c r="G463" s="24">
        <f t="shared" si="83"/>
        <v>0.03</v>
      </c>
      <c r="H463" s="719"/>
      <c r="I463" s="24">
        <f t="shared" si="84"/>
        <v>0.02</v>
      </c>
      <c r="J463" s="719"/>
      <c r="K463" s="24">
        <f t="shared" si="85"/>
        <v>1</v>
      </c>
      <c r="L463" s="719"/>
      <c r="M463" s="24">
        <f t="shared" si="86"/>
        <v>1</v>
      </c>
      <c r="N463" s="719"/>
      <c r="O463" s="24">
        <f t="shared" si="87"/>
        <v>1</v>
      </c>
      <c r="P463" s="719"/>
      <c r="Q463" s="24">
        <f t="shared" si="88"/>
        <v>0</v>
      </c>
      <c r="R463" s="715">
        <f t="shared" si="89"/>
        <v>0</v>
      </c>
      <c r="S463" s="361">
        <f t="shared" si="90"/>
        <v>0</v>
      </c>
      <c r="T463" s="799">
        <f>剩余房源售价清单!I442</f>
        <v>0</v>
      </c>
      <c r="U463" s="799" t="e">
        <f t="shared" si="80"/>
        <v>#DIV/0!</v>
      </c>
    </row>
    <row r="464" spans="1:21">
      <c r="A464" s="159"/>
      <c r="B464" s="59"/>
      <c r="C464" s="24">
        <f t="shared" si="81"/>
        <v>1</v>
      </c>
      <c r="D464" s="719"/>
      <c r="E464" s="24">
        <f t="shared" si="82"/>
        <v>0</v>
      </c>
      <c r="F464" s="719"/>
      <c r="G464" s="24">
        <f t="shared" si="83"/>
        <v>0.03</v>
      </c>
      <c r="H464" s="719"/>
      <c r="I464" s="24">
        <f t="shared" si="84"/>
        <v>0.02</v>
      </c>
      <c r="J464" s="719"/>
      <c r="K464" s="24">
        <f t="shared" si="85"/>
        <v>1</v>
      </c>
      <c r="L464" s="719"/>
      <c r="M464" s="24">
        <f t="shared" si="86"/>
        <v>1</v>
      </c>
      <c r="N464" s="719"/>
      <c r="O464" s="24">
        <f t="shared" si="87"/>
        <v>1</v>
      </c>
      <c r="P464" s="719"/>
      <c r="Q464" s="24">
        <f t="shared" si="88"/>
        <v>0</v>
      </c>
      <c r="R464" s="715">
        <f t="shared" si="89"/>
        <v>0</v>
      </c>
      <c r="S464" s="361">
        <f t="shared" si="90"/>
        <v>0</v>
      </c>
      <c r="T464" s="799">
        <f>剩余房源售价清单!I443</f>
        <v>0</v>
      </c>
      <c r="U464" s="799" t="e">
        <f t="shared" si="80"/>
        <v>#DIV/0!</v>
      </c>
    </row>
    <row r="465" spans="1:21">
      <c r="A465" s="159"/>
      <c r="B465" s="59"/>
      <c r="C465" s="24">
        <f t="shared" si="81"/>
        <v>1</v>
      </c>
      <c r="D465" s="719"/>
      <c r="E465" s="24">
        <f t="shared" si="82"/>
        <v>0</v>
      </c>
      <c r="F465" s="719"/>
      <c r="G465" s="24">
        <f t="shared" si="83"/>
        <v>0.03</v>
      </c>
      <c r="H465" s="719"/>
      <c r="I465" s="24">
        <f t="shared" si="84"/>
        <v>0.02</v>
      </c>
      <c r="J465" s="719"/>
      <c r="K465" s="24">
        <f t="shared" si="85"/>
        <v>1</v>
      </c>
      <c r="L465" s="719"/>
      <c r="M465" s="24">
        <f t="shared" si="86"/>
        <v>1</v>
      </c>
      <c r="N465" s="719"/>
      <c r="O465" s="24">
        <f t="shared" si="87"/>
        <v>1</v>
      </c>
      <c r="P465" s="719"/>
      <c r="Q465" s="24">
        <f t="shared" si="88"/>
        <v>0</v>
      </c>
      <c r="R465" s="715">
        <f t="shared" si="89"/>
        <v>0</v>
      </c>
      <c r="S465" s="361">
        <f t="shared" si="90"/>
        <v>0</v>
      </c>
      <c r="T465" s="799">
        <f>剩余房源售价清单!I444</f>
        <v>0</v>
      </c>
      <c r="U465" s="799" t="e">
        <f t="shared" si="80"/>
        <v>#DIV/0!</v>
      </c>
    </row>
    <row r="466" spans="1:21">
      <c r="A466" s="159"/>
      <c r="B466" s="59"/>
      <c r="C466" s="24">
        <f t="shared" si="81"/>
        <v>1</v>
      </c>
      <c r="D466" s="719"/>
      <c r="E466" s="24">
        <f t="shared" si="82"/>
        <v>0</v>
      </c>
      <c r="F466" s="719"/>
      <c r="G466" s="24">
        <f t="shared" si="83"/>
        <v>0.03</v>
      </c>
      <c r="H466" s="719"/>
      <c r="I466" s="24">
        <f t="shared" si="84"/>
        <v>0.02</v>
      </c>
      <c r="J466" s="719"/>
      <c r="K466" s="24">
        <f t="shared" si="85"/>
        <v>1</v>
      </c>
      <c r="L466" s="719"/>
      <c r="M466" s="24">
        <f t="shared" si="86"/>
        <v>1</v>
      </c>
      <c r="N466" s="719"/>
      <c r="O466" s="24">
        <f t="shared" si="87"/>
        <v>1</v>
      </c>
      <c r="P466" s="719"/>
      <c r="Q466" s="24">
        <f t="shared" si="88"/>
        <v>0</v>
      </c>
      <c r="R466" s="715">
        <f t="shared" si="89"/>
        <v>0</v>
      </c>
      <c r="S466" s="361">
        <f t="shared" si="90"/>
        <v>0</v>
      </c>
      <c r="T466" s="799">
        <f>剩余房源售价清单!I445</f>
        <v>0</v>
      </c>
      <c r="U466" s="799" t="e">
        <f t="shared" si="80"/>
        <v>#DIV/0!</v>
      </c>
    </row>
    <row r="467" spans="1:21">
      <c r="A467" s="159"/>
      <c r="B467" s="59"/>
      <c r="C467" s="24">
        <f t="shared" si="81"/>
        <v>1</v>
      </c>
      <c r="D467" s="719"/>
      <c r="E467" s="24">
        <f t="shared" si="82"/>
        <v>0</v>
      </c>
      <c r="F467" s="719"/>
      <c r="G467" s="24">
        <f t="shared" si="83"/>
        <v>0.03</v>
      </c>
      <c r="H467" s="719"/>
      <c r="I467" s="24">
        <f t="shared" si="84"/>
        <v>0.02</v>
      </c>
      <c r="J467" s="719"/>
      <c r="K467" s="24">
        <f t="shared" si="85"/>
        <v>1</v>
      </c>
      <c r="L467" s="719"/>
      <c r="M467" s="24">
        <f t="shared" si="86"/>
        <v>1</v>
      </c>
      <c r="N467" s="719"/>
      <c r="O467" s="24">
        <f t="shared" si="87"/>
        <v>1</v>
      </c>
      <c r="P467" s="719"/>
      <c r="Q467" s="24">
        <f t="shared" si="88"/>
        <v>0</v>
      </c>
      <c r="R467" s="715">
        <f t="shared" si="89"/>
        <v>0</v>
      </c>
      <c r="S467" s="361">
        <f t="shared" si="90"/>
        <v>0</v>
      </c>
      <c r="T467" s="799">
        <f>剩余房源售价清单!I446</f>
        <v>0</v>
      </c>
      <c r="U467" s="799" t="e">
        <f t="shared" si="80"/>
        <v>#DIV/0!</v>
      </c>
    </row>
    <row r="468" spans="1:21">
      <c r="A468" s="159"/>
      <c r="B468" s="59"/>
      <c r="C468" s="24">
        <f t="shared" si="81"/>
        <v>1</v>
      </c>
      <c r="D468" s="719"/>
      <c r="E468" s="24">
        <f t="shared" si="82"/>
        <v>0</v>
      </c>
      <c r="F468" s="719"/>
      <c r="G468" s="24">
        <f t="shared" si="83"/>
        <v>0.03</v>
      </c>
      <c r="H468" s="719"/>
      <c r="I468" s="24">
        <f t="shared" si="84"/>
        <v>0.02</v>
      </c>
      <c r="J468" s="719"/>
      <c r="K468" s="24">
        <f t="shared" si="85"/>
        <v>1</v>
      </c>
      <c r="L468" s="719"/>
      <c r="M468" s="24">
        <f t="shared" si="86"/>
        <v>1</v>
      </c>
      <c r="N468" s="719"/>
      <c r="O468" s="24">
        <f t="shared" si="87"/>
        <v>1</v>
      </c>
      <c r="P468" s="719"/>
      <c r="Q468" s="24">
        <f t="shared" si="88"/>
        <v>0</v>
      </c>
      <c r="R468" s="715">
        <f t="shared" si="89"/>
        <v>0</v>
      </c>
      <c r="S468" s="361">
        <f t="shared" ref="S468:S497" si="91">ROUND(R468*B468/10000,0)</f>
        <v>0</v>
      </c>
      <c r="T468" s="799">
        <f>剩余房源售价清单!I447</f>
        <v>0</v>
      </c>
      <c r="U468" s="799" t="e">
        <f t="shared" si="80"/>
        <v>#DIV/0!</v>
      </c>
    </row>
    <row r="469" spans="1:21">
      <c r="A469" s="159"/>
      <c r="B469" s="59"/>
      <c r="C469" s="24">
        <f t="shared" si="81"/>
        <v>1</v>
      </c>
      <c r="D469" s="719"/>
      <c r="E469" s="24">
        <f t="shared" si="82"/>
        <v>0</v>
      </c>
      <c r="F469" s="719"/>
      <c r="G469" s="24">
        <f t="shared" si="83"/>
        <v>0.03</v>
      </c>
      <c r="H469" s="719"/>
      <c r="I469" s="24">
        <f t="shared" si="84"/>
        <v>0.02</v>
      </c>
      <c r="J469" s="719"/>
      <c r="K469" s="24">
        <f t="shared" si="85"/>
        <v>1</v>
      </c>
      <c r="L469" s="719"/>
      <c r="M469" s="24">
        <f t="shared" si="86"/>
        <v>1</v>
      </c>
      <c r="N469" s="719"/>
      <c r="O469" s="24">
        <f t="shared" si="87"/>
        <v>1</v>
      </c>
      <c r="P469" s="719"/>
      <c r="Q469" s="24">
        <f t="shared" si="88"/>
        <v>0</v>
      </c>
      <c r="R469" s="715">
        <f t="shared" si="89"/>
        <v>0</v>
      </c>
      <c r="S469" s="361">
        <f t="shared" si="91"/>
        <v>0</v>
      </c>
      <c r="T469" s="799">
        <f>剩余房源售价清单!I448</f>
        <v>0</v>
      </c>
      <c r="U469" s="799" t="e">
        <f t="shared" si="80"/>
        <v>#DIV/0!</v>
      </c>
    </row>
    <row r="470" spans="1:21">
      <c r="A470" s="159"/>
      <c r="B470" s="59"/>
      <c r="C470" s="24">
        <f t="shared" si="81"/>
        <v>1</v>
      </c>
      <c r="D470" s="719"/>
      <c r="E470" s="24">
        <f t="shared" si="82"/>
        <v>0</v>
      </c>
      <c r="F470" s="719"/>
      <c r="G470" s="24">
        <f t="shared" si="83"/>
        <v>0.03</v>
      </c>
      <c r="H470" s="719"/>
      <c r="I470" s="24">
        <f t="shared" si="84"/>
        <v>0.02</v>
      </c>
      <c r="J470" s="719"/>
      <c r="K470" s="24">
        <f t="shared" si="85"/>
        <v>1</v>
      </c>
      <c r="L470" s="719"/>
      <c r="M470" s="24">
        <f t="shared" si="86"/>
        <v>1</v>
      </c>
      <c r="N470" s="719"/>
      <c r="O470" s="24">
        <f t="shared" si="87"/>
        <v>1</v>
      </c>
      <c r="P470" s="719"/>
      <c r="Q470" s="24">
        <f t="shared" si="88"/>
        <v>0</v>
      </c>
      <c r="R470" s="715">
        <f t="shared" si="89"/>
        <v>0</v>
      </c>
      <c r="S470" s="361">
        <f t="shared" si="91"/>
        <v>0</v>
      </c>
      <c r="T470" s="799">
        <f>剩余房源售价清单!I449</f>
        <v>0</v>
      </c>
      <c r="U470" s="799" t="e">
        <f t="shared" si="80"/>
        <v>#DIV/0!</v>
      </c>
    </row>
    <row r="471" spans="1:21">
      <c r="A471" s="159"/>
      <c r="B471" s="59"/>
      <c r="C471" s="24">
        <f t="shared" si="81"/>
        <v>1</v>
      </c>
      <c r="D471" s="719"/>
      <c r="E471" s="24">
        <f t="shared" si="82"/>
        <v>0</v>
      </c>
      <c r="F471" s="719"/>
      <c r="G471" s="24">
        <f t="shared" si="83"/>
        <v>0.03</v>
      </c>
      <c r="H471" s="719"/>
      <c r="I471" s="24">
        <f t="shared" si="84"/>
        <v>0.02</v>
      </c>
      <c r="J471" s="719"/>
      <c r="K471" s="24">
        <f t="shared" si="85"/>
        <v>1</v>
      </c>
      <c r="L471" s="719"/>
      <c r="M471" s="24">
        <f t="shared" si="86"/>
        <v>1</v>
      </c>
      <c r="N471" s="719"/>
      <c r="O471" s="24">
        <f t="shared" si="87"/>
        <v>1</v>
      </c>
      <c r="P471" s="719"/>
      <c r="Q471" s="24">
        <f t="shared" si="88"/>
        <v>0</v>
      </c>
      <c r="R471" s="715">
        <f t="shared" si="89"/>
        <v>0</v>
      </c>
      <c r="S471" s="361">
        <f t="shared" si="91"/>
        <v>0</v>
      </c>
      <c r="T471" s="799">
        <f>剩余房源售价清单!I450</f>
        <v>0</v>
      </c>
      <c r="U471" s="799" t="e">
        <f t="shared" si="80"/>
        <v>#DIV/0!</v>
      </c>
    </row>
    <row r="472" spans="1:21">
      <c r="A472" s="159"/>
      <c r="B472" s="59"/>
      <c r="C472" s="24">
        <f t="shared" si="81"/>
        <v>1</v>
      </c>
      <c r="D472" s="719"/>
      <c r="E472" s="24">
        <f t="shared" si="82"/>
        <v>0</v>
      </c>
      <c r="F472" s="719"/>
      <c r="G472" s="24">
        <f t="shared" si="83"/>
        <v>0.03</v>
      </c>
      <c r="H472" s="719"/>
      <c r="I472" s="24">
        <f t="shared" si="84"/>
        <v>0.02</v>
      </c>
      <c r="J472" s="719"/>
      <c r="K472" s="24">
        <f t="shared" si="85"/>
        <v>1</v>
      </c>
      <c r="L472" s="719"/>
      <c r="M472" s="24">
        <f t="shared" si="86"/>
        <v>1</v>
      </c>
      <c r="N472" s="719"/>
      <c r="O472" s="24">
        <f t="shared" si="87"/>
        <v>1</v>
      </c>
      <c r="P472" s="719"/>
      <c r="Q472" s="24">
        <f t="shared" si="88"/>
        <v>0</v>
      </c>
      <c r="R472" s="715">
        <f t="shared" si="89"/>
        <v>0</v>
      </c>
      <c r="S472" s="361">
        <f t="shared" si="91"/>
        <v>0</v>
      </c>
      <c r="T472" s="799">
        <f>剩余房源售价清单!I451</f>
        <v>0</v>
      </c>
      <c r="U472" s="799" t="e">
        <f t="shared" si="80"/>
        <v>#DIV/0!</v>
      </c>
    </row>
    <row r="473" spans="1:21">
      <c r="A473" s="159"/>
      <c r="B473" s="59"/>
      <c r="C473" s="24">
        <f t="shared" si="81"/>
        <v>1</v>
      </c>
      <c r="D473" s="719"/>
      <c r="E473" s="24">
        <f t="shared" si="82"/>
        <v>0</v>
      </c>
      <c r="F473" s="719"/>
      <c r="G473" s="24">
        <f t="shared" si="83"/>
        <v>0.03</v>
      </c>
      <c r="H473" s="719"/>
      <c r="I473" s="24">
        <f t="shared" si="84"/>
        <v>0.02</v>
      </c>
      <c r="J473" s="719"/>
      <c r="K473" s="24">
        <f t="shared" si="85"/>
        <v>1</v>
      </c>
      <c r="L473" s="719"/>
      <c r="M473" s="24">
        <f t="shared" si="86"/>
        <v>1</v>
      </c>
      <c r="N473" s="719"/>
      <c r="O473" s="24">
        <f t="shared" si="87"/>
        <v>1</v>
      </c>
      <c r="P473" s="719"/>
      <c r="Q473" s="24">
        <f t="shared" si="88"/>
        <v>0</v>
      </c>
      <c r="R473" s="715">
        <f t="shared" si="89"/>
        <v>0</v>
      </c>
      <c r="S473" s="361">
        <f t="shared" si="91"/>
        <v>0</v>
      </c>
      <c r="T473" s="799">
        <f>剩余房源售价清单!I452</f>
        <v>0</v>
      </c>
      <c r="U473" s="799" t="e">
        <f t="shared" ref="U473:U524" si="92">R473/T473</f>
        <v>#DIV/0!</v>
      </c>
    </row>
    <row r="474" spans="1:21">
      <c r="A474" s="159"/>
      <c r="B474" s="59"/>
      <c r="C474" s="24">
        <f t="shared" ref="C474:C524" si="93">IF(B474="",1,(LOOKUP(B474,$3:$3,$4:$4)-LOOKUP($B$24,$3:$3,$4:$4)+100)/100)</f>
        <v>1</v>
      </c>
      <c r="D474" s="719"/>
      <c r="E474" s="24">
        <f t="shared" ref="E474:E524" si="94">(SUMIF($5:$5,D474,$6:$6)-SUMIF($5:$5,$D$24,$6:$6)+100)/100</f>
        <v>0</v>
      </c>
      <c r="F474" s="719"/>
      <c r="G474" s="24">
        <f t="shared" ref="G474:G524" si="95">(SUMIF($7:$7,F474,$8:$8)-SUMIF($7:$7,$F$24,$8:$8)+100)/100</f>
        <v>0.03</v>
      </c>
      <c r="H474" s="719"/>
      <c r="I474" s="24">
        <f t="shared" ref="I474:I524" si="96">(SUMIF($9:$9,H474,$10:$10)-SUMIF($9:$9,$H$24,$10:$10)+100)/100</f>
        <v>0.02</v>
      </c>
      <c r="J474" s="719"/>
      <c r="K474" s="24">
        <f t="shared" ref="K474:K524" si="97">(SUMIF($11:$11,J474,$12:$12)-SUMIF($11:$11,$J$24,$12:$12)+100)/100</f>
        <v>1</v>
      </c>
      <c r="L474" s="719"/>
      <c r="M474" s="24">
        <f t="shared" ref="M474:M524" si="98">(SUMIF($13:$13,L474,$14:$14)-SUMIF($13:$13,$L$24,$14:$14)+100)/100</f>
        <v>1</v>
      </c>
      <c r="N474" s="719"/>
      <c r="O474" s="24">
        <f t="shared" ref="O474:O524" si="99">(SUMIF($15:$15,N474,$16:$16)-SUMIF($15:$15,$N$24,$16:$16)+100)/100</f>
        <v>1</v>
      </c>
      <c r="P474" s="719"/>
      <c r="Q474" s="24">
        <f t="shared" ref="Q474:Q524" si="100">(SUMIF($17:$17,P474,$18:$18)-SUMIF($17:$17,$P$24,$18:$18)+100)/100</f>
        <v>0</v>
      </c>
      <c r="R474" s="715">
        <f t="shared" ref="R474:R524" si="101">IF(B474="",0,ROUND($R$24*C474*E474*G474*I474*K474*M474*O474*Q474,0))</f>
        <v>0</v>
      </c>
      <c r="S474" s="361">
        <f t="shared" si="91"/>
        <v>0</v>
      </c>
      <c r="T474" s="799">
        <f>剩余房源售价清单!I453</f>
        <v>0</v>
      </c>
      <c r="U474" s="799" t="e">
        <f t="shared" si="92"/>
        <v>#DIV/0!</v>
      </c>
    </row>
    <row r="475" spans="1:21">
      <c r="A475" s="159"/>
      <c r="B475" s="59"/>
      <c r="C475" s="24">
        <f t="shared" si="93"/>
        <v>1</v>
      </c>
      <c r="D475" s="719"/>
      <c r="E475" s="24">
        <f t="shared" si="94"/>
        <v>0</v>
      </c>
      <c r="F475" s="719"/>
      <c r="G475" s="24">
        <f t="shared" si="95"/>
        <v>0.03</v>
      </c>
      <c r="H475" s="719"/>
      <c r="I475" s="24">
        <f t="shared" si="96"/>
        <v>0.02</v>
      </c>
      <c r="J475" s="719"/>
      <c r="K475" s="24">
        <f t="shared" si="97"/>
        <v>1</v>
      </c>
      <c r="L475" s="719"/>
      <c r="M475" s="24">
        <f t="shared" si="98"/>
        <v>1</v>
      </c>
      <c r="N475" s="719"/>
      <c r="O475" s="24">
        <f t="shared" si="99"/>
        <v>1</v>
      </c>
      <c r="P475" s="719"/>
      <c r="Q475" s="24">
        <f t="shared" si="100"/>
        <v>0</v>
      </c>
      <c r="R475" s="715">
        <f t="shared" si="101"/>
        <v>0</v>
      </c>
      <c r="S475" s="361">
        <f t="shared" si="91"/>
        <v>0</v>
      </c>
      <c r="T475" s="799">
        <f>剩余房源售价清单!I454</f>
        <v>0</v>
      </c>
      <c r="U475" s="799" t="e">
        <f t="shared" si="92"/>
        <v>#DIV/0!</v>
      </c>
    </row>
    <row r="476" spans="1:21">
      <c r="A476" s="159"/>
      <c r="B476" s="59"/>
      <c r="C476" s="24">
        <f t="shared" si="93"/>
        <v>1</v>
      </c>
      <c r="D476" s="719"/>
      <c r="E476" s="24">
        <f t="shared" si="94"/>
        <v>0</v>
      </c>
      <c r="F476" s="719"/>
      <c r="G476" s="24">
        <f t="shared" si="95"/>
        <v>0.03</v>
      </c>
      <c r="H476" s="719"/>
      <c r="I476" s="24">
        <f t="shared" si="96"/>
        <v>0.02</v>
      </c>
      <c r="J476" s="719"/>
      <c r="K476" s="24">
        <f t="shared" si="97"/>
        <v>1</v>
      </c>
      <c r="L476" s="719"/>
      <c r="M476" s="24">
        <f t="shared" si="98"/>
        <v>1</v>
      </c>
      <c r="N476" s="719"/>
      <c r="O476" s="24">
        <f t="shared" si="99"/>
        <v>1</v>
      </c>
      <c r="P476" s="719"/>
      <c r="Q476" s="24">
        <f t="shared" si="100"/>
        <v>0</v>
      </c>
      <c r="R476" s="715">
        <f t="shared" si="101"/>
        <v>0</v>
      </c>
      <c r="S476" s="361">
        <f t="shared" si="91"/>
        <v>0</v>
      </c>
      <c r="T476" s="799">
        <f>剩余房源售价清单!I455</f>
        <v>0</v>
      </c>
      <c r="U476" s="799" t="e">
        <f t="shared" si="92"/>
        <v>#DIV/0!</v>
      </c>
    </row>
    <row r="477" spans="1:21">
      <c r="A477" s="159"/>
      <c r="B477" s="59"/>
      <c r="C477" s="24">
        <f t="shared" si="93"/>
        <v>1</v>
      </c>
      <c r="D477" s="719"/>
      <c r="E477" s="24">
        <f t="shared" si="94"/>
        <v>0</v>
      </c>
      <c r="F477" s="719"/>
      <c r="G477" s="24">
        <f t="shared" si="95"/>
        <v>0.03</v>
      </c>
      <c r="H477" s="719"/>
      <c r="I477" s="24">
        <f t="shared" si="96"/>
        <v>0.02</v>
      </c>
      <c r="J477" s="719"/>
      <c r="K477" s="24">
        <f t="shared" si="97"/>
        <v>1</v>
      </c>
      <c r="L477" s="719"/>
      <c r="M477" s="24">
        <f t="shared" si="98"/>
        <v>1</v>
      </c>
      <c r="N477" s="719"/>
      <c r="O477" s="24">
        <f t="shared" si="99"/>
        <v>1</v>
      </c>
      <c r="P477" s="719"/>
      <c r="Q477" s="24">
        <f t="shared" si="100"/>
        <v>0</v>
      </c>
      <c r="R477" s="715">
        <f t="shared" si="101"/>
        <v>0</v>
      </c>
      <c r="S477" s="361">
        <f t="shared" si="91"/>
        <v>0</v>
      </c>
      <c r="T477" s="799">
        <f>剩余房源售价清单!I456</f>
        <v>0</v>
      </c>
      <c r="U477" s="799" t="e">
        <f t="shared" si="92"/>
        <v>#DIV/0!</v>
      </c>
    </row>
    <row r="478" spans="1:21">
      <c r="A478" s="159"/>
      <c r="B478" s="59"/>
      <c r="C478" s="24">
        <f t="shared" si="93"/>
        <v>1</v>
      </c>
      <c r="D478" s="719"/>
      <c r="E478" s="24">
        <f t="shared" si="94"/>
        <v>0</v>
      </c>
      <c r="F478" s="719"/>
      <c r="G478" s="24">
        <f t="shared" si="95"/>
        <v>0.03</v>
      </c>
      <c r="H478" s="719"/>
      <c r="I478" s="24">
        <f t="shared" si="96"/>
        <v>0.02</v>
      </c>
      <c r="J478" s="719"/>
      <c r="K478" s="24">
        <f t="shared" si="97"/>
        <v>1</v>
      </c>
      <c r="L478" s="719"/>
      <c r="M478" s="24">
        <f t="shared" si="98"/>
        <v>1</v>
      </c>
      <c r="N478" s="719"/>
      <c r="O478" s="24">
        <f t="shared" si="99"/>
        <v>1</v>
      </c>
      <c r="P478" s="719"/>
      <c r="Q478" s="24">
        <f t="shared" si="100"/>
        <v>0</v>
      </c>
      <c r="R478" s="715">
        <f t="shared" si="101"/>
        <v>0</v>
      </c>
      <c r="S478" s="361">
        <f t="shared" si="91"/>
        <v>0</v>
      </c>
      <c r="T478" s="799">
        <f>剩余房源售价清单!I457</f>
        <v>0</v>
      </c>
      <c r="U478" s="799" t="e">
        <f t="shared" si="92"/>
        <v>#DIV/0!</v>
      </c>
    </row>
    <row r="479" spans="1:21">
      <c r="A479" s="159"/>
      <c r="B479" s="59"/>
      <c r="C479" s="24">
        <f t="shared" si="93"/>
        <v>1</v>
      </c>
      <c r="D479" s="719"/>
      <c r="E479" s="24">
        <f t="shared" si="94"/>
        <v>0</v>
      </c>
      <c r="F479" s="719"/>
      <c r="G479" s="24">
        <f t="shared" si="95"/>
        <v>0.03</v>
      </c>
      <c r="H479" s="719"/>
      <c r="I479" s="24">
        <f t="shared" si="96"/>
        <v>0.02</v>
      </c>
      <c r="J479" s="719"/>
      <c r="K479" s="24">
        <f t="shared" si="97"/>
        <v>1</v>
      </c>
      <c r="L479" s="719"/>
      <c r="M479" s="24">
        <f t="shared" si="98"/>
        <v>1</v>
      </c>
      <c r="N479" s="719"/>
      <c r="O479" s="24">
        <f t="shared" si="99"/>
        <v>1</v>
      </c>
      <c r="P479" s="719"/>
      <c r="Q479" s="24">
        <f t="shared" si="100"/>
        <v>0</v>
      </c>
      <c r="R479" s="715">
        <f t="shared" si="101"/>
        <v>0</v>
      </c>
      <c r="S479" s="361">
        <f t="shared" si="91"/>
        <v>0</v>
      </c>
      <c r="T479" s="799">
        <f>剩余房源售价清单!I458</f>
        <v>0</v>
      </c>
      <c r="U479" s="799" t="e">
        <f t="shared" si="92"/>
        <v>#DIV/0!</v>
      </c>
    </row>
    <row r="480" spans="1:21">
      <c r="A480" s="159"/>
      <c r="B480" s="59"/>
      <c r="C480" s="24">
        <f t="shared" si="93"/>
        <v>1</v>
      </c>
      <c r="D480" s="719"/>
      <c r="E480" s="24">
        <f t="shared" si="94"/>
        <v>0</v>
      </c>
      <c r="F480" s="719"/>
      <c r="G480" s="24">
        <f t="shared" si="95"/>
        <v>0.03</v>
      </c>
      <c r="H480" s="719"/>
      <c r="I480" s="24">
        <f t="shared" si="96"/>
        <v>0.02</v>
      </c>
      <c r="J480" s="719"/>
      <c r="K480" s="24">
        <f t="shared" si="97"/>
        <v>1</v>
      </c>
      <c r="L480" s="719"/>
      <c r="M480" s="24">
        <f t="shared" si="98"/>
        <v>1</v>
      </c>
      <c r="N480" s="719"/>
      <c r="O480" s="24">
        <f t="shared" si="99"/>
        <v>1</v>
      </c>
      <c r="P480" s="719"/>
      <c r="Q480" s="24">
        <f t="shared" si="100"/>
        <v>0</v>
      </c>
      <c r="R480" s="715">
        <f t="shared" si="101"/>
        <v>0</v>
      </c>
      <c r="S480" s="361">
        <f t="shared" si="91"/>
        <v>0</v>
      </c>
      <c r="T480" s="799">
        <f>剩余房源售价清单!I459</f>
        <v>0</v>
      </c>
      <c r="U480" s="799" t="e">
        <f t="shared" si="92"/>
        <v>#DIV/0!</v>
      </c>
    </row>
    <row r="481" spans="1:21">
      <c r="A481" s="159"/>
      <c r="B481" s="59"/>
      <c r="C481" s="24">
        <f t="shared" si="93"/>
        <v>1</v>
      </c>
      <c r="D481" s="719"/>
      <c r="E481" s="24">
        <f t="shared" si="94"/>
        <v>0</v>
      </c>
      <c r="F481" s="719"/>
      <c r="G481" s="24">
        <f t="shared" si="95"/>
        <v>0.03</v>
      </c>
      <c r="H481" s="719"/>
      <c r="I481" s="24">
        <f t="shared" si="96"/>
        <v>0.02</v>
      </c>
      <c r="J481" s="719"/>
      <c r="K481" s="24">
        <f t="shared" si="97"/>
        <v>1</v>
      </c>
      <c r="L481" s="719"/>
      <c r="M481" s="24">
        <f t="shared" si="98"/>
        <v>1</v>
      </c>
      <c r="N481" s="719"/>
      <c r="O481" s="24">
        <f t="shared" si="99"/>
        <v>1</v>
      </c>
      <c r="P481" s="719"/>
      <c r="Q481" s="24">
        <f t="shared" si="100"/>
        <v>0</v>
      </c>
      <c r="R481" s="715">
        <f t="shared" si="101"/>
        <v>0</v>
      </c>
      <c r="S481" s="361">
        <f t="shared" si="91"/>
        <v>0</v>
      </c>
      <c r="T481" s="799">
        <f>剩余房源售价清单!I460</f>
        <v>0</v>
      </c>
      <c r="U481" s="799" t="e">
        <f t="shared" si="92"/>
        <v>#DIV/0!</v>
      </c>
    </row>
    <row r="482" spans="1:21">
      <c r="A482" s="159"/>
      <c r="B482" s="59"/>
      <c r="C482" s="24">
        <f t="shared" si="93"/>
        <v>1</v>
      </c>
      <c r="D482" s="719"/>
      <c r="E482" s="24">
        <f t="shared" si="94"/>
        <v>0</v>
      </c>
      <c r="F482" s="719"/>
      <c r="G482" s="24">
        <f t="shared" si="95"/>
        <v>0.03</v>
      </c>
      <c r="H482" s="719"/>
      <c r="I482" s="24">
        <f t="shared" si="96"/>
        <v>0.02</v>
      </c>
      <c r="J482" s="719"/>
      <c r="K482" s="24">
        <f t="shared" si="97"/>
        <v>1</v>
      </c>
      <c r="L482" s="719"/>
      <c r="M482" s="24">
        <f t="shared" si="98"/>
        <v>1</v>
      </c>
      <c r="N482" s="719"/>
      <c r="O482" s="24">
        <f t="shared" si="99"/>
        <v>1</v>
      </c>
      <c r="P482" s="719"/>
      <c r="Q482" s="24">
        <f t="shared" si="100"/>
        <v>0</v>
      </c>
      <c r="R482" s="715">
        <f t="shared" si="101"/>
        <v>0</v>
      </c>
      <c r="S482" s="361">
        <f t="shared" si="91"/>
        <v>0</v>
      </c>
      <c r="T482" s="799">
        <f>剩余房源售价清单!I461</f>
        <v>0</v>
      </c>
      <c r="U482" s="799" t="e">
        <f t="shared" si="92"/>
        <v>#DIV/0!</v>
      </c>
    </row>
    <row r="483" spans="1:21">
      <c r="A483" s="159"/>
      <c r="B483" s="59"/>
      <c r="C483" s="24">
        <f t="shared" si="93"/>
        <v>1</v>
      </c>
      <c r="D483" s="719"/>
      <c r="E483" s="24">
        <f t="shared" si="94"/>
        <v>0</v>
      </c>
      <c r="F483" s="719"/>
      <c r="G483" s="24">
        <f t="shared" si="95"/>
        <v>0.03</v>
      </c>
      <c r="H483" s="719"/>
      <c r="I483" s="24">
        <f t="shared" si="96"/>
        <v>0.02</v>
      </c>
      <c r="J483" s="719"/>
      <c r="K483" s="24">
        <f t="shared" si="97"/>
        <v>1</v>
      </c>
      <c r="L483" s="719"/>
      <c r="M483" s="24">
        <f t="shared" si="98"/>
        <v>1</v>
      </c>
      <c r="N483" s="719"/>
      <c r="O483" s="24">
        <f t="shared" si="99"/>
        <v>1</v>
      </c>
      <c r="P483" s="719"/>
      <c r="Q483" s="24">
        <f t="shared" si="100"/>
        <v>0</v>
      </c>
      <c r="R483" s="715">
        <f t="shared" si="101"/>
        <v>0</v>
      </c>
      <c r="S483" s="361">
        <f t="shared" si="91"/>
        <v>0</v>
      </c>
      <c r="T483" s="799">
        <f>剩余房源售价清单!I462</f>
        <v>0</v>
      </c>
      <c r="U483" s="799" t="e">
        <f t="shared" si="92"/>
        <v>#DIV/0!</v>
      </c>
    </row>
    <row r="484" spans="1:21">
      <c r="A484" s="159"/>
      <c r="B484" s="59"/>
      <c r="C484" s="24">
        <f t="shared" si="93"/>
        <v>1</v>
      </c>
      <c r="D484" s="719"/>
      <c r="E484" s="24">
        <f t="shared" si="94"/>
        <v>0</v>
      </c>
      <c r="F484" s="719"/>
      <c r="G484" s="24">
        <f t="shared" si="95"/>
        <v>0.03</v>
      </c>
      <c r="H484" s="719"/>
      <c r="I484" s="24">
        <f t="shared" si="96"/>
        <v>0.02</v>
      </c>
      <c r="J484" s="719"/>
      <c r="K484" s="24">
        <f t="shared" si="97"/>
        <v>1</v>
      </c>
      <c r="L484" s="719"/>
      <c r="M484" s="24">
        <f t="shared" si="98"/>
        <v>1</v>
      </c>
      <c r="N484" s="719"/>
      <c r="O484" s="24">
        <f t="shared" si="99"/>
        <v>1</v>
      </c>
      <c r="P484" s="719"/>
      <c r="Q484" s="24">
        <f t="shared" si="100"/>
        <v>0</v>
      </c>
      <c r="R484" s="715">
        <f t="shared" si="101"/>
        <v>0</v>
      </c>
      <c r="S484" s="361">
        <f t="shared" si="91"/>
        <v>0</v>
      </c>
      <c r="T484" s="799">
        <f>剩余房源售价清单!I463</f>
        <v>0</v>
      </c>
      <c r="U484" s="799" t="e">
        <f t="shared" si="92"/>
        <v>#DIV/0!</v>
      </c>
    </row>
    <row r="485" spans="1:21">
      <c r="A485" s="159"/>
      <c r="B485" s="59"/>
      <c r="C485" s="24">
        <f t="shared" si="93"/>
        <v>1</v>
      </c>
      <c r="D485" s="719"/>
      <c r="E485" s="24">
        <f t="shared" si="94"/>
        <v>0</v>
      </c>
      <c r="F485" s="719"/>
      <c r="G485" s="24">
        <f t="shared" si="95"/>
        <v>0.03</v>
      </c>
      <c r="H485" s="719"/>
      <c r="I485" s="24">
        <f t="shared" si="96"/>
        <v>0.02</v>
      </c>
      <c r="J485" s="719"/>
      <c r="K485" s="24">
        <f t="shared" si="97"/>
        <v>1</v>
      </c>
      <c r="L485" s="719"/>
      <c r="M485" s="24">
        <f t="shared" si="98"/>
        <v>1</v>
      </c>
      <c r="N485" s="719"/>
      <c r="O485" s="24">
        <f t="shared" si="99"/>
        <v>1</v>
      </c>
      <c r="P485" s="719"/>
      <c r="Q485" s="24">
        <f t="shared" si="100"/>
        <v>0</v>
      </c>
      <c r="R485" s="715">
        <f t="shared" si="101"/>
        <v>0</v>
      </c>
      <c r="S485" s="361">
        <f t="shared" si="91"/>
        <v>0</v>
      </c>
      <c r="T485" s="799">
        <f>剩余房源售价清单!I464</f>
        <v>0</v>
      </c>
      <c r="U485" s="799" t="e">
        <f t="shared" si="92"/>
        <v>#DIV/0!</v>
      </c>
    </row>
    <row r="486" spans="1:21">
      <c r="A486" s="159"/>
      <c r="B486" s="59"/>
      <c r="C486" s="24">
        <f t="shared" si="93"/>
        <v>1</v>
      </c>
      <c r="D486" s="719"/>
      <c r="E486" s="24">
        <f t="shared" si="94"/>
        <v>0</v>
      </c>
      <c r="F486" s="719"/>
      <c r="G486" s="24">
        <f t="shared" si="95"/>
        <v>0.03</v>
      </c>
      <c r="H486" s="719"/>
      <c r="I486" s="24">
        <f t="shared" si="96"/>
        <v>0.02</v>
      </c>
      <c r="J486" s="719"/>
      <c r="K486" s="24">
        <f t="shared" si="97"/>
        <v>1</v>
      </c>
      <c r="L486" s="719"/>
      <c r="M486" s="24">
        <f t="shared" si="98"/>
        <v>1</v>
      </c>
      <c r="N486" s="719"/>
      <c r="O486" s="24">
        <f t="shared" si="99"/>
        <v>1</v>
      </c>
      <c r="P486" s="719"/>
      <c r="Q486" s="24">
        <f t="shared" si="100"/>
        <v>0</v>
      </c>
      <c r="R486" s="715">
        <f t="shared" si="101"/>
        <v>0</v>
      </c>
      <c r="S486" s="361">
        <f t="shared" si="91"/>
        <v>0</v>
      </c>
      <c r="T486" s="799">
        <f>剩余房源售价清单!I465</f>
        <v>0</v>
      </c>
      <c r="U486" s="799" t="e">
        <f t="shared" si="92"/>
        <v>#DIV/0!</v>
      </c>
    </row>
    <row r="487" spans="1:21">
      <c r="A487" s="159"/>
      <c r="B487" s="59"/>
      <c r="C487" s="24">
        <f t="shared" si="93"/>
        <v>1</v>
      </c>
      <c r="D487" s="719"/>
      <c r="E487" s="24">
        <f t="shared" si="94"/>
        <v>0</v>
      </c>
      <c r="F487" s="719"/>
      <c r="G487" s="24">
        <f t="shared" si="95"/>
        <v>0.03</v>
      </c>
      <c r="H487" s="719"/>
      <c r="I487" s="24">
        <f t="shared" si="96"/>
        <v>0.02</v>
      </c>
      <c r="J487" s="719"/>
      <c r="K487" s="24">
        <f t="shared" si="97"/>
        <v>1</v>
      </c>
      <c r="L487" s="719"/>
      <c r="M487" s="24">
        <f t="shared" si="98"/>
        <v>1</v>
      </c>
      <c r="N487" s="719"/>
      <c r="O487" s="24">
        <f t="shared" si="99"/>
        <v>1</v>
      </c>
      <c r="P487" s="719"/>
      <c r="Q487" s="24">
        <f t="shared" si="100"/>
        <v>0</v>
      </c>
      <c r="R487" s="715">
        <f t="shared" si="101"/>
        <v>0</v>
      </c>
      <c r="S487" s="361">
        <f t="shared" si="91"/>
        <v>0</v>
      </c>
      <c r="T487" s="799">
        <f>剩余房源售价清单!I466</f>
        <v>0</v>
      </c>
      <c r="U487" s="799" t="e">
        <f t="shared" si="92"/>
        <v>#DIV/0!</v>
      </c>
    </row>
    <row r="488" spans="1:21">
      <c r="A488" s="159"/>
      <c r="B488" s="59"/>
      <c r="C488" s="24">
        <f t="shared" si="93"/>
        <v>1</v>
      </c>
      <c r="D488" s="719"/>
      <c r="E488" s="24">
        <f t="shared" si="94"/>
        <v>0</v>
      </c>
      <c r="F488" s="719"/>
      <c r="G488" s="24">
        <f t="shared" si="95"/>
        <v>0.03</v>
      </c>
      <c r="H488" s="719"/>
      <c r="I488" s="24">
        <f t="shared" si="96"/>
        <v>0.02</v>
      </c>
      <c r="J488" s="719"/>
      <c r="K488" s="24">
        <f t="shared" si="97"/>
        <v>1</v>
      </c>
      <c r="L488" s="719"/>
      <c r="M488" s="24">
        <f t="shared" si="98"/>
        <v>1</v>
      </c>
      <c r="N488" s="719"/>
      <c r="O488" s="24">
        <f t="shared" si="99"/>
        <v>1</v>
      </c>
      <c r="P488" s="719"/>
      <c r="Q488" s="24">
        <f t="shared" si="100"/>
        <v>0</v>
      </c>
      <c r="R488" s="715">
        <f t="shared" si="101"/>
        <v>0</v>
      </c>
      <c r="S488" s="361">
        <f t="shared" si="91"/>
        <v>0</v>
      </c>
      <c r="T488" s="799">
        <f>剩余房源售价清单!I467</f>
        <v>0</v>
      </c>
      <c r="U488" s="799" t="e">
        <f t="shared" si="92"/>
        <v>#DIV/0!</v>
      </c>
    </row>
    <row r="489" spans="1:21">
      <c r="A489" s="159"/>
      <c r="B489" s="59"/>
      <c r="C489" s="24">
        <f t="shared" si="93"/>
        <v>1</v>
      </c>
      <c r="D489" s="719"/>
      <c r="E489" s="24">
        <f t="shared" si="94"/>
        <v>0</v>
      </c>
      <c r="F489" s="719"/>
      <c r="G489" s="24">
        <f t="shared" si="95"/>
        <v>0.03</v>
      </c>
      <c r="H489" s="719"/>
      <c r="I489" s="24">
        <f t="shared" si="96"/>
        <v>0.02</v>
      </c>
      <c r="J489" s="719"/>
      <c r="K489" s="24">
        <f t="shared" si="97"/>
        <v>1</v>
      </c>
      <c r="L489" s="719"/>
      <c r="M489" s="24">
        <f t="shared" si="98"/>
        <v>1</v>
      </c>
      <c r="N489" s="719"/>
      <c r="O489" s="24">
        <f t="shared" si="99"/>
        <v>1</v>
      </c>
      <c r="P489" s="719"/>
      <c r="Q489" s="24">
        <f t="shared" si="100"/>
        <v>0</v>
      </c>
      <c r="R489" s="715">
        <f t="shared" si="101"/>
        <v>0</v>
      </c>
      <c r="S489" s="361">
        <f t="shared" si="91"/>
        <v>0</v>
      </c>
      <c r="T489" s="799">
        <f>剩余房源售价清单!I468</f>
        <v>0</v>
      </c>
      <c r="U489" s="799" t="e">
        <f t="shared" si="92"/>
        <v>#DIV/0!</v>
      </c>
    </row>
    <row r="490" spans="1:21">
      <c r="A490" s="159"/>
      <c r="B490" s="59"/>
      <c r="C490" s="24">
        <f t="shared" si="93"/>
        <v>1</v>
      </c>
      <c r="D490" s="719"/>
      <c r="E490" s="24">
        <f t="shared" si="94"/>
        <v>0</v>
      </c>
      <c r="F490" s="719"/>
      <c r="G490" s="24">
        <f t="shared" si="95"/>
        <v>0.03</v>
      </c>
      <c r="H490" s="719"/>
      <c r="I490" s="24">
        <f t="shared" si="96"/>
        <v>0.02</v>
      </c>
      <c r="J490" s="719"/>
      <c r="K490" s="24">
        <f t="shared" si="97"/>
        <v>1</v>
      </c>
      <c r="L490" s="719"/>
      <c r="M490" s="24">
        <f t="shared" si="98"/>
        <v>1</v>
      </c>
      <c r="N490" s="719"/>
      <c r="O490" s="24">
        <f t="shared" si="99"/>
        <v>1</v>
      </c>
      <c r="P490" s="719"/>
      <c r="Q490" s="24">
        <f t="shared" si="100"/>
        <v>0</v>
      </c>
      <c r="R490" s="715">
        <f t="shared" si="101"/>
        <v>0</v>
      </c>
      <c r="S490" s="361">
        <f t="shared" si="91"/>
        <v>0</v>
      </c>
      <c r="T490" s="799">
        <f>剩余房源售价清单!I469</f>
        <v>0</v>
      </c>
      <c r="U490" s="799" t="e">
        <f t="shared" si="92"/>
        <v>#DIV/0!</v>
      </c>
    </row>
    <row r="491" spans="1:21">
      <c r="A491" s="159"/>
      <c r="B491" s="59"/>
      <c r="C491" s="24">
        <f t="shared" si="93"/>
        <v>1</v>
      </c>
      <c r="D491" s="719"/>
      <c r="E491" s="24">
        <f t="shared" si="94"/>
        <v>0</v>
      </c>
      <c r="F491" s="719"/>
      <c r="G491" s="24">
        <f t="shared" si="95"/>
        <v>0.03</v>
      </c>
      <c r="H491" s="719"/>
      <c r="I491" s="24">
        <f t="shared" si="96"/>
        <v>0.02</v>
      </c>
      <c r="J491" s="719"/>
      <c r="K491" s="24">
        <f t="shared" si="97"/>
        <v>1</v>
      </c>
      <c r="L491" s="719"/>
      <c r="M491" s="24">
        <f t="shared" si="98"/>
        <v>1</v>
      </c>
      <c r="N491" s="719"/>
      <c r="O491" s="24">
        <f t="shared" si="99"/>
        <v>1</v>
      </c>
      <c r="P491" s="719"/>
      <c r="Q491" s="24">
        <f t="shared" si="100"/>
        <v>0</v>
      </c>
      <c r="R491" s="715">
        <f t="shared" si="101"/>
        <v>0</v>
      </c>
      <c r="S491" s="361">
        <f t="shared" si="91"/>
        <v>0</v>
      </c>
      <c r="T491" s="799">
        <f>剩余房源售价清单!I470</f>
        <v>0</v>
      </c>
      <c r="U491" s="799" t="e">
        <f t="shared" si="92"/>
        <v>#DIV/0!</v>
      </c>
    </row>
    <row r="492" spans="1:21">
      <c r="A492" s="159"/>
      <c r="B492" s="59"/>
      <c r="C492" s="24">
        <f t="shared" si="93"/>
        <v>1</v>
      </c>
      <c r="D492" s="719"/>
      <c r="E492" s="24">
        <f t="shared" si="94"/>
        <v>0</v>
      </c>
      <c r="F492" s="719"/>
      <c r="G492" s="24">
        <f t="shared" si="95"/>
        <v>0.03</v>
      </c>
      <c r="H492" s="719"/>
      <c r="I492" s="24">
        <f t="shared" si="96"/>
        <v>0.02</v>
      </c>
      <c r="J492" s="719"/>
      <c r="K492" s="24">
        <f t="shared" si="97"/>
        <v>1</v>
      </c>
      <c r="L492" s="719"/>
      <c r="M492" s="24">
        <f t="shared" si="98"/>
        <v>1</v>
      </c>
      <c r="N492" s="719"/>
      <c r="O492" s="24">
        <f t="shared" si="99"/>
        <v>1</v>
      </c>
      <c r="P492" s="719"/>
      <c r="Q492" s="24">
        <f t="shared" si="100"/>
        <v>0</v>
      </c>
      <c r="R492" s="715">
        <f t="shared" si="101"/>
        <v>0</v>
      </c>
      <c r="S492" s="361">
        <f t="shared" si="91"/>
        <v>0</v>
      </c>
      <c r="T492" s="799">
        <f>剩余房源售价清单!I471</f>
        <v>0</v>
      </c>
      <c r="U492" s="799" t="e">
        <f t="shared" si="92"/>
        <v>#DIV/0!</v>
      </c>
    </row>
    <row r="493" spans="1:21">
      <c r="A493" s="159"/>
      <c r="B493" s="59"/>
      <c r="C493" s="24">
        <f t="shared" si="93"/>
        <v>1</v>
      </c>
      <c r="D493" s="719"/>
      <c r="E493" s="24">
        <f t="shared" si="94"/>
        <v>0</v>
      </c>
      <c r="F493" s="719"/>
      <c r="G493" s="24">
        <f t="shared" si="95"/>
        <v>0.03</v>
      </c>
      <c r="H493" s="719"/>
      <c r="I493" s="24">
        <f t="shared" si="96"/>
        <v>0.02</v>
      </c>
      <c r="J493" s="719"/>
      <c r="K493" s="24">
        <f t="shared" si="97"/>
        <v>1</v>
      </c>
      <c r="L493" s="719"/>
      <c r="M493" s="24">
        <f t="shared" si="98"/>
        <v>1</v>
      </c>
      <c r="N493" s="719"/>
      <c r="O493" s="24">
        <f t="shared" si="99"/>
        <v>1</v>
      </c>
      <c r="P493" s="719"/>
      <c r="Q493" s="24">
        <f t="shared" si="100"/>
        <v>0</v>
      </c>
      <c r="R493" s="715">
        <f t="shared" si="101"/>
        <v>0</v>
      </c>
      <c r="S493" s="361">
        <f t="shared" si="91"/>
        <v>0</v>
      </c>
      <c r="T493" s="799">
        <f>剩余房源售价清单!I472</f>
        <v>0</v>
      </c>
      <c r="U493" s="799" t="e">
        <f t="shared" si="92"/>
        <v>#DIV/0!</v>
      </c>
    </row>
    <row r="494" spans="1:21">
      <c r="A494" s="159"/>
      <c r="B494" s="59"/>
      <c r="C494" s="24">
        <f t="shared" si="93"/>
        <v>1</v>
      </c>
      <c r="D494" s="719"/>
      <c r="E494" s="24">
        <f t="shared" si="94"/>
        <v>0</v>
      </c>
      <c r="F494" s="719"/>
      <c r="G494" s="24">
        <f t="shared" si="95"/>
        <v>0.03</v>
      </c>
      <c r="H494" s="719"/>
      <c r="I494" s="24">
        <f t="shared" si="96"/>
        <v>0.02</v>
      </c>
      <c r="J494" s="719"/>
      <c r="K494" s="24">
        <f t="shared" si="97"/>
        <v>1</v>
      </c>
      <c r="L494" s="719"/>
      <c r="M494" s="24">
        <f t="shared" si="98"/>
        <v>1</v>
      </c>
      <c r="N494" s="719"/>
      <c r="O494" s="24">
        <f t="shared" si="99"/>
        <v>1</v>
      </c>
      <c r="P494" s="719"/>
      <c r="Q494" s="24">
        <f t="shared" si="100"/>
        <v>0</v>
      </c>
      <c r="R494" s="715">
        <f t="shared" si="101"/>
        <v>0</v>
      </c>
      <c r="S494" s="361">
        <f t="shared" si="91"/>
        <v>0</v>
      </c>
      <c r="T494" s="799">
        <f>剩余房源售价清单!I473</f>
        <v>0</v>
      </c>
      <c r="U494" s="799" t="e">
        <f t="shared" si="92"/>
        <v>#DIV/0!</v>
      </c>
    </row>
    <row r="495" spans="1:21">
      <c r="A495" s="159"/>
      <c r="B495" s="59"/>
      <c r="C495" s="24">
        <f t="shared" si="93"/>
        <v>1</v>
      </c>
      <c r="D495" s="719"/>
      <c r="E495" s="24">
        <f t="shared" si="94"/>
        <v>0</v>
      </c>
      <c r="F495" s="719"/>
      <c r="G495" s="24">
        <f t="shared" si="95"/>
        <v>0.03</v>
      </c>
      <c r="H495" s="719"/>
      <c r="I495" s="24">
        <f t="shared" si="96"/>
        <v>0.02</v>
      </c>
      <c r="J495" s="719"/>
      <c r="K495" s="24">
        <f t="shared" si="97"/>
        <v>1</v>
      </c>
      <c r="L495" s="719"/>
      <c r="M495" s="24">
        <f t="shared" si="98"/>
        <v>1</v>
      </c>
      <c r="N495" s="719"/>
      <c r="O495" s="24">
        <f t="shared" si="99"/>
        <v>1</v>
      </c>
      <c r="P495" s="719"/>
      <c r="Q495" s="24">
        <f t="shared" si="100"/>
        <v>0</v>
      </c>
      <c r="R495" s="715">
        <f t="shared" si="101"/>
        <v>0</v>
      </c>
      <c r="S495" s="361">
        <f t="shared" si="91"/>
        <v>0</v>
      </c>
      <c r="T495" s="799">
        <f>剩余房源售价清单!I474</f>
        <v>0</v>
      </c>
      <c r="U495" s="799" t="e">
        <f t="shared" si="92"/>
        <v>#DIV/0!</v>
      </c>
    </row>
    <row r="496" spans="1:21">
      <c r="A496" s="159"/>
      <c r="B496" s="59"/>
      <c r="C496" s="24">
        <f t="shared" si="93"/>
        <v>1</v>
      </c>
      <c r="D496" s="719"/>
      <c r="E496" s="24">
        <f t="shared" si="94"/>
        <v>0</v>
      </c>
      <c r="F496" s="719"/>
      <c r="G496" s="24">
        <f t="shared" si="95"/>
        <v>0.03</v>
      </c>
      <c r="H496" s="719"/>
      <c r="I496" s="24">
        <f t="shared" si="96"/>
        <v>0.02</v>
      </c>
      <c r="J496" s="719"/>
      <c r="K496" s="24">
        <f t="shared" si="97"/>
        <v>1</v>
      </c>
      <c r="L496" s="719"/>
      <c r="M496" s="24">
        <f t="shared" si="98"/>
        <v>1</v>
      </c>
      <c r="N496" s="719"/>
      <c r="O496" s="24">
        <f t="shared" si="99"/>
        <v>1</v>
      </c>
      <c r="P496" s="719"/>
      <c r="Q496" s="24">
        <f t="shared" si="100"/>
        <v>0</v>
      </c>
      <c r="R496" s="715">
        <f t="shared" si="101"/>
        <v>0</v>
      </c>
      <c r="S496" s="361">
        <f t="shared" si="91"/>
        <v>0</v>
      </c>
      <c r="T496" s="799">
        <f>剩余房源售价清单!I475</f>
        <v>0</v>
      </c>
      <c r="U496" s="799" t="e">
        <f t="shared" si="92"/>
        <v>#DIV/0!</v>
      </c>
    </row>
    <row r="497" spans="1:21">
      <c r="A497" s="159"/>
      <c r="B497" s="59"/>
      <c r="C497" s="24">
        <f t="shared" si="93"/>
        <v>1</v>
      </c>
      <c r="D497" s="719"/>
      <c r="E497" s="24">
        <f t="shared" si="94"/>
        <v>0</v>
      </c>
      <c r="F497" s="719"/>
      <c r="G497" s="24">
        <f t="shared" si="95"/>
        <v>0.03</v>
      </c>
      <c r="H497" s="719"/>
      <c r="I497" s="24">
        <f t="shared" si="96"/>
        <v>0.02</v>
      </c>
      <c r="J497" s="719"/>
      <c r="K497" s="24">
        <f t="shared" si="97"/>
        <v>1</v>
      </c>
      <c r="L497" s="719"/>
      <c r="M497" s="24">
        <f t="shared" si="98"/>
        <v>1</v>
      </c>
      <c r="N497" s="719"/>
      <c r="O497" s="24">
        <f t="shared" si="99"/>
        <v>1</v>
      </c>
      <c r="P497" s="719"/>
      <c r="Q497" s="24">
        <f t="shared" si="100"/>
        <v>0</v>
      </c>
      <c r="R497" s="715">
        <f t="shared" si="101"/>
        <v>0</v>
      </c>
      <c r="S497" s="361">
        <f t="shared" si="91"/>
        <v>0</v>
      </c>
      <c r="T497" s="799">
        <f>剩余房源售价清单!I476</f>
        <v>0</v>
      </c>
      <c r="U497" s="799" t="e">
        <f t="shared" si="92"/>
        <v>#DIV/0!</v>
      </c>
    </row>
    <row r="498" spans="1:21">
      <c r="A498" s="159"/>
      <c r="B498" s="59"/>
      <c r="C498" s="24">
        <f t="shared" si="93"/>
        <v>1</v>
      </c>
      <c r="D498" s="719"/>
      <c r="E498" s="24">
        <f t="shared" si="94"/>
        <v>0</v>
      </c>
      <c r="F498" s="719"/>
      <c r="G498" s="24">
        <f t="shared" si="95"/>
        <v>0.03</v>
      </c>
      <c r="H498" s="719"/>
      <c r="I498" s="24">
        <f t="shared" si="96"/>
        <v>0.02</v>
      </c>
      <c r="J498" s="719"/>
      <c r="K498" s="24">
        <f t="shared" si="97"/>
        <v>1</v>
      </c>
      <c r="L498" s="719"/>
      <c r="M498" s="24">
        <f t="shared" si="98"/>
        <v>1</v>
      </c>
      <c r="N498" s="719"/>
      <c r="O498" s="24">
        <f t="shared" si="99"/>
        <v>1</v>
      </c>
      <c r="P498" s="719"/>
      <c r="Q498" s="24">
        <f t="shared" si="100"/>
        <v>0</v>
      </c>
      <c r="R498" s="715">
        <f t="shared" si="101"/>
        <v>0</v>
      </c>
      <c r="S498" s="361">
        <f t="shared" ref="S498:S524" si="102">ROUND(R498*B498/10000,0)</f>
        <v>0</v>
      </c>
      <c r="T498" s="799">
        <f>剩余房源售价清单!I477</f>
        <v>0</v>
      </c>
      <c r="U498" s="799" t="e">
        <f t="shared" si="92"/>
        <v>#DIV/0!</v>
      </c>
    </row>
    <row r="499" spans="1:21">
      <c r="A499" s="159"/>
      <c r="B499" s="59"/>
      <c r="C499" s="24">
        <f t="shared" si="93"/>
        <v>1</v>
      </c>
      <c r="D499" s="719"/>
      <c r="E499" s="24">
        <f t="shared" si="94"/>
        <v>0</v>
      </c>
      <c r="F499" s="719"/>
      <c r="G499" s="24">
        <f t="shared" si="95"/>
        <v>0.03</v>
      </c>
      <c r="H499" s="719"/>
      <c r="I499" s="24">
        <f t="shared" si="96"/>
        <v>0.02</v>
      </c>
      <c r="J499" s="719"/>
      <c r="K499" s="24">
        <f t="shared" si="97"/>
        <v>1</v>
      </c>
      <c r="L499" s="719"/>
      <c r="M499" s="24">
        <f t="shared" si="98"/>
        <v>1</v>
      </c>
      <c r="N499" s="719"/>
      <c r="O499" s="24">
        <f t="shared" si="99"/>
        <v>1</v>
      </c>
      <c r="P499" s="719"/>
      <c r="Q499" s="24">
        <f t="shared" si="100"/>
        <v>0</v>
      </c>
      <c r="R499" s="715">
        <f t="shared" si="101"/>
        <v>0</v>
      </c>
      <c r="S499" s="361">
        <f t="shared" si="102"/>
        <v>0</v>
      </c>
      <c r="T499" s="799">
        <f>剩余房源售价清单!I478</f>
        <v>0</v>
      </c>
      <c r="U499" s="799" t="e">
        <f t="shared" si="92"/>
        <v>#DIV/0!</v>
      </c>
    </row>
    <row r="500" spans="1:21">
      <c r="A500" s="159"/>
      <c r="B500" s="59"/>
      <c r="C500" s="24">
        <f t="shared" si="93"/>
        <v>1</v>
      </c>
      <c r="D500" s="719"/>
      <c r="E500" s="24">
        <f t="shared" si="94"/>
        <v>0</v>
      </c>
      <c r="F500" s="719"/>
      <c r="G500" s="24">
        <f t="shared" si="95"/>
        <v>0.03</v>
      </c>
      <c r="H500" s="719"/>
      <c r="I500" s="24">
        <f t="shared" si="96"/>
        <v>0.02</v>
      </c>
      <c r="J500" s="719"/>
      <c r="K500" s="24">
        <f t="shared" si="97"/>
        <v>1</v>
      </c>
      <c r="L500" s="719"/>
      <c r="M500" s="24">
        <f t="shared" si="98"/>
        <v>1</v>
      </c>
      <c r="N500" s="719"/>
      <c r="O500" s="24">
        <f t="shared" si="99"/>
        <v>1</v>
      </c>
      <c r="P500" s="719"/>
      <c r="Q500" s="24">
        <f t="shared" si="100"/>
        <v>0</v>
      </c>
      <c r="R500" s="715">
        <f t="shared" si="101"/>
        <v>0</v>
      </c>
      <c r="S500" s="361">
        <f t="shared" si="102"/>
        <v>0</v>
      </c>
      <c r="T500" s="799">
        <f>剩余房源售价清单!I479</f>
        <v>0</v>
      </c>
      <c r="U500" s="799" t="e">
        <f t="shared" si="92"/>
        <v>#DIV/0!</v>
      </c>
    </row>
    <row r="501" spans="1:21">
      <c r="A501" s="159"/>
      <c r="B501" s="59"/>
      <c r="C501" s="24">
        <f t="shared" si="93"/>
        <v>1</v>
      </c>
      <c r="D501" s="719"/>
      <c r="E501" s="24">
        <f t="shared" si="94"/>
        <v>0</v>
      </c>
      <c r="F501" s="719"/>
      <c r="G501" s="24">
        <f t="shared" si="95"/>
        <v>0.03</v>
      </c>
      <c r="H501" s="719"/>
      <c r="I501" s="24">
        <f t="shared" si="96"/>
        <v>0.02</v>
      </c>
      <c r="J501" s="719"/>
      <c r="K501" s="24">
        <f t="shared" si="97"/>
        <v>1</v>
      </c>
      <c r="L501" s="719"/>
      <c r="M501" s="24">
        <f t="shared" si="98"/>
        <v>1</v>
      </c>
      <c r="N501" s="719"/>
      <c r="O501" s="24">
        <f t="shared" si="99"/>
        <v>1</v>
      </c>
      <c r="P501" s="719"/>
      <c r="Q501" s="24">
        <f t="shared" si="100"/>
        <v>0</v>
      </c>
      <c r="R501" s="715">
        <f t="shared" si="101"/>
        <v>0</v>
      </c>
      <c r="S501" s="361">
        <f t="shared" si="102"/>
        <v>0</v>
      </c>
      <c r="T501" s="799">
        <f>剩余房源售价清单!I480</f>
        <v>0</v>
      </c>
      <c r="U501" s="799" t="e">
        <f t="shared" si="92"/>
        <v>#DIV/0!</v>
      </c>
    </row>
    <row r="502" spans="1:21">
      <c r="A502" s="159"/>
      <c r="B502" s="59"/>
      <c r="C502" s="24">
        <f t="shared" si="93"/>
        <v>1</v>
      </c>
      <c r="D502" s="719"/>
      <c r="E502" s="24">
        <f t="shared" si="94"/>
        <v>0</v>
      </c>
      <c r="F502" s="719"/>
      <c r="G502" s="24">
        <f t="shared" si="95"/>
        <v>0.03</v>
      </c>
      <c r="H502" s="719"/>
      <c r="I502" s="24">
        <f t="shared" si="96"/>
        <v>0.02</v>
      </c>
      <c r="J502" s="719"/>
      <c r="K502" s="24">
        <f t="shared" si="97"/>
        <v>1</v>
      </c>
      <c r="L502" s="719"/>
      <c r="M502" s="24">
        <f t="shared" si="98"/>
        <v>1</v>
      </c>
      <c r="N502" s="719"/>
      <c r="O502" s="24">
        <f t="shared" si="99"/>
        <v>1</v>
      </c>
      <c r="P502" s="719"/>
      <c r="Q502" s="24">
        <f t="shared" si="100"/>
        <v>0</v>
      </c>
      <c r="R502" s="715">
        <f t="shared" si="101"/>
        <v>0</v>
      </c>
      <c r="S502" s="361">
        <f t="shared" si="102"/>
        <v>0</v>
      </c>
      <c r="T502" s="799">
        <f>剩余房源售价清单!I481</f>
        <v>0</v>
      </c>
      <c r="U502" s="799" t="e">
        <f t="shared" si="92"/>
        <v>#DIV/0!</v>
      </c>
    </row>
    <row r="503" spans="1:21">
      <c r="A503" s="159"/>
      <c r="B503" s="59"/>
      <c r="C503" s="24">
        <f t="shared" si="93"/>
        <v>1</v>
      </c>
      <c r="D503" s="719"/>
      <c r="E503" s="24">
        <f t="shared" si="94"/>
        <v>0</v>
      </c>
      <c r="F503" s="719"/>
      <c r="G503" s="24">
        <f t="shared" si="95"/>
        <v>0.03</v>
      </c>
      <c r="H503" s="719"/>
      <c r="I503" s="24">
        <f t="shared" si="96"/>
        <v>0.02</v>
      </c>
      <c r="J503" s="719"/>
      <c r="K503" s="24">
        <f t="shared" si="97"/>
        <v>1</v>
      </c>
      <c r="L503" s="719"/>
      <c r="M503" s="24">
        <f t="shared" si="98"/>
        <v>1</v>
      </c>
      <c r="N503" s="719"/>
      <c r="O503" s="24">
        <f t="shared" si="99"/>
        <v>1</v>
      </c>
      <c r="P503" s="719"/>
      <c r="Q503" s="24">
        <f t="shared" si="100"/>
        <v>0</v>
      </c>
      <c r="R503" s="715">
        <f t="shared" si="101"/>
        <v>0</v>
      </c>
      <c r="S503" s="361">
        <f t="shared" si="102"/>
        <v>0</v>
      </c>
      <c r="T503" s="799">
        <f>剩余房源售价清单!I482</f>
        <v>0</v>
      </c>
      <c r="U503" s="799" t="e">
        <f t="shared" si="92"/>
        <v>#DIV/0!</v>
      </c>
    </row>
    <row r="504" spans="1:21">
      <c r="A504" s="159"/>
      <c r="B504" s="59"/>
      <c r="C504" s="24">
        <f t="shared" si="93"/>
        <v>1</v>
      </c>
      <c r="D504" s="719"/>
      <c r="E504" s="24">
        <f t="shared" si="94"/>
        <v>0</v>
      </c>
      <c r="F504" s="719"/>
      <c r="G504" s="24">
        <f t="shared" si="95"/>
        <v>0.03</v>
      </c>
      <c r="H504" s="719"/>
      <c r="I504" s="24">
        <f t="shared" si="96"/>
        <v>0.02</v>
      </c>
      <c r="J504" s="719"/>
      <c r="K504" s="24">
        <f t="shared" si="97"/>
        <v>1</v>
      </c>
      <c r="L504" s="719"/>
      <c r="M504" s="24">
        <f t="shared" si="98"/>
        <v>1</v>
      </c>
      <c r="N504" s="719"/>
      <c r="O504" s="24">
        <f t="shared" si="99"/>
        <v>1</v>
      </c>
      <c r="P504" s="719"/>
      <c r="Q504" s="24">
        <f t="shared" si="100"/>
        <v>0</v>
      </c>
      <c r="R504" s="715">
        <f t="shared" si="101"/>
        <v>0</v>
      </c>
      <c r="S504" s="361">
        <f t="shared" si="102"/>
        <v>0</v>
      </c>
      <c r="T504" s="799">
        <f>剩余房源售价清单!I483</f>
        <v>0</v>
      </c>
      <c r="U504" s="799" t="e">
        <f t="shared" si="92"/>
        <v>#DIV/0!</v>
      </c>
    </row>
    <row r="505" spans="1:21">
      <c r="A505" s="159"/>
      <c r="B505" s="59"/>
      <c r="C505" s="24">
        <f t="shared" si="93"/>
        <v>1</v>
      </c>
      <c r="D505" s="719"/>
      <c r="E505" s="24">
        <f t="shared" si="94"/>
        <v>0</v>
      </c>
      <c r="F505" s="719"/>
      <c r="G505" s="24">
        <f t="shared" si="95"/>
        <v>0.03</v>
      </c>
      <c r="H505" s="719"/>
      <c r="I505" s="24">
        <f t="shared" si="96"/>
        <v>0.02</v>
      </c>
      <c r="J505" s="719"/>
      <c r="K505" s="24">
        <f t="shared" si="97"/>
        <v>1</v>
      </c>
      <c r="L505" s="719"/>
      <c r="M505" s="24">
        <f t="shared" si="98"/>
        <v>1</v>
      </c>
      <c r="N505" s="719"/>
      <c r="O505" s="24">
        <f t="shared" si="99"/>
        <v>1</v>
      </c>
      <c r="P505" s="719"/>
      <c r="Q505" s="24">
        <f t="shared" si="100"/>
        <v>0</v>
      </c>
      <c r="R505" s="715">
        <f t="shared" si="101"/>
        <v>0</v>
      </c>
      <c r="S505" s="361">
        <f t="shared" si="102"/>
        <v>0</v>
      </c>
      <c r="T505" s="799">
        <f>剩余房源售价清单!I484</f>
        <v>0</v>
      </c>
      <c r="U505" s="799" t="e">
        <f t="shared" si="92"/>
        <v>#DIV/0!</v>
      </c>
    </row>
    <row r="506" spans="1:21">
      <c r="A506" s="159"/>
      <c r="B506" s="59"/>
      <c r="C506" s="24">
        <f t="shared" si="93"/>
        <v>1</v>
      </c>
      <c r="D506" s="719"/>
      <c r="E506" s="24">
        <f t="shared" si="94"/>
        <v>0</v>
      </c>
      <c r="F506" s="719"/>
      <c r="G506" s="24">
        <f t="shared" si="95"/>
        <v>0.03</v>
      </c>
      <c r="H506" s="719"/>
      <c r="I506" s="24">
        <f t="shared" si="96"/>
        <v>0.02</v>
      </c>
      <c r="J506" s="719"/>
      <c r="K506" s="24">
        <f t="shared" si="97"/>
        <v>1</v>
      </c>
      <c r="L506" s="719"/>
      <c r="M506" s="24">
        <f t="shared" si="98"/>
        <v>1</v>
      </c>
      <c r="N506" s="719"/>
      <c r="O506" s="24">
        <f t="shared" si="99"/>
        <v>1</v>
      </c>
      <c r="P506" s="719"/>
      <c r="Q506" s="24">
        <f t="shared" si="100"/>
        <v>0</v>
      </c>
      <c r="R506" s="715">
        <f t="shared" si="101"/>
        <v>0</v>
      </c>
      <c r="S506" s="361">
        <f t="shared" si="102"/>
        <v>0</v>
      </c>
      <c r="T506" s="799">
        <f>剩余房源售价清单!I485</f>
        <v>0</v>
      </c>
      <c r="U506" s="799" t="e">
        <f t="shared" si="92"/>
        <v>#DIV/0!</v>
      </c>
    </row>
    <row r="507" spans="1:21">
      <c r="A507" s="159"/>
      <c r="B507" s="59"/>
      <c r="C507" s="24">
        <f t="shared" si="93"/>
        <v>1</v>
      </c>
      <c r="D507" s="719"/>
      <c r="E507" s="24">
        <f t="shared" si="94"/>
        <v>0</v>
      </c>
      <c r="F507" s="719"/>
      <c r="G507" s="24">
        <f t="shared" si="95"/>
        <v>0.03</v>
      </c>
      <c r="H507" s="719"/>
      <c r="I507" s="24">
        <f t="shared" si="96"/>
        <v>0.02</v>
      </c>
      <c r="J507" s="719"/>
      <c r="K507" s="24">
        <f t="shared" si="97"/>
        <v>1</v>
      </c>
      <c r="L507" s="719"/>
      <c r="M507" s="24">
        <f t="shared" si="98"/>
        <v>1</v>
      </c>
      <c r="N507" s="719"/>
      <c r="O507" s="24">
        <f t="shared" si="99"/>
        <v>1</v>
      </c>
      <c r="P507" s="719"/>
      <c r="Q507" s="24">
        <f t="shared" si="100"/>
        <v>0</v>
      </c>
      <c r="R507" s="715">
        <f t="shared" si="101"/>
        <v>0</v>
      </c>
      <c r="S507" s="361">
        <f t="shared" si="102"/>
        <v>0</v>
      </c>
      <c r="T507" s="799">
        <f>剩余房源售价清单!I486</f>
        <v>0</v>
      </c>
      <c r="U507" s="799" t="e">
        <f t="shared" si="92"/>
        <v>#DIV/0!</v>
      </c>
    </row>
    <row r="508" spans="1:21">
      <c r="A508" s="159"/>
      <c r="B508" s="59"/>
      <c r="C508" s="24">
        <f t="shared" si="93"/>
        <v>1</v>
      </c>
      <c r="D508" s="719"/>
      <c r="E508" s="24">
        <f t="shared" si="94"/>
        <v>0</v>
      </c>
      <c r="F508" s="719"/>
      <c r="G508" s="24">
        <f t="shared" si="95"/>
        <v>0.03</v>
      </c>
      <c r="H508" s="719"/>
      <c r="I508" s="24">
        <f t="shared" si="96"/>
        <v>0.02</v>
      </c>
      <c r="J508" s="719"/>
      <c r="K508" s="24">
        <f t="shared" si="97"/>
        <v>1</v>
      </c>
      <c r="L508" s="719"/>
      <c r="M508" s="24">
        <f t="shared" si="98"/>
        <v>1</v>
      </c>
      <c r="N508" s="719"/>
      <c r="O508" s="24">
        <f t="shared" si="99"/>
        <v>1</v>
      </c>
      <c r="P508" s="719"/>
      <c r="Q508" s="24">
        <f t="shared" si="100"/>
        <v>0</v>
      </c>
      <c r="R508" s="715">
        <f t="shared" si="101"/>
        <v>0</v>
      </c>
      <c r="S508" s="361">
        <f t="shared" si="102"/>
        <v>0</v>
      </c>
      <c r="T508" s="799">
        <f>剩余房源售价清单!I487</f>
        <v>0</v>
      </c>
      <c r="U508" s="799" t="e">
        <f t="shared" si="92"/>
        <v>#DIV/0!</v>
      </c>
    </row>
    <row r="509" spans="1:21">
      <c r="A509" s="159"/>
      <c r="B509" s="59"/>
      <c r="C509" s="24">
        <f t="shared" si="93"/>
        <v>1</v>
      </c>
      <c r="D509" s="719"/>
      <c r="E509" s="24">
        <f t="shared" si="94"/>
        <v>0</v>
      </c>
      <c r="F509" s="719"/>
      <c r="G509" s="24">
        <f t="shared" si="95"/>
        <v>0.03</v>
      </c>
      <c r="H509" s="719"/>
      <c r="I509" s="24">
        <f t="shared" si="96"/>
        <v>0.02</v>
      </c>
      <c r="J509" s="719"/>
      <c r="K509" s="24">
        <f t="shared" si="97"/>
        <v>1</v>
      </c>
      <c r="L509" s="719"/>
      <c r="M509" s="24">
        <f t="shared" si="98"/>
        <v>1</v>
      </c>
      <c r="N509" s="719"/>
      <c r="O509" s="24">
        <f t="shared" si="99"/>
        <v>1</v>
      </c>
      <c r="P509" s="719"/>
      <c r="Q509" s="24">
        <f t="shared" si="100"/>
        <v>0</v>
      </c>
      <c r="R509" s="715">
        <f t="shared" si="101"/>
        <v>0</v>
      </c>
      <c r="S509" s="361">
        <f t="shared" si="102"/>
        <v>0</v>
      </c>
      <c r="T509" s="799">
        <f>剩余房源售价清单!I488</f>
        <v>0</v>
      </c>
      <c r="U509" s="799" t="e">
        <f t="shared" si="92"/>
        <v>#DIV/0!</v>
      </c>
    </row>
    <row r="510" spans="1:21">
      <c r="A510" s="159"/>
      <c r="B510" s="59"/>
      <c r="C510" s="24">
        <f t="shared" si="93"/>
        <v>1</v>
      </c>
      <c r="D510" s="719"/>
      <c r="E510" s="24">
        <f t="shared" si="94"/>
        <v>0</v>
      </c>
      <c r="F510" s="719"/>
      <c r="G510" s="24">
        <f t="shared" si="95"/>
        <v>0.03</v>
      </c>
      <c r="H510" s="719"/>
      <c r="I510" s="24">
        <f t="shared" si="96"/>
        <v>0.02</v>
      </c>
      <c r="J510" s="719"/>
      <c r="K510" s="24">
        <f t="shared" si="97"/>
        <v>1</v>
      </c>
      <c r="L510" s="719"/>
      <c r="M510" s="24">
        <f t="shared" si="98"/>
        <v>1</v>
      </c>
      <c r="N510" s="719"/>
      <c r="O510" s="24">
        <f t="shared" si="99"/>
        <v>1</v>
      </c>
      <c r="P510" s="719"/>
      <c r="Q510" s="24">
        <f t="shared" si="100"/>
        <v>0</v>
      </c>
      <c r="R510" s="715">
        <f t="shared" si="101"/>
        <v>0</v>
      </c>
      <c r="S510" s="361">
        <f t="shared" si="102"/>
        <v>0</v>
      </c>
      <c r="T510" s="799">
        <f>剩余房源售价清单!I489</f>
        <v>0</v>
      </c>
      <c r="U510" s="799" t="e">
        <f t="shared" si="92"/>
        <v>#DIV/0!</v>
      </c>
    </row>
    <row r="511" spans="1:21">
      <c r="A511" s="159"/>
      <c r="B511" s="59"/>
      <c r="C511" s="24">
        <f t="shared" si="93"/>
        <v>1</v>
      </c>
      <c r="D511" s="719"/>
      <c r="E511" s="24">
        <f t="shared" si="94"/>
        <v>0</v>
      </c>
      <c r="F511" s="719"/>
      <c r="G511" s="24">
        <f t="shared" si="95"/>
        <v>0.03</v>
      </c>
      <c r="H511" s="719"/>
      <c r="I511" s="24">
        <f t="shared" si="96"/>
        <v>0.02</v>
      </c>
      <c r="J511" s="719"/>
      <c r="K511" s="24">
        <f t="shared" si="97"/>
        <v>1</v>
      </c>
      <c r="L511" s="719"/>
      <c r="M511" s="24">
        <f t="shared" si="98"/>
        <v>1</v>
      </c>
      <c r="N511" s="719"/>
      <c r="O511" s="24">
        <f t="shared" si="99"/>
        <v>1</v>
      </c>
      <c r="P511" s="719"/>
      <c r="Q511" s="24">
        <f t="shared" si="100"/>
        <v>0</v>
      </c>
      <c r="R511" s="715">
        <f t="shared" si="101"/>
        <v>0</v>
      </c>
      <c r="S511" s="361">
        <f t="shared" si="102"/>
        <v>0</v>
      </c>
      <c r="T511" s="799">
        <f>剩余房源售价清单!I490</f>
        <v>0</v>
      </c>
      <c r="U511" s="799" t="e">
        <f t="shared" si="92"/>
        <v>#DIV/0!</v>
      </c>
    </row>
    <row r="512" spans="1:21">
      <c r="A512" s="159"/>
      <c r="B512" s="59"/>
      <c r="C512" s="24">
        <f t="shared" si="93"/>
        <v>1</v>
      </c>
      <c r="D512" s="719"/>
      <c r="E512" s="24">
        <f t="shared" si="94"/>
        <v>0</v>
      </c>
      <c r="F512" s="719"/>
      <c r="G512" s="24">
        <f t="shared" si="95"/>
        <v>0.03</v>
      </c>
      <c r="H512" s="719"/>
      <c r="I512" s="24">
        <f t="shared" si="96"/>
        <v>0.02</v>
      </c>
      <c r="J512" s="719"/>
      <c r="K512" s="24">
        <f t="shared" si="97"/>
        <v>1</v>
      </c>
      <c r="L512" s="719"/>
      <c r="M512" s="24">
        <f t="shared" si="98"/>
        <v>1</v>
      </c>
      <c r="N512" s="719"/>
      <c r="O512" s="24">
        <f t="shared" si="99"/>
        <v>1</v>
      </c>
      <c r="P512" s="719"/>
      <c r="Q512" s="24">
        <f t="shared" si="100"/>
        <v>0</v>
      </c>
      <c r="R512" s="715">
        <f t="shared" si="101"/>
        <v>0</v>
      </c>
      <c r="S512" s="361">
        <f t="shared" si="102"/>
        <v>0</v>
      </c>
      <c r="T512" s="799">
        <f>剩余房源售价清单!I491</f>
        <v>0</v>
      </c>
      <c r="U512" s="799" t="e">
        <f t="shared" si="92"/>
        <v>#DIV/0!</v>
      </c>
    </row>
    <row r="513" spans="1:21">
      <c r="A513" s="159"/>
      <c r="B513" s="59"/>
      <c r="C513" s="24">
        <f t="shared" si="93"/>
        <v>1</v>
      </c>
      <c r="D513" s="719"/>
      <c r="E513" s="24">
        <f t="shared" si="94"/>
        <v>0</v>
      </c>
      <c r="F513" s="719"/>
      <c r="G513" s="24">
        <f t="shared" si="95"/>
        <v>0.03</v>
      </c>
      <c r="H513" s="719"/>
      <c r="I513" s="24">
        <f t="shared" si="96"/>
        <v>0.02</v>
      </c>
      <c r="J513" s="719"/>
      <c r="K513" s="24">
        <f t="shared" si="97"/>
        <v>1</v>
      </c>
      <c r="L513" s="719"/>
      <c r="M513" s="24">
        <f t="shared" si="98"/>
        <v>1</v>
      </c>
      <c r="N513" s="719"/>
      <c r="O513" s="24">
        <f t="shared" si="99"/>
        <v>1</v>
      </c>
      <c r="P513" s="719"/>
      <c r="Q513" s="24">
        <f t="shared" si="100"/>
        <v>0</v>
      </c>
      <c r="R513" s="715">
        <f t="shared" si="101"/>
        <v>0</v>
      </c>
      <c r="S513" s="361">
        <f t="shared" si="102"/>
        <v>0</v>
      </c>
      <c r="T513" s="799">
        <f>剩余房源售价清单!I492</f>
        <v>0</v>
      </c>
      <c r="U513" s="799" t="e">
        <f t="shared" si="92"/>
        <v>#DIV/0!</v>
      </c>
    </row>
    <row r="514" spans="1:21">
      <c r="A514" s="159"/>
      <c r="B514" s="59"/>
      <c r="C514" s="24">
        <f t="shared" si="93"/>
        <v>1</v>
      </c>
      <c r="D514" s="719"/>
      <c r="E514" s="24">
        <f t="shared" si="94"/>
        <v>0</v>
      </c>
      <c r="F514" s="719"/>
      <c r="G514" s="24">
        <f t="shared" si="95"/>
        <v>0.03</v>
      </c>
      <c r="H514" s="719"/>
      <c r="I514" s="24">
        <f t="shared" si="96"/>
        <v>0.02</v>
      </c>
      <c r="J514" s="719"/>
      <c r="K514" s="24">
        <f t="shared" si="97"/>
        <v>1</v>
      </c>
      <c r="L514" s="719"/>
      <c r="M514" s="24">
        <f t="shared" si="98"/>
        <v>1</v>
      </c>
      <c r="N514" s="719"/>
      <c r="O514" s="24">
        <f t="shared" si="99"/>
        <v>1</v>
      </c>
      <c r="P514" s="719"/>
      <c r="Q514" s="24">
        <f t="shared" si="100"/>
        <v>0</v>
      </c>
      <c r="R514" s="715">
        <f t="shared" si="101"/>
        <v>0</v>
      </c>
      <c r="S514" s="361">
        <f t="shared" si="102"/>
        <v>0</v>
      </c>
      <c r="T514" s="799">
        <f>剩余房源售价清单!I493</f>
        <v>0</v>
      </c>
      <c r="U514" s="799" t="e">
        <f t="shared" si="92"/>
        <v>#DIV/0!</v>
      </c>
    </row>
    <row r="515" spans="1:21">
      <c r="A515" s="159"/>
      <c r="B515" s="59"/>
      <c r="C515" s="24">
        <f t="shared" si="93"/>
        <v>1</v>
      </c>
      <c r="D515" s="719"/>
      <c r="E515" s="24">
        <f t="shared" si="94"/>
        <v>0</v>
      </c>
      <c r="F515" s="719"/>
      <c r="G515" s="24">
        <f t="shared" si="95"/>
        <v>0.03</v>
      </c>
      <c r="H515" s="719"/>
      <c r="I515" s="24">
        <f t="shared" si="96"/>
        <v>0.02</v>
      </c>
      <c r="J515" s="719"/>
      <c r="K515" s="24">
        <f t="shared" si="97"/>
        <v>1</v>
      </c>
      <c r="L515" s="719"/>
      <c r="M515" s="24">
        <f t="shared" si="98"/>
        <v>1</v>
      </c>
      <c r="N515" s="719"/>
      <c r="O515" s="24">
        <f t="shared" si="99"/>
        <v>1</v>
      </c>
      <c r="P515" s="719"/>
      <c r="Q515" s="24">
        <f t="shared" si="100"/>
        <v>0</v>
      </c>
      <c r="R515" s="715">
        <f t="shared" si="101"/>
        <v>0</v>
      </c>
      <c r="S515" s="361">
        <f t="shared" si="102"/>
        <v>0</v>
      </c>
      <c r="T515" s="799">
        <f>剩余房源售价清单!I494</f>
        <v>0</v>
      </c>
      <c r="U515" s="799" t="e">
        <f t="shared" si="92"/>
        <v>#DIV/0!</v>
      </c>
    </row>
    <row r="516" spans="1:21">
      <c r="A516" s="159"/>
      <c r="B516" s="59"/>
      <c r="C516" s="24">
        <f t="shared" si="93"/>
        <v>1</v>
      </c>
      <c r="D516" s="719"/>
      <c r="E516" s="24">
        <f t="shared" si="94"/>
        <v>0</v>
      </c>
      <c r="F516" s="719"/>
      <c r="G516" s="24">
        <f t="shared" si="95"/>
        <v>0.03</v>
      </c>
      <c r="H516" s="719"/>
      <c r="I516" s="24">
        <f t="shared" si="96"/>
        <v>0.02</v>
      </c>
      <c r="J516" s="719"/>
      <c r="K516" s="24">
        <f t="shared" si="97"/>
        <v>1</v>
      </c>
      <c r="L516" s="719"/>
      <c r="M516" s="24">
        <f t="shared" si="98"/>
        <v>1</v>
      </c>
      <c r="N516" s="719"/>
      <c r="O516" s="24">
        <f t="shared" si="99"/>
        <v>1</v>
      </c>
      <c r="P516" s="719"/>
      <c r="Q516" s="24">
        <f t="shared" si="100"/>
        <v>0</v>
      </c>
      <c r="R516" s="715">
        <f t="shared" si="101"/>
        <v>0</v>
      </c>
      <c r="S516" s="361">
        <f t="shared" si="102"/>
        <v>0</v>
      </c>
      <c r="T516" s="799">
        <f>剩余房源售价清单!I495</f>
        <v>0</v>
      </c>
      <c r="U516" s="799" t="e">
        <f t="shared" si="92"/>
        <v>#DIV/0!</v>
      </c>
    </row>
    <row r="517" spans="1:21">
      <c r="A517" s="159"/>
      <c r="B517" s="59"/>
      <c r="C517" s="24">
        <f t="shared" si="93"/>
        <v>1</v>
      </c>
      <c r="D517" s="719"/>
      <c r="E517" s="24">
        <f t="shared" si="94"/>
        <v>0</v>
      </c>
      <c r="F517" s="719"/>
      <c r="G517" s="24">
        <f t="shared" si="95"/>
        <v>0.03</v>
      </c>
      <c r="H517" s="719"/>
      <c r="I517" s="24">
        <f t="shared" si="96"/>
        <v>0.02</v>
      </c>
      <c r="J517" s="719"/>
      <c r="K517" s="24">
        <f t="shared" si="97"/>
        <v>1</v>
      </c>
      <c r="L517" s="719"/>
      <c r="M517" s="24">
        <f t="shared" si="98"/>
        <v>1</v>
      </c>
      <c r="N517" s="719"/>
      <c r="O517" s="24">
        <f t="shared" si="99"/>
        <v>1</v>
      </c>
      <c r="P517" s="719"/>
      <c r="Q517" s="24">
        <f t="shared" si="100"/>
        <v>0</v>
      </c>
      <c r="R517" s="715">
        <f t="shared" si="101"/>
        <v>0</v>
      </c>
      <c r="S517" s="361">
        <f t="shared" si="102"/>
        <v>0</v>
      </c>
      <c r="T517" s="799">
        <f>剩余房源售价清单!I496</f>
        <v>0</v>
      </c>
      <c r="U517" s="799" t="e">
        <f t="shared" si="92"/>
        <v>#DIV/0!</v>
      </c>
    </row>
    <row r="518" spans="1:21">
      <c r="A518" s="159"/>
      <c r="B518" s="59"/>
      <c r="C518" s="24">
        <f t="shared" si="93"/>
        <v>1</v>
      </c>
      <c r="D518" s="719"/>
      <c r="E518" s="24">
        <f t="shared" si="94"/>
        <v>0</v>
      </c>
      <c r="F518" s="719"/>
      <c r="G518" s="24">
        <f t="shared" si="95"/>
        <v>0.03</v>
      </c>
      <c r="H518" s="719"/>
      <c r="I518" s="24">
        <f t="shared" si="96"/>
        <v>0.02</v>
      </c>
      <c r="J518" s="719"/>
      <c r="K518" s="24">
        <f t="shared" si="97"/>
        <v>1</v>
      </c>
      <c r="L518" s="719"/>
      <c r="M518" s="24">
        <f t="shared" si="98"/>
        <v>1</v>
      </c>
      <c r="N518" s="719"/>
      <c r="O518" s="24">
        <f t="shared" si="99"/>
        <v>1</v>
      </c>
      <c r="P518" s="719"/>
      <c r="Q518" s="24">
        <f t="shared" si="100"/>
        <v>0</v>
      </c>
      <c r="R518" s="715">
        <f t="shared" si="101"/>
        <v>0</v>
      </c>
      <c r="S518" s="361">
        <f t="shared" si="102"/>
        <v>0</v>
      </c>
      <c r="T518" s="799">
        <f>剩余房源售价清单!I497</f>
        <v>0</v>
      </c>
      <c r="U518" s="799" t="e">
        <f t="shared" si="92"/>
        <v>#DIV/0!</v>
      </c>
    </row>
    <row r="519" spans="1:21">
      <c r="A519" s="159"/>
      <c r="B519" s="59"/>
      <c r="C519" s="24">
        <f t="shared" si="93"/>
        <v>1</v>
      </c>
      <c r="D519" s="719"/>
      <c r="E519" s="24">
        <f t="shared" si="94"/>
        <v>0</v>
      </c>
      <c r="F519" s="719"/>
      <c r="G519" s="24">
        <f t="shared" si="95"/>
        <v>0.03</v>
      </c>
      <c r="H519" s="719"/>
      <c r="I519" s="24">
        <f t="shared" si="96"/>
        <v>0.02</v>
      </c>
      <c r="J519" s="719"/>
      <c r="K519" s="24">
        <f t="shared" si="97"/>
        <v>1</v>
      </c>
      <c r="L519" s="719"/>
      <c r="M519" s="24">
        <f t="shared" si="98"/>
        <v>1</v>
      </c>
      <c r="N519" s="719"/>
      <c r="O519" s="24">
        <f t="shared" si="99"/>
        <v>1</v>
      </c>
      <c r="P519" s="719"/>
      <c r="Q519" s="24">
        <f t="shared" si="100"/>
        <v>0</v>
      </c>
      <c r="R519" s="715">
        <f t="shared" si="101"/>
        <v>0</v>
      </c>
      <c r="S519" s="361">
        <f t="shared" si="102"/>
        <v>0</v>
      </c>
      <c r="T519" s="799">
        <f>剩余房源售价清单!I498</f>
        <v>0</v>
      </c>
      <c r="U519" s="799" t="e">
        <f t="shared" si="92"/>
        <v>#DIV/0!</v>
      </c>
    </row>
    <row r="520" spans="1:21">
      <c r="A520" s="159"/>
      <c r="B520" s="59"/>
      <c r="C520" s="24">
        <f t="shared" si="93"/>
        <v>1</v>
      </c>
      <c r="D520" s="719"/>
      <c r="E520" s="24">
        <f t="shared" si="94"/>
        <v>0</v>
      </c>
      <c r="F520" s="719"/>
      <c r="G520" s="24">
        <f t="shared" si="95"/>
        <v>0.03</v>
      </c>
      <c r="H520" s="719"/>
      <c r="I520" s="24">
        <f t="shared" si="96"/>
        <v>0.02</v>
      </c>
      <c r="J520" s="719"/>
      <c r="K520" s="24">
        <f t="shared" si="97"/>
        <v>1</v>
      </c>
      <c r="L520" s="719"/>
      <c r="M520" s="24">
        <f t="shared" si="98"/>
        <v>1</v>
      </c>
      <c r="N520" s="719"/>
      <c r="O520" s="24">
        <f t="shared" si="99"/>
        <v>1</v>
      </c>
      <c r="P520" s="719"/>
      <c r="Q520" s="24">
        <f t="shared" si="100"/>
        <v>0</v>
      </c>
      <c r="R520" s="715">
        <f t="shared" si="101"/>
        <v>0</v>
      </c>
      <c r="S520" s="361">
        <f t="shared" si="102"/>
        <v>0</v>
      </c>
      <c r="T520" s="799">
        <f>剩余房源售价清单!I499</f>
        <v>0</v>
      </c>
      <c r="U520" s="799" t="e">
        <f t="shared" si="92"/>
        <v>#DIV/0!</v>
      </c>
    </row>
    <row r="521" spans="1:21">
      <c r="A521" s="159"/>
      <c r="B521" s="59"/>
      <c r="C521" s="24">
        <f t="shared" si="93"/>
        <v>1</v>
      </c>
      <c r="D521" s="719"/>
      <c r="E521" s="24">
        <f t="shared" si="94"/>
        <v>0</v>
      </c>
      <c r="F521" s="719"/>
      <c r="G521" s="24">
        <f t="shared" si="95"/>
        <v>0.03</v>
      </c>
      <c r="H521" s="719"/>
      <c r="I521" s="24">
        <f t="shared" si="96"/>
        <v>0.02</v>
      </c>
      <c r="J521" s="719"/>
      <c r="K521" s="24">
        <f t="shared" si="97"/>
        <v>1</v>
      </c>
      <c r="L521" s="719"/>
      <c r="M521" s="24">
        <f t="shared" si="98"/>
        <v>1</v>
      </c>
      <c r="N521" s="719"/>
      <c r="O521" s="24">
        <f t="shared" si="99"/>
        <v>1</v>
      </c>
      <c r="P521" s="719"/>
      <c r="Q521" s="24">
        <f t="shared" si="100"/>
        <v>0</v>
      </c>
      <c r="R521" s="715">
        <f t="shared" si="101"/>
        <v>0</v>
      </c>
      <c r="S521" s="361">
        <f t="shared" si="102"/>
        <v>0</v>
      </c>
      <c r="T521" s="799">
        <f>剩余房源售价清单!I500</f>
        <v>0</v>
      </c>
      <c r="U521" s="799" t="e">
        <f t="shared" si="92"/>
        <v>#DIV/0!</v>
      </c>
    </row>
    <row r="522" spans="1:21">
      <c r="A522" s="159"/>
      <c r="B522" s="59"/>
      <c r="C522" s="24">
        <f t="shared" si="93"/>
        <v>1</v>
      </c>
      <c r="D522" s="719"/>
      <c r="E522" s="24">
        <f t="shared" si="94"/>
        <v>0</v>
      </c>
      <c r="F522" s="719"/>
      <c r="G522" s="24">
        <f t="shared" si="95"/>
        <v>0.03</v>
      </c>
      <c r="H522" s="719"/>
      <c r="I522" s="24">
        <f t="shared" si="96"/>
        <v>0.02</v>
      </c>
      <c r="J522" s="719"/>
      <c r="K522" s="24">
        <f t="shared" si="97"/>
        <v>1</v>
      </c>
      <c r="L522" s="719"/>
      <c r="M522" s="24">
        <f t="shared" si="98"/>
        <v>1</v>
      </c>
      <c r="N522" s="719"/>
      <c r="O522" s="24">
        <f t="shared" si="99"/>
        <v>1</v>
      </c>
      <c r="P522" s="719"/>
      <c r="Q522" s="24">
        <f t="shared" si="100"/>
        <v>0</v>
      </c>
      <c r="R522" s="715">
        <f t="shared" si="101"/>
        <v>0</v>
      </c>
      <c r="S522" s="361">
        <f t="shared" si="102"/>
        <v>0</v>
      </c>
      <c r="T522" s="799">
        <f>剩余房源售价清单!I501</f>
        <v>0</v>
      </c>
      <c r="U522" s="799" t="e">
        <f t="shared" si="92"/>
        <v>#DIV/0!</v>
      </c>
    </row>
    <row r="523" spans="1:21">
      <c r="A523" s="159"/>
      <c r="B523" s="59"/>
      <c r="C523" s="24">
        <f t="shared" si="93"/>
        <v>1</v>
      </c>
      <c r="D523" s="719"/>
      <c r="E523" s="24">
        <f t="shared" si="94"/>
        <v>0</v>
      </c>
      <c r="F523" s="719"/>
      <c r="G523" s="24">
        <f t="shared" si="95"/>
        <v>0.03</v>
      </c>
      <c r="H523" s="719"/>
      <c r="I523" s="24">
        <f t="shared" si="96"/>
        <v>0.02</v>
      </c>
      <c r="J523" s="719"/>
      <c r="K523" s="24">
        <f t="shared" si="97"/>
        <v>1</v>
      </c>
      <c r="L523" s="719"/>
      <c r="M523" s="24">
        <f t="shared" si="98"/>
        <v>1</v>
      </c>
      <c r="N523" s="719"/>
      <c r="O523" s="24">
        <f t="shared" si="99"/>
        <v>1</v>
      </c>
      <c r="P523" s="719"/>
      <c r="Q523" s="24">
        <f t="shared" si="100"/>
        <v>0</v>
      </c>
      <c r="R523" s="715">
        <f t="shared" si="101"/>
        <v>0</v>
      </c>
      <c r="S523" s="361">
        <f t="shared" si="102"/>
        <v>0</v>
      </c>
      <c r="T523" s="799">
        <f>剩余房源售价清单!I502</f>
        <v>0</v>
      </c>
      <c r="U523" s="799" t="e">
        <f t="shared" si="92"/>
        <v>#DIV/0!</v>
      </c>
    </row>
    <row r="524" spans="1:21">
      <c r="A524" s="159"/>
      <c r="B524" s="59"/>
      <c r="C524" s="24">
        <f t="shared" si="93"/>
        <v>1</v>
      </c>
      <c r="D524" s="719"/>
      <c r="E524" s="24">
        <f t="shared" si="94"/>
        <v>0</v>
      </c>
      <c r="F524" s="719"/>
      <c r="G524" s="24">
        <f t="shared" si="95"/>
        <v>0.03</v>
      </c>
      <c r="H524" s="719"/>
      <c r="I524" s="24">
        <f t="shared" si="96"/>
        <v>0.02</v>
      </c>
      <c r="J524" s="719"/>
      <c r="K524" s="24">
        <f t="shared" si="97"/>
        <v>1</v>
      </c>
      <c r="L524" s="719"/>
      <c r="M524" s="24">
        <f t="shared" si="98"/>
        <v>1</v>
      </c>
      <c r="N524" s="719"/>
      <c r="O524" s="24">
        <f t="shared" si="99"/>
        <v>1</v>
      </c>
      <c r="P524" s="719"/>
      <c r="Q524" s="24">
        <f t="shared" si="100"/>
        <v>0</v>
      </c>
      <c r="R524" s="715">
        <f t="shared" si="101"/>
        <v>0</v>
      </c>
      <c r="S524" s="361">
        <f t="shared" si="102"/>
        <v>0</v>
      </c>
      <c r="T524" s="799">
        <f>剩余房源售价清单!I503</f>
        <v>0</v>
      </c>
      <c r="U524" s="799" t="e">
        <f t="shared" si="92"/>
        <v>#DIV/0!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2"/>
  <sheetViews>
    <sheetView workbookViewId="0">
      <selection sqref="A1:XFD1048576"/>
    </sheetView>
  </sheetViews>
  <sheetFormatPr defaultColWidth="9" defaultRowHeight="17.25"/>
  <cols>
    <col min="1" max="1" width="6" style="2969" bestFit="1" customWidth="1"/>
    <col min="2" max="2" width="6" style="2970" bestFit="1" customWidth="1"/>
    <col min="3" max="3" width="6" style="2969" bestFit="1" customWidth="1"/>
    <col min="4" max="4" width="6.5" style="2969" bestFit="1" customWidth="1"/>
    <col min="5" max="5" width="31.5" style="2971" bestFit="1" customWidth="1"/>
    <col min="6" max="6" width="50.5" style="2971" customWidth="1"/>
    <col min="7" max="7" width="11.125" style="2955" customWidth="1"/>
    <col min="8" max="8" width="9.125" style="2955" customWidth="1"/>
    <col min="9" max="16384" width="9" style="2955"/>
  </cols>
  <sheetData>
    <row r="1" spans="1:10" ht="32.25">
      <c r="A1" s="3353" t="s">
        <v>3734</v>
      </c>
      <c r="B1" s="3353"/>
      <c r="C1" s="3353"/>
      <c r="D1" s="3353"/>
      <c r="E1" s="3353"/>
      <c r="F1" s="3353"/>
      <c r="G1" s="3353"/>
    </row>
    <row r="2" spans="1:10" s="2960" customFormat="1" ht="18" customHeight="1">
      <c r="A2" s="2956" t="s">
        <v>3317</v>
      </c>
      <c r="B2" s="2956" t="s">
        <v>3318</v>
      </c>
      <c r="C2" s="2956" t="s">
        <v>3319</v>
      </c>
      <c r="D2" s="2956" t="s">
        <v>3320</v>
      </c>
      <c r="E2" s="2957" t="s">
        <v>3321</v>
      </c>
      <c r="F2" s="2958" t="s">
        <v>3322</v>
      </c>
      <c r="G2" s="2959" t="s">
        <v>3735</v>
      </c>
      <c r="H2" s="2972" t="s">
        <v>3736</v>
      </c>
    </row>
    <row r="3" spans="1:10" s="2968" customFormat="1" ht="18" customHeight="1">
      <c r="A3" s="2961">
        <v>1</v>
      </c>
      <c r="B3" s="2962" t="s">
        <v>1377</v>
      </c>
      <c r="C3" s="2963" t="s">
        <v>1040</v>
      </c>
      <c r="D3" s="2964" t="s">
        <v>3065</v>
      </c>
      <c r="E3" s="2965" t="s">
        <v>3737</v>
      </c>
      <c r="F3" s="2966" t="s">
        <v>3323</v>
      </c>
      <c r="G3" s="2967">
        <v>140.88999999999999</v>
      </c>
      <c r="H3" s="2967">
        <v>25.01</v>
      </c>
    </row>
    <row r="4" spans="1:10" s="2968" customFormat="1" ht="18" customHeight="1">
      <c r="A4" s="2961">
        <v>2</v>
      </c>
      <c r="B4" s="2962" t="s">
        <v>1377</v>
      </c>
      <c r="C4" s="2963" t="s">
        <v>1040</v>
      </c>
      <c r="D4" s="2964" t="s">
        <v>3066</v>
      </c>
      <c r="E4" s="2965" t="s">
        <v>3738</v>
      </c>
      <c r="F4" s="2966" t="s">
        <v>3324</v>
      </c>
      <c r="G4" s="2967">
        <v>134.55000000000001</v>
      </c>
      <c r="H4" s="2967">
        <v>23.89</v>
      </c>
    </row>
    <row r="5" spans="1:10" s="2968" customFormat="1" ht="18" customHeight="1">
      <c r="A5" s="2961">
        <v>3</v>
      </c>
      <c r="B5" s="2962" t="s">
        <v>1377</v>
      </c>
      <c r="C5" s="2963" t="s">
        <v>1040</v>
      </c>
      <c r="D5" s="2964" t="s">
        <v>3067</v>
      </c>
      <c r="E5" s="2965" t="s">
        <v>3739</v>
      </c>
      <c r="F5" s="2966" t="s">
        <v>3325</v>
      </c>
      <c r="G5" s="2967">
        <v>129.5</v>
      </c>
      <c r="H5" s="2967">
        <v>22.99</v>
      </c>
    </row>
    <row r="6" spans="1:10" s="2968" customFormat="1" ht="18" customHeight="1">
      <c r="A6" s="2961">
        <v>4</v>
      </c>
      <c r="B6" s="2962" t="s">
        <v>1377</v>
      </c>
      <c r="C6" s="2963" t="s">
        <v>1040</v>
      </c>
      <c r="D6" s="2964" t="s">
        <v>3068</v>
      </c>
      <c r="E6" s="2965" t="s">
        <v>3740</v>
      </c>
      <c r="F6" s="2966" t="s">
        <v>3741</v>
      </c>
      <c r="G6" s="2967">
        <v>124.61</v>
      </c>
      <c r="H6" s="2967">
        <v>22.12</v>
      </c>
    </row>
    <row r="7" spans="1:10" s="2968" customFormat="1" ht="18" customHeight="1">
      <c r="A7" s="2961">
        <v>5</v>
      </c>
      <c r="B7" s="2962" t="s">
        <v>1377</v>
      </c>
      <c r="C7" s="2963" t="s">
        <v>1040</v>
      </c>
      <c r="D7" s="2964" t="s">
        <v>3069</v>
      </c>
      <c r="E7" s="2965" t="s">
        <v>3742</v>
      </c>
      <c r="F7" s="2966" t="s">
        <v>3326</v>
      </c>
      <c r="G7" s="2967">
        <v>121.4</v>
      </c>
      <c r="H7" s="2967">
        <v>21.55</v>
      </c>
    </row>
    <row r="8" spans="1:10" s="2968" customFormat="1" ht="18" customHeight="1">
      <c r="A8" s="2961">
        <v>6</v>
      </c>
      <c r="B8" s="2962" t="s">
        <v>1377</v>
      </c>
      <c r="C8" s="2963" t="s">
        <v>1040</v>
      </c>
      <c r="D8" s="2964" t="s">
        <v>3070</v>
      </c>
      <c r="E8" s="2965" t="s">
        <v>3743</v>
      </c>
      <c r="F8" s="2966" t="s">
        <v>3327</v>
      </c>
      <c r="G8" s="2967">
        <v>114.68</v>
      </c>
      <c r="H8" s="2967">
        <v>20.36</v>
      </c>
    </row>
    <row r="9" spans="1:10" s="2968" customFormat="1" ht="18" customHeight="1">
      <c r="A9" s="2961">
        <v>7</v>
      </c>
      <c r="B9" s="2962" t="s">
        <v>1377</v>
      </c>
      <c r="C9" s="2963" t="s">
        <v>1040</v>
      </c>
      <c r="D9" s="2964" t="s">
        <v>3071</v>
      </c>
      <c r="E9" s="2965" t="s">
        <v>3744</v>
      </c>
      <c r="F9" s="2966" t="s">
        <v>3328</v>
      </c>
      <c r="G9" s="2967">
        <v>111.38</v>
      </c>
      <c r="H9" s="2967">
        <v>19.77</v>
      </c>
    </row>
    <row r="10" spans="1:10" s="2968" customFormat="1" ht="18" customHeight="1">
      <c r="A10" s="2961">
        <v>8</v>
      </c>
      <c r="B10" s="2962" t="s">
        <v>1377</v>
      </c>
      <c r="C10" s="2963" t="s">
        <v>1040</v>
      </c>
      <c r="D10" s="2964" t="s">
        <v>3072</v>
      </c>
      <c r="E10" s="2965" t="s">
        <v>3745</v>
      </c>
      <c r="F10" s="2966" t="s">
        <v>3329</v>
      </c>
      <c r="G10" s="2967">
        <v>99.71</v>
      </c>
      <c r="H10" s="2967">
        <v>17.7</v>
      </c>
    </row>
    <row r="11" spans="1:10" s="2968" customFormat="1" ht="18" customHeight="1">
      <c r="A11" s="2961">
        <v>9</v>
      </c>
      <c r="B11" s="2962" t="s">
        <v>1377</v>
      </c>
      <c r="C11" s="2963" t="s">
        <v>1040</v>
      </c>
      <c r="D11" s="2964" t="s">
        <v>3073</v>
      </c>
      <c r="E11" s="2965" t="s">
        <v>3746</v>
      </c>
      <c r="F11" s="2966" t="s">
        <v>3330</v>
      </c>
      <c r="G11" s="2967">
        <v>62.41</v>
      </c>
      <c r="H11" s="2967">
        <v>11.08</v>
      </c>
    </row>
    <row r="12" spans="1:10" s="2968" customFormat="1" ht="18" customHeight="1">
      <c r="A12" s="2961">
        <v>10</v>
      </c>
      <c r="B12" s="2962" t="s">
        <v>1377</v>
      </c>
      <c r="C12" s="2963" t="s">
        <v>1040</v>
      </c>
      <c r="D12" s="2964" t="s">
        <v>3074</v>
      </c>
      <c r="E12" s="2965" t="s">
        <v>3747</v>
      </c>
      <c r="F12" s="2966" t="s">
        <v>3331</v>
      </c>
      <c r="G12" s="2967">
        <v>33.15</v>
      </c>
      <c r="H12" s="2967">
        <v>5.89</v>
      </c>
      <c r="J12" s="2968" t="s">
        <v>3748</v>
      </c>
    </row>
    <row r="13" spans="1:10" s="2968" customFormat="1" ht="18" customHeight="1">
      <c r="A13" s="2961">
        <v>11</v>
      </c>
      <c r="B13" s="2962" t="s">
        <v>1377</v>
      </c>
      <c r="C13" s="2963" t="s">
        <v>1040</v>
      </c>
      <c r="D13" s="2964" t="s">
        <v>3075</v>
      </c>
      <c r="E13" s="2965" t="s">
        <v>3749</v>
      </c>
      <c r="F13" s="2966" t="s">
        <v>3332</v>
      </c>
      <c r="G13" s="2967">
        <v>65.2</v>
      </c>
      <c r="H13" s="2967">
        <v>11.58</v>
      </c>
    </row>
    <row r="14" spans="1:10" s="2968" customFormat="1" ht="18" customHeight="1">
      <c r="A14" s="2961">
        <v>12</v>
      </c>
      <c r="B14" s="2962" t="s">
        <v>1377</v>
      </c>
      <c r="C14" s="2963" t="s">
        <v>1040</v>
      </c>
      <c r="D14" s="2964" t="s">
        <v>3076</v>
      </c>
      <c r="E14" s="2965" t="s">
        <v>3750</v>
      </c>
      <c r="F14" s="2966" t="s">
        <v>3333</v>
      </c>
      <c r="G14" s="2967">
        <v>36</v>
      </c>
      <c r="H14" s="2967">
        <v>6.39</v>
      </c>
    </row>
    <row r="15" spans="1:10" s="2968" customFormat="1" ht="18" customHeight="1">
      <c r="A15" s="2961">
        <v>13</v>
      </c>
      <c r="B15" s="2962" t="s">
        <v>1377</v>
      </c>
      <c r="C15" s="2963" t="s">
        <v>1040</v>
      </c>
      <c r="D15" s="2964" t="s">
        <v>3077</v>
      </c>
      <c r="E15" s="2965" t="s">
        <v>3751</v>
      </c>
      <c r="F15" s="2966" t="s">
        <v>3334</v>
      </c>
      <c r="G15" s="2967">
        <v>52.73</v>
      </c>
      <c r="H15" s="2967">
        <v>9.36</v>
      </c>
    </row>
    <row r="16" spans="1:10" s="2968" customFormat="1" ht="18" customHeight="1">
      <c r="A16" s="2961">
        <v>14</v>
      </c>
      <c r="B16" s="2962" t="s">
        <v>1377</v>
      </c>
      <c r="C16" s="2963" t="s">
        <v>1040</v>
      </c>
      <c r="D16" s="2964" t="s">
        <v>3078</v>
      </c>
      <c r="E16" s="2965" t="s">
        <v>3752</v>
      </c>
      <c r="F16" s="2966" t="s">
        <v>3335</v>
      </c>
      <c r="G16" s="2967">
        <v>17.78</v>
      </c>
      <c r="H16" s="2967">
        <v>3.16</v>
      </c>
    </row>
    <row r="17" spans="1:8" s="2968" customFormat="1" ht="18" customHeight="1">
      <c r="A17" s="2961">
        <v>15</v>
      </c>
      <c r="B17" s="2962" t="s">
        <v>1377</v>
      </c>
      <c r="C17" s="2963" t="s">
        <v>1040</v>
      </c>
      <c r="D17" s="2964" t="s">
        <v>3079</v>
      </c>
      <c r="E17" s="2965" t="s">
        <v>3753</v>
      </c>
      <c r="F17" s="2966" t="s">
        <v>3336</v>
      </c>
      <c r="G17" s="2967">
        <v>64.87</v>
      </c>
      <c r="H17" s="2967">
        <v>11.52</v>
      </c>
    </row>
    <row r="18" spans="1:8" s="2968" customFormat="1" ht="18" customHeight="1">
      <c r="A18" s="2961">
        <v>16</v>
      </c>
      <c r="B18" s="2962" t="s">
        <v>1377</v>
      </c>
      <c r="C18" s="2963" t="s">
        <v>1040</v>
      </c>
      <c r="D18" s="2964" t="s">
        <v>3080</v>
      </c>
      <c r="E18" s="2965" t="s">
        <v>3754</v>
      </c>
      <c r="F18" s="2966" t="s">
        <v>3337</v>
      </c>
      <c r="G18" s="2967">
        <v>64.87</v>
      </c>
      <c r="H18" s="2967">
        <v>11.52</v>
      </c>
    </row>
    <row r="19" spans="1:8" s="2968" customFormat="1" ht="18" customHeight="1">
      <c r="A19" s="2961">
        <v>17</v>
      </c>
      <c r="B19" s="2962" t="s">
        <v>1377</v>
      </c>
      <c r="C19" s="2963" t="s">
        <v>1040</v>
      </c>
      <c r="D19" s="2964" t="s">
        <v>3081</v>
      </c>
      <c r="E19" s="2965" t="s">
        <v>3755</v>
      </c>
      <c r="F19" s="2966" t="s">
        <v>3338</v>
      </c>
      <c r="G19" s="2967">
        <v>64.81</v>
      </c>
      <c r="H19" s="2967">
        <v>11.51</v>
      </c>
    </row>
    <row r="20" spans="1:8" s="2968" customFormat="1" ht="18" customHeight="1">
      <c r="A20" s="2961">
        <v>18</v>
      </c>
      <c r="B20" s="2962" t="s">
        <v>1377</v>
      </c>
      <c r="C20" s="2963" t="s">
        <v>1040</v>
      </c>
      <c r="D20" s="2964" t="s">
        <v>3082</v>
      </c>
      <c r="E20" s="2965" t="s">
        <v>3756</v>
      </c>
      <c r="F20" s="2966" t="s">
        <v>3339</v>
      </c>
      <c r="G20" s="2967">
        <v>64.87</v>
      </c>
      <c r="H20" s="2967">
        <v>11.52</v>
      </c>
    </row>
    <row r="21" spans="1:8" s="2968" customFormat="1" ht="18" customHeight="1">
      <c r="A21" s="2961">
        <v>19</v>
      </c>
      <c r="B21" s="2962" t="s">
        <v>1377</v>
      </c>
      <c r="C21" s="2963" t="s">
        <v>1040</v>
      </c>
      <c r="D21" s="2964" t="s">
        <v>3083</v>
      </c>
      <c r="E21" s="2965" t="s">
        <v>3757</v>
      </c>
      <c r="F21" s="2966" t="s">
        <v>3340</v>
      </c>
      <c r="G21" s="2967">
        <v>65.86</v>
      </c>
      <c r="H21" s="2967">
        <v>11.69</v>
      </c>
    </row>
    <row r="22" spans="1:8" s="2968" customFormat="1" ht="18" customHeight="1">
      <c r="A22" s="2961">
        <v>20</v>
      </c>
      <c r="B22" s="2962" t="s">
        <v>1377</v>
      </c>
      <c r="C22" s="2963" t="s">
        <v>1040</v>
      </c>
      <c r="D22" s="2964" t="s">
        <v>3084</v>
      </c>
      <c r="E22" s="2965" t="s">
        <v>3758</v>
      </c>
      <c r="F22" s="2966" t="s">
        <v>3341</v>
      </c>
      <c r="G22" s="2967">
        <v>64.87</v>
      </c>
      <c r="H22" s="2967">
        <v>11.52</v>
      </c>
    </row>
    <row r="23" spans="1:8" s="2968" customFormat="1" ht="18" customHeight="1">
      <c r="A23" s="2961">
        <v>21</v>
      </c>
      <c r="B23" s="2962" t="s">
        <v>1377</v>
      </c>
      <c r="C23" s="2963" t="s">
        <v>1040</v>
      </c>
      <c r="D23" s="2964" t="s">
        <v>3085</v>
      </c>
      <c r="E23" s="2965" t="s">
        <v>3759</v>
      </c>
      <c r="F23" s="2966" t="s">
        <v>3342</v>
      </c>
      <c r="G23" s="2967">
        <v>64.87</v>
      </c>
      <c r="H23" s="2967">
        <v>11.52</v>
      </c>
    </row>
    <row r="24" spans="1:8" s="2968" customFormat="1" ht="18" customHeight="1">
      <c r="A24" s="2961">
        <v>22</v>
      </c>
      <c r="B24" s="2962" t="s">
        <v>1377</v>
      </c>
      <c r="C24" s="2963" t="s">
        <v>1040</v>
      </c>
      <c r="D24" s="2964" t="s">
        <v>3086</v>
      </c>
      <c r="E24" s="2965" t="s">
        <v>3760</v>
      </c>
      <c r="F24" s="2966" t="s">
        <v>3343</v>
      </c>
      <c r="G24" s="2967">
        <v>64.81</v>
      </c>
      <c r="H24" s="2967">
        <v>11.51</v>
      </c>
    </row>
    <row r="25" spans="1:8" s="2968" customFormat="1" ht="18" customHeight="1">
      <c r="A25" s="2961">
        <v>23</v>
      </c>
      <c r="B25" s="2962" t="s">
        <v>1377</v>
      </c>
      <c r="C25" s="2963" t="s">
        <v>1040</v>
      </c>
      <c r="D25" s="2964" t="s">
        <v>3087</v>
      </c>
      <c r="E25" s="2965" t="s">
        <v>3761</v>
      </c>
      <c r="F25" s="2966" t="s">
        <v>3344</v>
      </c>
      <c r="G25" s="2967">
        <v>65.900000000000006</v>
      </c>
      <c r="H25" s="2967">
        <v>11.7</v>
      </c>
    </row>
    <row r="26" spans="1:8" s="2968" customFormat="1" ht="18" customHeight="1">
      <c r="A26" s="2961">
        <v>24</v>
      </c>
      <c r="B26" s="2962" t="s">
        <v>1377</v>
      </c>
      <c r="C26" s="2963" t="s">
        <v>1040</v>
      </c>
      <c r="D26" s="2964" t="s">
        <v>3088</v>
      </c>
      <c r="E26" s="2965" t="s">
        <v>3762</v>
      </c>
      <c r="F26" s="2966" t="s">
        <v>3345</v>
      </c>
      <c r="G26" s="2967">
        <v>95.26</v>
      </c>
      <c r="H26" s="2967">
        <v>16.91</v>
      </c>
    </row>
    <row r="27" spans="1:8" s="2968" customFormat="1" ht="18" customHeight="1">
      <c r="A27" s="2961">
        <v>25</v>
      </c>
      <c r="B27" s="2962" t="s">
        <v>1377</v>
      </c>
      <c r="C27" s="2963" t="s">
        <v>1040</v>
      </c>
      <c r="D27" s="2964" t="s">
        <v>3089</v>
      </c>
      <c r="E27" s="2965" t="s">
        <v>3763</v>
      </c>
      <c r="F27" s="2966" t="s">
        <v>3346</v>
      </c>
      <c r="G27" s="2967">
        <v>24.68</v>
      </c>
      <c r="H27" s="2967">
        <v>4.38</v>
      </c>
    </row>
    <row r="28" spans="1:8" s="2968" customFormat="1" ht="18" customHeight="1">
      <c r="A28" s="2961">
        <v>26</v>
      </c>
      <c r="B28" s="2962" t="s">
        <v>1377</v>
      </c>
      <c r="C28" s="2963" t="s">
        <v>1040</v>
      </c>
      <c r="D28" s="2964" t="s">
        <v>3090</v>
      </c>
      <c r="E28" s="2965" t="s">
        <v>3764</v>
      </c>
      <c r="F28" s="2966" t="s">
        <v>3347</v>
      </c>
      <c r="G28" s="2967">
        <v>38.4</v>
      </c>
      <c r="H28" s="2967">
        <v>6.82</v>
      </c>
    </row>
    <row r="29" spans="1:8" s="2968" customFormat="1" ht="36" customHeight="1">
      <c r="A29" s="2961">
        <v>27</v>
      </c>
      <c r="B29" s="2962" t="s">
        <v>1377</v>
      </c>
      <c r="C29" s="2963" t="s">
        <v>1041</v>
      </c>
      <c r="D29" s="2964" t="s">
        <v>3091</v>
      </c>
      <c r="E29" s="2965" t="s">
        <v>3765</v>
      </c>
      <c r="F29" s="2966" t="s">
        <v>3348</v>
      </c>
      <c r="G29" s="2967">
        <v>93.74</v>
      </c>
      <c r="H29" s="2967">
        <v>16.64</v>
      </c>
    </row>
    <row r="30" spans="1:8" s="2968" customFormat="1" ht="18" customHeight="1">
      <c r="A30" s="2961">
        <v>28</v>
      </c>
      <c r="B30" s="2962" t="s">
        <v>1377</v>
      </c>
      <c r="C30" s="2963" t="s">
        <v>1041</v>
      </c>
      <c r="D30" s="2964" t="s">
        <v>3092</v>
      </c>
      <c r="E30" s="2965" t="s">
        <v>3766</v>
      </c>
      <c r="F30" s="2966" t="s">
        <v>3349</v>
      </c>
      <c r="G30" s="2967">
        <v>44.99</v>
      </c>
      <c r="H30" s="2967">
        <v>7.99</v>
      </c>
    </row>
    <row r="31" spans="1:8" s="2968" customFormat="1" ht="18" customHeight="1">
      <c r="A31" s="2961">
        <v>29</v>
      </c>
      <c r="B31" s="2962" t="s">
        <v>1377</v>
      </c>
      <c r="C31" s="2963" t="s">
        <v>1041</v>
      </c>
      <c r="D31" s="2964" t="s">
        <v>3093</v>
      </c>
      <c r="E31" s="2965" t="s">
        <v>3767</v>
      </c>
      <c r="F31" s="2966" t="s">
        <v>3350</v>
      </c>
      <c r="G31" s="2967">
        <v>42.22</v>
      </c>
      <c r="H31" s="2967">
        <v>7.5</v>
      </c>
    </row>
    <row r="32" spans="1:8" s="2968" customFormat="1" ht="18" customHeight="1">
      <c r="A32" s="2961">
        <v>30</v>
      </c>
      <c r="B32" s="2962" t="s">
        <v>1377</v>
      </c>
      <c r="C32" s="2963" t="s">
        <v>1041</v>
      </c>
      <c r="D32" s="2964" t="s">
        <v>3094</v>
      </c>
      <c r="E32" s="2965" t="s">
        <v>3768</v>
      </c>
      <c r="F32" s="2966" t="s">
        <v>3351</v>
      </c>
      <c r="G32" s="2967">
        <v>67.77</v>
      </c>
      <c r="H32" s="2967">
        <v>12.03</v>
      </c>
    </row>
    <row r="33" spans="1:8" s="2968" customFormat="1" ht="18" customHeight="1">
      <c r="A33" s="2961">
        <v>31</v>
      </c>
      <c r="B33" s="2962" t="s">
        <v>1377</v>
      </c>
      <c r="C33" s="2963" t="s">
        <v>1041</v>
      </c>
      <c r="D33" s="2964" t="s">
        <v>3095</v>
      </c>
      <c r="E33" s="2965" t="s">
        <v>3769</v>
      </c>
      <c r="F33" s="2966" t="s">
        <v>3352</v>
      </c>
      <c r="G33" s="2967">
        <v>29.05</v>
      </c>
      <c r="H33" s="2967">
        <v>5.16</v>
      </c>
    </row>
    <row r="34" spans="1:8" s="2968" customFormat="1" ht="18" customHeight="1">
      <c r="A34" s="2961">
        <v>32</v>
      </c>
      <c r="B34" s="2962" t="s">
        <v>1377</v>
      </c>
      <c r="C34" s="2963" t="s">
        <v>1041</v>
      </c>
      <c r="D34" s="2964" t="s">
        <v>3096</v>
      </c>
      <c r="E34" s="2965" t="s">
        <v>3770</v>
      </c>
      <c r="F34" s="2966" t="s">
        <v>3353</v>
      </c>
      <c r="G34" s="2967">
        <v>16.77</v>
      </c>
      <c r="H34" s="2967">
        <v>2.98</v>
      </c>
    </row>
    <row r="35" spans="1:8" s="2968" customFormat="1" ht="18" customHeight="1">
      <c r="A35" s="2961">
        <v>33</v>
      </c>
      <c r="B35" s="2962" t="s">
        <v>1377</v>
      </c>
      <c r="C35" s="2963" t="s">
        <v>1041</v>
      </c>
      <c r="D35" s="2964" t="s">
        <v>3097</v>
      </c>
      <c r="E35" s="2965" t="s">
        <v>3771</v>
      </c>
      <c r="F35" s="2966" t="s">
        <v>3354</v>
      </c>
      <c r="G35" s="2967">
        <v>63.9</v>
      </c>
      <c r="H35" s="2967">
        <v>11.34</v>
      </c>
    </row>
    <row r="36" spans="1:8" s="2968" customFormat="1" ht="18" customHeight="1">
      <c r="A36" s="2961">
        <v>34</v>
      </c>
      <c r="B36" s="2962" t="s">
        <v>1377</v>
      </c>
      <c r="C36" s="2963" t="s">
        <v>1041</v>
      </c>
      <c r="D36" s="2964" t="s">
        <v>3098</v>
      </c>
      <c r="E36" s="2965" t="s">
        <v>3772</v>
      </c>
      <c r="F36" s="2966" t="s">
        <v>3355</v>
      </c>
      <c r="G36" s="2967">
        <v>36.72</v>
      </c>
      <c r="H36" s="2967">
        <v>6.52</v>
      </c>
    </row>
    <row r="37" spans="1:8" s="2968" customFormat="1" ht="18" customHeight="1">
      <c r="A37" s="2961">
        <v>35</v>
      </c>
      <c r="B37" s="2962" t="s">
        <v>1377</v>
      </c>
      <c r="C37" s="2963" t="s">
        <v>1041</v>
      </c>
      <c r="D37" s="2964" t="s">
        <v>3099</v>
      </c>
      <c r="E37" s="2965" t="s">
        <v>3773</v>
      </c>
      <c r="F37" s="2966" t="s">
        <v>3356</v>
      </c>
      <c r="G37" s="2967">
        <v>75.8</v>
      </c>
      <c r="H37" s="2967">
        <v>13.46</v>
      </c>
    </row>
    <row r="38" spans="1:8" s="2968" customFormat="1" ht="18" customHeight="1">
      <c r="A38" s="2961">
        <v>36</v>
      </c>
      <c r="B38" s="2962" t="s">
        <v>1377</v>
      </c>
      <c r="C38" s="2963" t="s">
        <v>1041</v>
      </c>
      <c r="D38" s="2964" t="s">
        <v>3100</v>
      </c>
      <c r="E38" s="2965" t="s">
        <v>3774</v>
      </c>
      <c r="F38" s="2966" t="s">
        <v>3357</v>
      </c>
      <c r="G38" s="2967">
        <v>40.96</v>
      </c>
      <c r="H38" s="2967">
        <v>7.27</v>
      </c>
    </row>
    <row r="39" spans="1:8" s="2968" customFormat="1" ht="18" customHeight="1">
      <c r="A39" s="2961">
        <v>37</v>
      </c>
      <c r="B39" s="2962" t="s">
        <v>1377</v>
      </c>
      <c r="C39" s="2963" t="s">
        <v>1041</v>
      </c>
      <c r="D39" s="2964" t="s">
        <v>3101</v>
      </c>
      <c r="E39" s="2965" t="s">
        <v>3775</v>
      </c>
      <c r="F39" s="2966" t="s">
        <v>3358</v>
      </c>
      <c r="G39" s="2967">
        <v>26.86</v>
      </c>
      <c r="H39" s="2967">
        <v>4.7699999999999996</v>
      </c>
    </row>
    <row r="40" spans="1:8" s="2968" customFormat="1" ht="18" customHeight="1">
      <c r="A40" s="2961">
        <v>38</v>
      </c>
      <c r="B40" s="2962" t="s">
        <v>1377</v>
      </c>
      <c r="C40" s="2963" t="s">
        <v>1041</v>
      </c>
      <c r="D40" s="2964" t="s">
        <v>3102</v>
      </c>
      <c r="E40" s="2965" t="s">
        <v>3776</v>
      </c>
      <c r="F40" s="2966" t="s">
        <v>3359</v>
      </c>
      <c r="G40" s="2967">
        <v>41.41</v>
      </c>
      <c r="H40" s="2967">
        <v>7.35</v>
      </c>
    </row>
    <row r="41" spans="1:8" s="2968" customFormat="1" ht="18" customHeight="1">
      <c r="A41" s="2961">
        <v>39</v>
      </c>
      <c r="B41" s="2962" t="s">
        <v>1377</v>
      </c>
      <c r="C41" s="2963" t="s">
        <v>1041</v>
      </c>
      <c r="D41" s="2964" t="s">
        <v>3103</v>
      </c>
      <c r="E41" s="2965" t="s">
        <v>3777</v>
      </c>
      <c r="F41" s="2966" t="s">
        <v>3360</v>
      </c>
      <c r="G41" s="2967">
        <v>40.770000000000003</v>
      </c>
      <c r="H41" s="2967">
        <v>7.24</v>
      </c>
    </row>
    <row r="42" spans="1:8" s="2968" customFormat="1" ht="18" customHeight="1">
      <c r="A42" s="2961">
        <v>40</v>
      </c>
      <c r="B42" s="2962" t="s">
        <v>1377</v>
      </c>
      <c r="C42" s="2963" t="s">
        <v>1041</v>
      </c>
      <c r="D42" s="2964" t="s">
        <v>3104</v>
      </c>
      <c r="E42" s="2965" t="s">
        <v>3778</v>
      </c>
      <c r="F42" s="2966" t="s">
        <v>3361</v>
      </c>
      <c r="G42" s="2967">
        <v>39.549999999999997</v>
      </c>
      <c r="H42" s="2967">
        <v>7.02</v>
      </c>
    </row>
    <row r="43" spans="1:8" s="2968" customFormat="1" ht="18" customHeight="1">
      <c r="A43" s="2961">
        <v>41</v>
      </c>
      <c r="B43" s="2962" t="s">
        <v>1377</v>
      </c>
      <c r="C43" s="2963" t="s">
        <v>1041</v>
      </c>
      <c r="D43" s="2964" t="s">
        <v>3105</v>
      </c>
      <c r="E43" s="2965" t="s">
        <v>3779</v>
      </c>
      <c r="F43" s="2966" t="s">
        <v>3362</v>
      </c>
      <c r="G43" s="2967">
        <v>24.01</v>
      </c>
      <c r="H43" s="2967">
        <v>4.26</v>
      </c>
    </row>
    <row r="44" spans="1:8" s="2968" customFormat="1" ht="18" customHeight="1">
      <c r="A44" s="2961">
        <v>42</v>
      </c>
      <c r="B44" s="2962" t="s">
        <v>1377</v>
      </c>
      <c r="C44" s="2963" t="s">
        <v>1041</v>
      </c>
      <c r="D44" s="2964" t="s">
        <v>3106</v>
      </c>
      <c r="E44" s="2965" t="s">
        <v>3780</v>
      </c>
      <c r="F44" s="2966" t="s">
        <v>3363</v>
      </c>
      <c r="G44" s="2967">
        <v>23.94</v>
      </c>
      <c r="H44" s="2967">
        <v>4.25</v>
      </c>
    </row>
    <row r="45" spans="1:8" s="2968" customFormat="1" ht="18" customHeight="1">
      <c r="A45" s="2961">
        <v>43</v>
      </c>
      <c r="B45" s="2962" t="s">
        <v>1377</v>
      </c>
      <c r="C45" s="2963" t="s">
        <v>3364</v>
      </c>
      <c r="D45" s="2964" t="s">
        <v>3107</v>
      </c>
      <c r="E45" s="2965" t="s">
        <v>3781</v>
      </c>
      <c r="F45" s="2966" t="s">
        <v>3365</v>
      </c>
      <c r="G45" s="2967">
        <v>45.95</v>
      </c>
      <c r="H45" s="2967">
        <v>8.16</v>
      </c>
    </row>
    <row r="46" spans="1:8" s="2968" customFormat="1" ht="18" customHeight="1">
      <c r="A46" s="2961">
        <v>44</v>
      </c>
      <c r="B46" s="2962" t="s">
        <v>1377</v>
      </c>
      <c r="C46" s="2963" t="s">
        <v>3364</v>
      </c>
      <c r="D46" s="2964" t="s">
        <v>3108</v>
      </c>
      <c r="E46" s="2965" t="s">
        <v>3782</v>
      </c>
      <c r="F46" s="2966" t="s">
        <v>3366</v>
      </c>
      <c r="G46" s="2967">
        <v>47.14</v>
      </c>
      <c r="H46" s="2967">
        <v>8.3699999999999992</v>
      </c>
    </row>
    <row r="47" spans="1:8" s="2968" customFormat="1" ht="18" customHeight="1">
      <c r="A47" s="2961">
        <v>45</v>
      </c>
      <c r="B47" s="2962" t="s">
        <v>1377</v>
      </c>
      <c r="C47" s="2963" t="s">
        <v>3364</v>
      </c>
      <c r="D47" s="2964" t="s">
        <v>3109</v>
      </c>
      <c r="E47" s="2965" t="s">
        <v>3783</v>
      </c>
      <c r="F47" s="2966" t="s">
        <v>3367</v>
      </c>
      <c r="G47" s="2967">
        <v>46.03</v>
      </c>
      <c r="H47" s="2967">
        <v>8.17</v>
      </c>
    </row>
    <row r="48" spans="1:8" s="2968" customFormat="1" ht="18" customHeight="1">
      <c r="A48" s="2961">
        <v>46</v>
      </c>
      <c r="B48" s="2962" t="s">
        <v>1377</v>
      </c>
      <c r="C48" s="2963" t="s">
        <v>3364</v>
      </c>
      <c r="D48" s="2964" t="s">
        <v>3110</v>
      </c>
      <c r="E48" s="2965" t="s">
        <v>3784</v>
      </c>
      <c r="F48" s="2966" t="s">
        <v>3368</v>
      </c>
      <c r="G48" s="2967">
        <v>46.03</v>
      </c>
      <c r="H48" s="2967">
        <v>8.17</v>
      </c>
    </row>
    <row r="49" spans="1:8" s="2968" customFormat="1" ht="18" customHeight="1">
      <c r="A49" s="2961">
        <v>47</v>
      </c>
      <c r="B49" s="2962" t="s">
        <v>1377</v>
      </c>
      <c r="C49" s="2963" t="s">
        <v>3364</v>
      </c>
      <c r="D49" s="2964" t="s">
        <v>3111</v>
      </c>
      <c r="E49" s="2965" t="s">
        <v>3785</v>
      </c>
      <c r="F49" s="2966" t="s">
        <v>3369</v>
      </c>
      <c r="G49" s="2967">
        <v>46.03</v>
      </c>
      <c r="H49" s="2967">
        <v>8.17</v>
      </c>
    </row>
    <row r="50" spans="1:8" s="2968" customFormat="1" ht="18" customHeight="1">
      <c r="A50" s="2961">
        <v>48</v>
      </c>
      <c r="B50" s="2962" t="s">
        <v>1377</v>
      </c>
      <c r="C50" s="2963" t="s">
        <v>3364</v>
      </c>
      <c r="D50" s="2964" t="s">
        <v>3112</v>
      </c>
      <c r="E50" s="2965" t="s">
        <v>3786</v>
      </c>
      <c r="F50" s="2966" t="s">
        <v>3370</v>
      </c>
      <c r="G50" s="2967">
        <v>45.95</v>
      </c>
      <c r="H50" s="2967">
        <v>8.16</v>
      </c>
    </row>
    <row r="51" spans="1:8" s="2968" customFormat="1" ht="18" customHeight="1">
      <c r="A51" s="2961">
        <v>49</v>
      </c>
      <c r="B51" s="2962" t="s">
        <v>1377</v>
      </c>
      <c r="C51" s="2963" t="s">
        <v>3364</v>
      </c>
      <c r="D51" s="2964" t="s">
        <v>3113</v>
      </c>
      <c r="E51" s="2965" t="s">
        <v>3787</v>
      </c>
      <c r="F51" s="2966" t="s">
        <v>3371</v>
      </c>
      <c r="G51" s="2967">
        <v>46.51</v>
      </c>
      <c r="H51" s="2967">
        <v>8.26</v>
      </c>
    </row>
    <row r="52" spans="1:8" s="2968" customFormat="1" ht="18" customHeight="1">
      <c r="A52" s="2961">
        <v>50</v>
      </c>
      <c r="B52" s="2962" t="s">
        <v>1377</v>
      </c>
      <c r="C52" s="2963" t="s">
        <v>3364</v>
      </c>
      <c r="D52" s="2964" t="s">
        <v>3114</v>
      </c>
      <c r="E52" s="2965" t="s">
        <v>3788</v>
      </c>
      <c r="F52" s="2966" t="s">
        <v>3372</v>
      </c>
      <c r="G52" s="2967">
        <v>46.03</v>
      </c>
      <c r="H52" s="2967">
        <v>8.17</v>
      </c>
    </row>
    <row r="53" spans="1:8" s="2968" customFormat="1" ht="18" customHeight="1">
      <c r="A53" s="2961">
        <v>51</v>
      </c>
      <c r="B53" s="2962" t="s">
        <v>1377</v>
      </c>
      <c r="C53" s="2963" t="s">
        <v>3364</v>
      </c>
      <c r="D53" s="2964" t="s">
        <v>3115</v>
      </c>
      <c r="E53" s="2965" t="s">
        <v>3789</v>
      </c>
      <c r="F53" s="2966" t="s">
        <v>3373</v>
      </c>
      <c r="G53" s="2967">
        <v>40.32</v>
      </c>
      <c r="H53" s="2967">
        <v>7.16</v>
      </c>
    </row>
    <row r="54" spans="1:8" s="2968" customFormat="1" ht="18" customHeight="1">
      <c r="A54" s="2961">
        <v>52</v>
      </c>
      <c r="B54" s="2962" t="s">
        <v>1377</v>
      </c>
      <c r="C54" s="2963" t="s">
        <v>3364</v>
      </c>
      <c r="D54" s="2964" t="s">
        <v>3116</v>
      </c>
      <c r="E54" s="2965" t="s">
        <v>3790</v>
      </c>
      <c r="F54" s="2966" t="s">
        <v>3374</v>
      </c>
      <c r="G54" s="2967">
        <v>39.33</v>
      </c>
      <c r="H54" s="2967">
        <v>6.98</v>
      </c>
    </row>
    <row r="55" spans="1:8" s="2968" customFormat="1" ht="18" customHeight="1">
      <c r="A55" s="2961">
        <v>53</v>
      </c>
      <c r="B55" s="2962" t="s">
        <v>1377</v>
      </c>
      <c r="C55" s="2963" t="s">
        <v>3364</v>
      </c>
      <c r="D55" s="2964" t="s">
        <v>3117</v>
      </c>
      <c r="E55" s="2965" t="s">
        <v>3791</v>
      </c>
      <c r="F55" s="2966" t="s">
        <v>3375</v>
      </c>
      <c r="G55" s="2967">
        <v>54.13</v>
      </c>
      <c r="H55" s="2967">
        <v>9.61</v>
      </c>
    </row>
    <row r="56" spans="1:8" s="2968" customFormat="1" ht="18" customHeight="1">
      <c r="A56" s="2961">
        <v>54</v>
      </c>
      <c r="B56" s="2962" t="s">
        <v>1377</v>
      </c>
      <c r="C56" s="2963" t="s">
        <v>3364</v>
      </c>
      <c r="D56" s="2964" t="s">
        <v>3118</v>
      </c>
      <c r="E56" s="2965" t="s">
        <v>3792</v>
      </c>
      <c r="F56" s="2966" t="s">
        <v>3376</v>
      </c>
      <c r="G56" s="2967">
        <v>53.4</v>
      </c>
      <c r="H56" s="2967">
        <v>9.48</v>
      </c>
    </row>
    <row r="57" spans="1:8" s="2968" customFormat="1" ht="18" customHeight="1">
      <c r="A57" s="2961">
        <v>55</v>
      </c>
      <c r="B57" s="2962" t="s">
        <v>1377</v>
      </c>
      <c r="C57" s="2963" t="s">
        <v>3364</v>
      </c>
      <c r="D57" s="2964" t="s">
        <v>3119</v>
      </c>
      <c r="E57" s="2965" t="s">
        <v>3793</v>
      </c>
      <c r="F57" s="2966" t="s">
        <v>3377</v>
      </c>
      <c r="G57" s="2967">
        <v>54.53</v>
      </c>
      <c r="H57" s="2967">
        <v>9.68</v>
      </c>
    </row>
    <row r="58" spans="1:8" s="2968" customFormat="1" ht="18" customHeight="1">
      <c r="A58" s="2961">
        <v>56</v>
      </c>
      <c r="B58" s="2962" t="s">
        <v>1377</v>
      </c>
      <c r="C58" s="2963" t="s">
        <v>3364</v>
      </c>
      <c r="D58" s="2964" t="s">
        <v>3120</v>
      </c>
      <c r="E58" s="2965" t="s">
        <v>3794</v>
      </c>
      <c r="F58" s="2966" t="s">
        <v>3378</v>
      </c>
      <c r="G58" s="2967">
        <v>17.5</v>
      </c>
      <c r="H58" s="2967">
        <v>3.11</v>
      </c>
    </row>
    <row r="59" spans="1:8" s="2968" customFormat="1" ht="18" customHeight="1">
      <c r="A59" s="2961">
        <v>57</v>
      </c>
      <c r="B59" s="2962" t="s">
        <v>1377</v>
      </c>
      <c r="C59" s="2963" t="s">
        <v>3364</v>
      </c>
      <c r="D59" s="2964" t="s">
        <v>3121</v>
      </c>
      <c r="E59" s="2965" t="s">
        <v>3795</v>
      </c>
      <c r="F59" s="2966" t="s">
        <v>3379</v>
      </c>
      <c r="G59" s="2967">
        <v>54.54</v>
      </c>
      <c r="H59" s="2967">
        <v>9.68</v>
      </c>
    </row>
    <row r="60" spans="1:8" s="2968" customFormat="1" ht="18" customHeight="1">
      <c r="A60" s="2961">
        <v>58</v>
      </c>
      <c r="B60" s="2962" t="s">
        <v>1377</v>
      </c>
      <c r="C60" s="2963" t="s">
        <v>3364</v>
      </c>
      <c r="D60" s="2964" t="s">
        <v>3122</v>
      </c>
      <c r="E60" s="2965" t="s">
        <v>3796</v>
      </c>
      <c r="F60" s="2966" t="s">
        <v>3380</v>
      </c>
      <c r="G60" s="2967">
        <v>53.47</v>
      </c>
      <c r="H60" s="2967">
        <v>9.49</v>
      </c>
    </row>
    <row r="61" spans="1:8" s="2968" customFormat="1" ht="18" customHeight="1">
      <c r="A61" s="2961">
        <v>59</v>
      </c>
      <c r="B61" s="2962" t="s">
        <v>1377</v>
      </c>
      <c r="C61" s="2963" t="s">
        <v>3364</v>
      </c>
      <c r="D61" s="2964" t="s">
        <v>3123</v>
      </c>
      <c r="E61" s="2965" t="s">
        <v>3797</v>
      </c>
      <c r="F61" s="2966" t="s">
        <v>3381</v>
      </c>
      <c r="G61" s="2967">
        <v>53.47</v>
      </c>
      <c r="H61" s="2967">
        <v>9.49</v>
      </c>
    </row>
    <row r="62" spans="1:8" s="2968" customFormat="1" ht="18" customHeight="1">
      <c r="A62" s="2961">
        <v>60</v>
      </c>
      <c r="B62" s="2962" t="s">
        <v>1377</v>
      </c>
      <c r="C62" s="2963" t="s">
        <v>3364</v>
      </c>
      <c r="D62" s="2964" t="s">
        <v>3124</v>
      </c>
      <c r="E62" s="2965" t="s">
        <v>3798</v>
      </c>
      <c r="F62" s="2966" t="s">
        <v>3382</v>
      </c>
      <c r="G62" s="2967">
        <v>53.4</v>
      </c>
      <c r="H62" s="2967">
        <v>9.48</v>
      </c>
    </row>
    <row r="63" spans="1:8" s="2968" customFormat="1" ht="18" customHeight="1">
      <c r="A63" s="2961">
        <v>61</v>
      </c>
      <c r="B63" s="2962" t="s">
        <v>1377</v>
      </c>
      <c r="C63" s="2963" t="s">
        <v>3364</v>
      </c>
      <c r="D63" s="2964" t="s">
        <v>3125</v>
      </c>
      <c r="E63" s="2965" t="s">
        <v>3799</v>
      </c>
      <c r="F63" s="2966" t="s">
        <v>3383</v>
      </c>
      <c r="G63" s="2967">
        <v>54.56</v>
      </c>
      <c r="H63" s="2967">
        <v>9.69</v>
      </c>
    </row>
    <row r="64" spans="1:8" s="2968" customFormat="1" ht="18" customHeight="1">
      <c r="A64" s="2961">
        <v>62</v>
      </c>
      <c r="B64" s="2962" t="s">
        <v>1377</v>
      </c>
      <c r="C64" s="2963" t="s">
        <v>3364</v>
      </c>
      <c r="D64" s="2964" t="s">
        <v>3126</v>
      </c>
      <c r="E64" s="2965" t="s">
        <v>3800</v>
      </c>
      <c r="F64" s="2966" t="s">
        <v>3384</v>
      </c>
      <c r="G64" s="2967">
        <v>56.29</v>
      </c>
      <c r="H64" s="2967">
        <v>9.99</v>
      </c>
    </row>
    <row r="65" spans="1:8" s="2968" customFormat="1" ht="18" customHeight="1">
      <c r="A65" s="2961">
        <v>63</v>
      </c>
      <c r="B65" s="2962" t="s">
        <v>1377</v>
      </c>
      <c r="C65" s="2963" t="s">
        <v>3364</v>
      </c>
      <c r="D65" s="2964" t="s">
        <v>3127</v>
      </c>
      <c r="E65" s="2965" t="s">
        <v>3801</v>
      </c>
      <c r="F65" s="2966" t="s">
        <v>3385</v>
      </c>
      <c r="G65" s="2967">
        <v>31.46</v>
      </c>
      <c r="H65" s="2967">
        <v>5.59</v>
      </c>
    </row>
    <row r="66" spans="1:8" s="2968" customFormat="1" ht="18" customHeight="1">
      <c r="A66" s="2961">
        <v>64</v>
      </c>
      <c r="B66" s="2962" t="s">
        <v>1377</v>
      </c>
      <c r="C66" s="2963" t="s">
        <v>1046</v>
      </c>
      <c r="D66" s="2964" t="s">
        <v>3128</v>
      </c>
      <c r="E66" s="2965" t="s">
        <v>3802</v>
      </c>
      <c r="F66" s="2966" t="s">
        <v>3386</v>
      </c>
      <c r="G66" s="2967">
        <v>59.61</v>
      </c>
      <c r="H66" s="2967">
        <v>10.58</v>
      </c>
    </row>
    <row r="67" spans="1:8" s="2968" customFormat="1" ht="18" customHeight="1">
      <c r="A67" s="2961">
        <v>65</v>
      </c>
      <c r="B67" s="2962" t="s">
        <v>1377</v>
      </c>
      <c r="C67" s="2963" t="s">
        <v>1046</v>
      </c>
      <c r="D67" s="2964" t="s">
        <v>3129</v>
      </c>
      <c r="E67" s="2965" t="s">
        <v>3803</v>
      </c>
      <c r="F67" s="2966" t="s">
        <v>3387</v>
      </c>
      <c r="G67" s="2967">
        <v>59.61</v>
      </c>
      <c r="H67" s="2967">
        <v>10.58</v>
      </c>
    </row>
    <row r="68" spans="1:8" s="2968" customFormat="1" ht="18" customHeight="1">
      <c r="A68" s="2961">
        <v>66</v>
      </c>
      <c r="B68" s="2962" t="s">
        <v>1377</v>
      </c>
      <c r="C68" s="2963" t="s">
        <v>1046</v>
      </c>
      <c r="D68" s="2964" t="s">
        <v>3130</v>
      </c>
      <c r="E68" s="2965" t="s">
        <v>3804</v>
      </c>
      <c r="F68" s="2966" t="s">
        <v>3388</v>
      </c>
      <c r="G68" s="2967">
        <v>43.63</v>
      </c>
      <c r="H68" s="2967">
        <v>7.75</v>
      </c>
    </row>
    <row r="69" spans="1:8" s="2968" customFormat="1" ht="18" customHeight="1">
      <c r="A69" s="2961">
        <v>67</v>
      </c>
      <c r="B69" s="2962" t="s">
        <v>1377</v>
      </c>
      <c r="C69" s="2963" t="s">
        <v>1046</v>
      </c>
      <c r="D69" s="2964" t="s">
        <v>3131</v>
      </c>
      <c r="E69" s="2965" t="s">
        <v>3805</v>
      </c>
      <c r="F69" s="2966" t="s">
        <v>3389</v>
      </c>
      <c r="G69" s="2967">
        <v>49.61</v>
      </c>
      <c r="H69" s="2967">
        <v>8.81</v>
      </c>
    </row>
    <row r="70" spans="1:8" s="2968" customFormat="1" ht="18" customHeight="1">
      <c r="A70" s="2961">
        <v>68</v>
      </c>
      <c r="B70" s="2962" t="s">
        <v>1377</v>
      </c>
      <c r="C70" s="2963" t="s">
        <v>1046</v>
      </c>
      <c r="D70" s="2964" t="s">
        <v>3132</v>
      </c>
      <c r="E70" s="2965" t="s">
        <v>3806</v>
      </c>
      <c r="F70" s="2966" t="s">
        <v>3390</v>
      </c>
      <c r="G70" s="2967">
        <v>45.15</v>
      </c>
      <c r="H70" s="2967">
        <v>8.02</v>
      </c>
    </row>
    <row r="71" spans="1:8" s="2968" customFormat="1" ht="18" customHeight="1">
      <c r="A71" s="2961">
        <v>69</v>
      </c>
      <c r="B71" s="2962" t="s">
        <v>1377</v>
      </c>
      <c r="C71" s="2963" t="s">
        <v>1046</v>
      </c>
      <c r="D71" s="2964" t="s">
        <v>3133</v>
      </c>
      <c r="E71" s="2965" t="s">
        <v>3807</v>
      </c>
      <c r="F71" s="2966" t="s">
        <v>3391</v>
      </c>
      <c r="G71" s="2967">
        <v>45.15</v>
      </c>
      <c r="H71" s="2967">
        <v>8.02</v>
      </c>
    </row>
    <row r="72" spans="1:8" s="2968" customFormat="1" ht="18" customHeight="1">
      <c r="A72" s="2961">
        <v>70</v>
      </c>
      <c r="B72" s="2962" t="s">
        <v>1377</v>
      </c>
      <c r="C72" s="2963" t="s">
        <v>1046</v>
      </c>
      <c r="D72" s="2964" t="s">
        <v>3134</v>
      </c>
      <c r="E72" s="2965" t="s">
        <v>3808</v>
      </c>
      <c r="F72" s="2966" t="s">
        <v>3392</v>
      </c>
      <c r="G72" s="2967">
        <v>42.93</v>
      </c>
      <c r="H72" s="2967">
        <v>7.62</v>
      </c>
    </row>
    <row r="73" spans="1:8" s="2968" customFormat="1" ht="18" customHeight="1">
      <c r="A73" s="2961">
        <v>71</v>
      </c>
      <c r="B73" s="2962" t="s">
        <v>1377</v>
      </c>
      <c r="C73" s="2963" t="s">
        <v>1046</v>
      </c>
      <c r="D73" s="2964" t="s">
        <v>3135</v>
      </c>
      <c r="E73" s="2965" t="s">
        <v>3809</v>
      </c>
      <c r="F73" s="2966" t="s">
        <v>3393</v>
      </c>
      <c r="G73" s="2967">
        <v>42.08</v>
      </c>
      <c r="H73" s="2967">
        <v>7.47</v>
      </c>
    </row>
    <row r="74" spans="1:8" s="2968" customFormat="1" ht="18" customHeight="1">
      <c r="A74" s="2961">
        <v>72</v>
      </c>
      <c r="B74" s="2962" t="s">
        <v>1377</v>
      </c>
      <c r="C74" s="2963" t="s">
        <v>1046</v>
      </c>
      <c r="D74" s="2964" t="s">
        <v>3136</v>
      </c>
      <c r="E74" s="2965" t="s">
        <v>3810</v>
      </c>
      <c r="F74" s="2966" t="s">
        <v>3394</v>
      </c>
      <c r="G74" s="2967">
        <v>42.08</v>
      </c>
      <c r="H74" s="2967">
        <v>7.47</v>
      </c>
    </row>
    <row r="75" spans="1:8" s="2968" customFormat="1" ht="18" customHeight="1">
      <c r="A75" s="2961">
        <v>73</v>
      </c>
      <c r="B75" s="2962" t="s">
        <v>1377</v>
      </c>
      <c r="C75" s="2963" t="s">
        <v>1046</v>
      </c>
      <c r="D75" s="2964" t="s">
        <v>3137</v>
      </c>
      <c r="E75" s="2965" t="s">
        <v>3811</v>
      </c>
      <c r="F75" s="2966" t="s">
        <v>3395</v>
      </c>
      <c r="G75" s="2967">
        <v>61.36</v>
      </c>
      <c r="H75" s="2967">
        <v>10.89</v>
      </c>
    </row>
    <row r="76" spans="1:8" s="2968" customFormat="1" ht="18" customHeight="1">
      <c r="A76" s="2961">
        <v>74</v>
      </c>
      <c r="B76" s="2962" t="s">
        <v>1377</v>
      </c>
      <c r="C76" s="2963" t="s">
        <v>1046</v>
      </c>
      <c r="D76" s="2964" t="s">
        <v>3138</v>
      </c>
      <c r="E76" s="2965" t="s">
        <v>3812</v>
      </c>
      <c r="F76" s="2966" t="s">
        <v>3396</v>
      </c>
      <c r="G76" s="2967">
        <v>60.42</v>
      </c>
      <c r="H76" s="2967">
        <v>10.73</v>
      </c>
    </row>
    <row r="77" spans="1:8" s="2968" customFormat="1" ht="18" customHeight="1">
      <c r="A77" s="2961">
        <v>75</v>
      </c>
      <c r="B77" s="2962" t="s">
        <v>1377</v>
      </c>
      <c r="C77" s="2963" t="s">
        <v>1046</v>
      </c>
      <c r="D77" s="2964" t="s">
        <v>3139</v>
      </c>
      <c r="E77" s="2965" t="s">
        <v>3813</v>
      </c>
      <c r="F77" s="2966" t="s">
        <v>3397</v>
      </c>
      <c r="G77" s="2967">
        <v>60.49</v>
      </c>
      <c r="H77" s="2967">
        <v>10.74</v>
      </c>
    </row>
    <row r="78" spans="1:8" s="2968" customFormat="1" ht="18" customHeight="1">
      <c r="A78" s="2961">
        <v>76</v>
      </c>
      <c r="B78" s="2962" t="s">
        <v>1377</v>
      </c>
      <c r="C78" s="2963" t="s">
        <v>1046</v>
      </c>
      <c r="D78" s="2964" t="s">
        <v>3140</v>
      </c>
      <c r="E78" s="2965" t="s">
        <v>3814</v>
      </c>
      <c r="F78" s="2966" t="s">
        <v>3398</v>
      </c>
      <c r="G78" s="2967">
        <v>68.63</v>
      </c>
      <c r="H78" s="2967">
        <v>12.18</v>
      </c>
    </row>
    <row r="79" spans="1:8" s="2968" customFormat="1" ht="18" customHeight="1">
      <c r="A79" s="2961">
        <v>77</v>
      </c>
      <c r="B79" s="2962" t="s">
        <v>1377</v>
      </c>
      <c r="C79" s="2963" t="s">
        <v>1046</v>
      </c>
      <c r="D79" s="2964" t="s">
        <v>3141</v>
      </c>
      <c r="E79" s="2965" t="s">
        <v>3815</v>
      </c>
      <c r="F79" s="2966" t="s">
        <v>3399</v>
      </c>
      <c r="G79" s="2967">
        <v>36.03</v>
      </c>
      <c r="H79" s="2967">
        <v>6.4</v>
      </c>
    </row>
    <row r="80" spans="1:8" s="2968" customFormat="1" ht="18" customHeight="1">
      <c r="A80" s="2961">
        <v>78</v>
      </c>
      <c r="B80" s="2962" t="s">
        <v>1377</v>
      </c>
      <c r="C80" s="2963" t="s">
        <v>1046</v>
      </c>
      <c r="D80" s="2964" t="s">
        <v>3142</v>
      </c>
      <c r="E80" s="2965" t="s">
        <v>3816</v>
      </c>
      <c r="F80" s="2966" t="s">
        <v>3400</v>
      </c>
      <c r="G80" s="2967">
        <v>50.5</v>
      </c>
      <c r="H80" s="2967">
        <v>8.9700000000000006</v>
      </c>
    </row>
    <row r="81" spans="1:8" s="2968" customFormat="1" ht="18" customHeight="1">
      <c r="A81" s="2961">
        <v>79</v>
      </c>
      <c r="B81" s="2962" t="s">
        <v>1377</v>
      </c>
      <c r="C81" s="2963" t="s">
        <v>1046</v>
      </c>
      <c r="D81" s="2964" t="s">
        <v>3143</v>
      </c>
      <c r="E81" s="2965" t="s">
        <v>3817</v>
      </c>
      <c r="F81" s="2966" t="s">
        <v>3401</v>
      </c>
      <c r="G81" s="2967">
        <v>50.5</v>
      </c>
      <c r="H81" s="2967">
        <v>8.9700000000000006</v>
      </c>
    </row>
    <row r="82" spans="1:8" s="2968" customFormat="1" ht="18" customHeight="1">
      <c r="A82" s="2961">
        <v>80</v>
      </c>
      <c r="B82" s="2962" t="s">
        <v>1377</v>
      </c>
      <c r="C82" s="2963" t="s">
        <v>1046</v>
      </c>
      <c r="D82" s="2964" t="s">
        <v>3144</v>
      </c>
      <c r="E82" s="2965" t="s">
        <v>3818</v>
      </c>
      <c r="F82" s="2966" t="s">
        <v>3402</v>
      </c>
      <c r="G82" s="2967">
        <v>65.650000000000006</v>
      </c>
      <c r="H82" s="2967">
        <v>11.66</v>
      </c>
    </row>
    <row r="83" spans="1:8" s="2968" customFormat="1" ht="18" customHeight="1">
      <c r="A83" s="2961">
        <v>81</v>
      </c>
      <c r="B83" s="2962" t="s">
        <v>1377</v>
      </c>
      <c r="C83" s="2963" t="s">
        <v>1046</v>
      </c>
      <c r="D83" s="2964" t="s">
        <v>3145</v>
      </c>
      <c r="E83" s="2965" t="s">
        <v>3819</v>
      </c>
      <c r="F83" s="2966" t="s">
        <v>3403</v>
      </c>
      <c r="G83" s="2967">
        <v>106.77</v>
      </c>
      <c r="H83" s="2967">
        <v>18.96</v>
      </c>
    </row>
    <row r="84" spans="1:8" s="2968" customFormat="1" ht="18" customHeight="1">
      <c r="A84" s="2961">
        <v>82</v>
      </c>
      <c r="B84" s="2962" t="s">
        <v>1377</v>
      </c>
      <c r="C84" s="2963" t="s">
        <v>1046</v>
      </c>
      <c r="D84" s="2964" t="s">
        <v>3146</v>
      </c>
      <c r="E84" s="2965" t="s">
        <v>3820</v>
      </c>
      <c r="F84" s="2966" t="s">
        <v>3404</v>
      </c>
      <c r="G84" s="2967">
        <v>32.79</v>
      </c>
      <c r="H84" s="2967">
        <v>5.82</v>
      </c>
    </row>
    <row r="85" spans="1:8" s="2968" customFormat="1" ht="18" customHeight="1">
      <c r="A85" s="2961">
        <v>83</v>
      </c>
      <c r="B85" s="2962" t="s">
        <v>1377</v>
      </c>
      <c r="C85" s="2963" t="s">
        <v>1046</v>
      </c>
      <c r="D85" s="2964" t="s">
        <v>3147</v>
      </c>
      <c r="E85" s="2965" t="s">
        <v>3821</v>
      </c>
      <c r="F85" s="2966" t="s">
        <v>3405</v>
      </c>
      <c r="G85" s="2967">
        <v>102.89</v>
      </c>
      <c r="H85" s="2967">
        <v>18.27</v>
      </c>
    </row>
    <row r="86" spans="1:8" s="2968" customFormat="1" ht="18" customHeight="1">
      <c r="A86" s="2961">
        <v>84</v>
      </c>
      <c r="B86" s="2962" t="s">
        <v>1377</v>
      </c>
      <c r="C86" s="2963" t="s">
        <v>1040</v>
      </c>
      <c r="D86" s="2964" t="s">
        <v>3148</v>
      </c>
      <c r="E86" s="2965" t="s">
        <v>3406</v>
      </c>
      <c r="F86" s="2966" t="s">
        <v>3407</v>
      </c>
      <c r="G86" s="2967">
        <v>67.739999999999995</v>
      </c>
      <c r="H86" s="2967">
        <v>12.03</v>
      </c>
    </row>
    <row r="87" spans="1:8" s="2968" customFormat="1" ht="18" customHeight="1">
      <c r="A87" s="2961">
        <v>85</v>
      </c>
      <c r="B87" s="2962" t="s">
        <v>1377</v>
      </c>
      <c r="C87" s="2963" t="s">
        <v>1040</v>
      </c>
      <c r="D87" s="2964" t="s">
        <v>3149</v>
      </c>
      <c r="E87" s="2965" t="s">
        <v>3408</v>
      </c>
      <c r="F87" s="2966" t="s">
        <v>3409</v>
      </c>
      <c r="G87" s="2967">
        <v>53.24</v>
      </c>
      <c r="H87" s="2967">
        <v>9.4499999999999993</v>
      </c>
    </row>
    <row r="88" spans="1:8" s="2968" customFormat="1" ht="18" customHeight="1">
      <c r="A88" s="2961">
        <v>86</v>
      </c>
      <c r="B88" s="2962" t="s">
        <v>1377</v>
      </c>
      <c r="C88" s="2963" t="s">
        <v>1040</v>
      </c>
      <c r="D88" s="2964" t="s">
        <v>3150</v>
      </c>
      <c r="E88" s="2965" t="s">
        <v>3410</v>
      </c>
      <c r="F88" s="2966" t="s">
        <v>3411</v>
      </c>
      <c r="G88" s="2967">
        <v>105.17</v>
      </c>
      <c r="H88" s="2967">
        <v>18.670000000000002</v>
      </c>
    </row>
    <row r="89" spans="1:8" s="2968" customFormat="1" ht="18" customHeight="1">
      <c r="A89" s="2961">
        <v>87</v>
      </c>
      <c r="B89" s="2962" t="s">
        <v>1377</v>
      </c>
      <c r="C89" s="2963" t="s">
        <v>1040</v>
      </c>
      <c r="D89" s="2964" t="s">
        <v>3151</v>
      </c>
      <c r="E89" s="2965" t="s">
        <v>3412</v>
      </c>
      <c r="F89" s="2966" t="s">
        <v>3413</v>
      </c>
      <c r="G89" s="2967">
        <v>98.7</v>
      </c>
      <c r="H89" s="2967">
        <v>17.52</v>
      </c>
    </row>
    <row r="90" spans="1:8" s="2968" customFormat="1" ht="18" customHeight="1">
      <c r="A90" s="2961">
        <v>88</v>
      </c>
      <c r="B90" s="2962" t="s">
        <v>1377</v>
      </c>
      <c r="C90" s="2963" t="s">
        <v>1040</v>
      </c>
      <c r="D90" s="2964" t="s">
        <v>3152</v>
      </c>
      <c r="E90" s="2965" t="s">
        <v>3414</v>
      </c>
      <c r="F90" s="2966" t="s">
        <v>3415</v>
      </c>
      <c r="G90" s="2967">
        <v>130.77000000000001</v>
      </c>
      <c r="H90" s="2967">
        <v>23.22</v>
      </c>
    </row>
    <row r="91" spans="1:8" s="2968" customFormat="1" ht="18" customHeight="1">
      <c r="A91" s="2961">
        <v>89</v>
      </c>
      <c r="B91" s="2962" t="s">
        <v>1377</v>
      </c>
      <c r="C91" s="2963" t="s">
        <v>1040</v>
      </c>
      <c r="D91" s="2964" t="s">
        <v>3153</v>
      </c>
      <c r="E91" s="2965" t="s">
        <v>3416</v>
      </c>
      <c r="F91" s="2966" t="s">
        <v>3417</v>
      </c>
      <c r="G91" s="2967">
        <v>61.85</v>
      </c>
      <c r="H91" s="2967">
        <v>10.98</v>
      </c>
    </row>
    <row r="92" spans="1:8" s="2968" customFormat="1" ht="18" customHeight="1">
      <c r="A92" s="2961">
        <v>90</v>
      </c>
      <c r="B92" s="2962" t="s">
        <v>1377</v>
      </c>
      <c r="C92" s="2963" t="s">
        <v>1040</v>
      </c>
      <c r="D92" s="2964" t="s">
        <v>3154</v>
      </c>
      <c r="E92" s="2965" t="s">
        <v>3418</v>
      </c>
      <c r="F92" s="2966" t="s">
        <v>3419</v>
      </c>
      <c r="G92" s="2967">
        <v>55.48</v>
      </c>
      <c r="H92" s="2967">
        <v>9.85</v>
      </c>
    </row>
    <row r="93" spans="1:8" s="2968" customFormat="1" ht="18" customHeight="1">
      <c r="A93" s="2961">
        <v>91</v>
      </c>
      <c r="B93" s="2962" t="s">
        <v>1377</v>
      </c>
      <c r="C93" s="2963" t="s">
        <v>1040</v>
      </c>
      <c r="D93" s="2964" t="s">
        <v>3155</v>
      </c>
      <c r="E93" s="2965" t="s">
        <v>3420</v>
      </c>
      <c r="F93" s="2966" t="s">
        <v>3421</v>
      </c>
      <c r="G93" s="2967">
        <v>49.11</v>
      </c>
      <c r="H93" s="2967">
        <v>8.7200000000000006</v>
      </c>
    </row>
    <row r="94" spans="1:8" s="2968" customFormat="1" ht="18" customHeight="1">
      <c r="A94" s="2961">
        <v>92</v>
      </c>
      <c r="B94" s="2962" t="s">
        <v>1377</v>
      </c>
      <c r="C94" s="2963" t="s">
        <v>1040</v>
      </c>
      <c r="D94" s="2964" t="s">
        <v>3156</v>
      </c>
      <c r="E94" s="2965" t="s">
        <v>3422</v>
      </c>
      <c r="F94" s="2966" t="s">
        <v>3423</v>
      </c>
      <c r="G94" s="2967">
        <v>96.83</v>
      </c>
      <c r="H94" s="2967">
        <v>17.190000000000001</v>
      </c>
    </row>
    <row r="95" spans="1:8" s="2968" customFormat="1" ht="18" customHeight="1">
      <c r="A95" s="2961">
        <v>93</v>
      </c>
      <c r="B95" s="2962" t="s">
        <v>1377</v>
      </c>
      <c r="C95" s="2963" t="s">
        <v>1040</v>
      </c>
      <c r="D95" s="2964" t="s">
        <v>3157</v>
      </c>
      <c r="E95" s="2965" t="s">
        <v>3424</v>
      </c>
      <c r="F95" s="2966" t="s">
        <v>3425</v>
      </c>
      <c r="G95" s="2967">
        <v>96.83</v>
      </c>
      <c r="H95" s="2967">
        <v>17.190000000000001</v>
      </c>
    </row>
    <row r="96" spans="1:8" s="2968" customFormat="1" ht="18" customHeight="1">
      <c r="A96" s="2961">
        <v>94</v>
      </c>
      <c r="B96" s="2962" t="s">
        <v>1377</v>
      </c>
      <c r="C96" s="2963" t="s">
        <v>1040</v>
      </c>
      <c r="D96" s="2964" t="s">
        <v>3158</v>
      </c>
      <c r="E96" s="2965" t="s">
        <v>3426</v>
      </c>
      <c r="F96" s="2966" t="s">
        <v>3427</v>
      </c>
      <c r="G96" s="2967">
        <v>95.92</v>
      </c>
      <c r="H96" s="2967">
        <v>17.03</v>
      </c>
    </row>
    <row r="97" spans="1:8" s="2968" customFormat="1" ht="18" customHeight="1">
      <c r="A97" s="2961">
        <v>95</v>
      </c>
      <c r="B97" s="2962" t="s">
        <v>1377</v>
      </c>
      <c r="C97" s="2963" t="s">
        <v>1040</v>
      </c>
      <c r="D97" s="2964" t="s">
        <v>3159</v>
      </c>
      <c r="E97" s="2965" t="s">
        <v>3428</v>
      </c>
      <c r="F97" s="2966" t="s">
        <v>3429</v>
      </c>
      <c r="G97" s="2967">
        <v>96.83</v>
      </c>
      <c r="H97" s="2967">
        <v>17.190000000000001</v>
      </c>
    </row>
    <row r="98" spans="1:8" s="2968" customFormat="1" ht="18" customHeight="1">
      <c r="A98" s="2961">
        <v>96</v>
      </c>
      <c r="B98" s="2962" t="s">
        <v>1377</v>
      </c>
      <c r="C98" s="2963" t="s">
        <v>1040</v>
      </c>
      <c r="D98" s="2964" t="s">
        <v>3160</v>
      </c>
      <c r="E98" s="2965" t="s">
        <v>3430</v>
      </c>
      <c r="F98" s="2966" t="s">
        <v>3431</v>
      </c>
      <c r="G98" s="2967">
        <v>96.83</v>
      </c>
      <c r="H98" s="2967">
        <v>17.190000000000001</v>
      </c>
    </row>
    <row r="99" spans="1:8" s="2968" customFormat="1" ht="18" customHeight="1">
      <c r="A99" s="2961">
        <v>97</v>
      </c>
      <c r="B99" s="2962" t="s">
        <v>1377</v>
      </c>
      <c r="C99" s="2963" t="s">
        <v>1040</v>
      </c>
      <c r="D99" s="2964" t="s">
        <v>3161</v>
      </c>
      <c r="E99" s="2965" t="s">
        <v>3432</v>
      </c>
      <c r="F99" s="2966" t="s">
        <v>3433</v>
      </c>
      <c r="G99" s="2967">
        <v>96.71</v>
      </c>
      <c r="H99" s="2967">
        <v>17.170000000000002</v>
      </c>
    </row>
    <row r="100" spans="1:8" s="2968" customFormat="1" ht="18" customHeight="1">
      <c r="A100" s="2961">
        <v>98</v>
      </c>
      <c r="B100" s="2962" t="s">
        <v>1377</v>
      </c>
      <c r="C100" s="2963" t="s">
        <v>1040</v>
      </c>
      <c r="D100" s="2964" t="s">
        <v>3162</v>
      </c>
      <c r="E100" s="2965" t="s">
        <v>3434</v>
      </c>
      <c r="F100" s="2966" t="s">
        <v>3435</v>
      </c>
      <c r="G100" s="2967">
        <v>96.07</v>
      </c>
      <c r="H100" s="2967">
        <v>17.059999999999999</v>
      </c>
    </row>
    <row r="101" spans="1:8" s="2968" customFormat="1" ht="18" customHeight="1">
      <c r="A101" s="2961">
        <v>99</v>
      </c>
      <c r="B101" s="2962" t="s">
        <v>1377</v>
      </c>
      <c r="C101" s="2963" t="s">
        <v>1040</v>
      </c>
      <c r="D101" s="2964" t="s">
        <v>3163</v>
      </c>
      <c r="E101" s="2965" t="s">
        <v>3436</v>
      </c>
      <c r="F101" s="2966" t="s">
        <v>3437</v>
      </c>
      <c r="G101" s="2967">
        <v>64.55</v>
      </c>
      <c r="H101" s="2967">
        <v>11.46</v>
      </c>
    </row>
    <row r="102" spans="1:8" s="2968" customFormat="1" ht="18" customHeight="1">
      <c r="A102" s="2961">
        <v>100</v>
      </c>
      <c r="B102" s="2962" t="s">
        <v>1377</v>
      </c>
      <c r="C102" s="2963" t="s">
        <v>1040</v>
      </c>
      <c r="D102" s="2964" t="s">
        <v>3164</v>
      </c>
      <c r="E102" s="2965" t="s">
        <v>3438</v>
      </c>
      <c r="F102" s="2966" t="s">
        <v>3439</v>
      </c>
      <c r="G102" s="2967">
        <v>64.55</v>
      </c>
      <c r="H102" s="2967">
        <v>11.46</v>
      </c>
    </row>
    <row r="103" spans="1:8" s="2968" customFormat="1" ht="18" customHeight="1">
      <c r="A103" s="2961">
        <v>101</v>
      </c>
      <c r="B103" s="2962" t="s">
        <v>1377</v>
      </c>
      <c r="C103" s="2963" t="s">
        <v>1040</v>
      </c>
      <c r="D103" s="2964" t="s">
        <v>3165</v>
      </c>
      <c r="E103" s="2965" t="s">
        <v>3440</v>
      </c>
      <c r="F103" s="2966" t="s">
        <v>3441</v>
      </c>
      <c r="G103" s="2967">
        <v>31.08</v>
      </c>
      <c r="H103" s="2967">
        <v>5.52</v>
      </c>
    </row>
    <row r="104" spans="1:8" s="2968" customFormat="1" ht="18" customHeight="1">
      <c r="A104" s="2961">
        <v>102</v>
      </c>
      <c r="B104" s="2962" t="s">
        <v>1377</v>
      </c>
      <c r="C104" s="2963" t="s">
        <v>1040</v>
      </c>
      <c r="D104" s="2964" t="s">
        <v>3166</v>
      </c>
      <c r="E104" s="2965" t="s">
        <v>3442</v>
      </c>
      <c r="F104" s="2966" t="s">
        <v>3443</v>
      </c>
      <c r="G104" s="2967">
        <v>117.22</v>
      </c>
      <c r="H104" s="2967">
        <v>20.81</v>
      </c>
    </row>
    <row r="105" spans="1:8" s="2968" customFormat="1" ht="18" customHeight="1">
      <c r="A105" s="2961">
        <v>103</v>
      </c>
      <c r="B105" s="2962" t="s">
        <v>1377</v>
      </c>
      <c r="C105" s="2963" t="s">
        <v>1040</v>
      </c>
      <c r="D105" s="2964" t="s">
        <v>3167</v>
      </c>
      <c r="E105" s="2965" t="s">
        <v>3444</v>
      </c>
      <c r="F105" s="2966" t="s">
        <v>3445</v>
      </c>
      <c r="G105" s="2967">
        <v>80.87</v>
      </c>
      <c r="H105" s="2967">
        <v>14.36</v>
      </c>
    </row>
    <row r="106" spans="1:8" s="2968" customFormat="1" ht="18" customHeight="1">
      <c r="A106" s="2961">
        <v>104</v>
      </c>
      <c r="B106" s="2962" t="s">
        <v>1377</v>
      </c>
      <c r="C106" s="2963" t="s">
        <v>1040</v>
      </c>
      <c r="D106" s="2964" t="s">
        <v>3168</v>
      </c>
      <c r="E106" s="2965" t="s">
        <v>3446</v>
      </c>
      <c r="F106" s="2966" t="s">
        <v>3447</v>
      </c>
      <c r="G106" s="2967">
        <v>61.68</v>
      </c>
      <c r="H106" s="2967">
        <v>10.95</v>
      </c>
    </row>
    <row r="107" spans="1:8" s="2968" customFormat="1" ht="18" customHeight="1">
      <c r="A107" s="2961">
        <v>105</v>
      </c>
      <c r="B107" s="2962" t="s">
        <v>1377</v>
      </c>
      <c r="C107" s="2963" t="s">
        <v>1040</v>
      </c>
      <c r="D107" s="2964" t="s">
        <v>3169</v>
      </c>
      <c r="E107" s="2965" t="s">
        <v>3448</v>
      </c>
      <c r="F107" s="2966" t="s">
        <v>3449</v>
      </c>
      <c r="G107" s="2967">
        <v>58.63</v>
      </c>
      <c r="H107" s="2967">
        <v>10.41</v>
      </c>
    </row>
    <row r="108" spans="1:8" s="2968" customFormat="1" ht="18" customHeight="1">
      <c r="A108" s="2961">
        <v>106</v>
      </c>
      <c r="B108" s="2962" t="s">
        <v>1377</v>
      </c>
      <c r="C108" s="2963" t="s">
        <v>1040</v>
      </c>
      <c r="D108" s="2964" t="s">
        <v>3170</v>
      </c>
      <c r="E108" s="2965" t="s">
        <v>3450</v>
      </c>
      <c r="F108" s="2966" t="s">
        <v>3451</v>
      </c>
      <c r="G108" s="2967">
        <v>112.93</v>
      </c>
      <c r="H108" s="2967">
        <v>20.05</v>
      </c>
    </row>
    <row r="109" spans="1:8" s="2968" customFormat="1" ht="18" customHeight="1">
      <c r="A109" s="2961">
        <v>107</v>
      </c>
      <c r="B109" s="2962" t="s">
        <v>1377</v>
      </c>
      <c r="C109" s="2963" t="s">
        <v>1040</v>
      </c>
      <c r="D109" s="2964" t="s">
        <v>3171</v>
      </c>
      <c r="E109" s="2965" t="s">
        <v>3452</v>
      </c>
      <c r="F109" s="2966" t="s">
        <v>3453</v>
      </c>
      <c r="G109" s="2967">
        <v>81.86</v>
      </c>
      <c r="H109" s="2967">
        <v>14.53</v>
      </c>
    </row>
    <row r="110" spans="1:8" s="2968" customFormat="1" ht="18" customHeight="1">
      <c r="A110" s="2961">
        <v>108</v>
      </c>
      <c r="B110" s="2962" t="s">
        <v>1377</v>
      </c>
      <c r="C110" s="2963" t="s">
        <v>1040</v>
      </c>
      <c r="D110" s="2964" t="s">
        <v>3172</v>
      </c>
      <c r="E110" s="2965" t="s">
        <v>3454</v>
      </c>
      <c r="F110" s="2966" t="s">
        <v>3455</v>
      </c>
      <c r="G110" s="2967">
        <v>81.459999999999994</v>
      </c>
      <c r="H110" s="2967">
        <v>14.46</v>
      </c>
    </row>
    <row r="111" spans="1:8" s="2968" customFormat="1" ht="18" customHeight="1">
      <c r="A111" s="2961">
        <v>109</v>
      </c>
      <c r="B111" s="2962" t="s">
        <v>1377</v>
      </c>
      <c r="C111" s="2963" t="s">
        <v>1040</v>
      </c>
      <c r="D111" s="2964" t="s">
        <v>3173</v>
      </c>
      <c r="E111" s="2965" t="s">
        <v>3456</v>
      </c>
      <c r="F111" s="2966" t="s">
        <v>3457</v>
      </c>
      <c r="G111" s="2967">
        <v>81.34</v>
      </c>
      <c r="H111" s="2967">
        <v>14.44</v>
      </c>
    </row>
    <row r="112" spans="1:8" s="2968" customFormat="1" ht="18" customHeight="1">
      <c r="A112" s="2961">
        <v>110</v>
      </c>
      <c r="B112" s="2962" t="s">
        <v>1377</v>
      </c>
      <c r="C112" s="2963" t="s">
        <v>1040</v>
      </c>
      <c r="D112" s="2964" t="s">
        <v>3174</v>
      </c>
      <c r="E112" s="2965" t="s">
        <v>3458</v>
      </c>
      <c r="F112" s="2966" t="s">
        <v>3459</v>
      </c>
      <c r="G112" s="2967">
        <v>81.459999999999994</v>
      </c>
      <c r="H112" s="2967">
        <v>14.46</v>
      </c>
    </row>
    <row r="113" spans="1:8" s="2968" customFormat="1" ht="18" customHeight="1">
      <c r="A113" s="2961">
        <v>111</v>
      </c>
      <c r="B113" s="2962" t="s">
        <v>1377</v>
      </c>
      <c r="C113" s="2963" t="s">
        <v>1040</v>
      </c>
      <c r="D113" s="2964" t="s">
        <v>3175</v>
      </c>
      <c r="E113" s="2965" t="s">
        <v>3460</v>
      </c>
      <c r="F113" s="2966" t="s">
        <v>3461</v>
      </c>
      <c r="G113" s="2967">
        <v>81.459999999999994</v>
      </c>
      <c r="H113" s="2967">
        <v>14.46</v>
      </c>
    </row>
    <row r="114" spans="1:8" s="2968" customFormat="1" ht="18" customHeight="1">
      <c r="A114" s="2961">
        <v>112</v>
      </c>
      <c r="B114" s="2962" t="s">
        <v>1377</v>
      </c>
      <c r="C114" s="2963" t="s">
        <v>1040</v>
      </c>
      <c r="D114" s="2964" t="s">
        <v>3176</v>
      </c>
      <c r="E114" s="2965" t="s">
        <v>3462</v>
      </c>
      <c r="F114" s="2966" t="s">
        <v>3463</v>
      </c>
      <c r="G114" s="2967">
        <v>81.34</v>
      </c>
      <c r="H114" s="2967">
        <v>14.44</v>
      </c>
    </row>
    <row r="115" spans="1:8" s="2968" customFormat="1" ht="18" customHeight="1">
      <c r="A115" s="2961">
        <v>113</v>
      </c>
      <c r="B115" s="2962" t="s">
        <v>1377</v>
      </c>
      <c r="C115" s="2963" t="s">
        <v>1040</v>
      </c>
      <c r="D115" s="2964" t="s">
        <v>3177</v>
      </c>
      <c r="E115" s="2965" t="s">
        <v>3464</v>
      </c>
      <c r="F115" s="2966" t="s">
        <v>3465</v>
      </c>
      <c r="G115" s="2967">
        <v>81.459999999999994</v>
      </c>
      <c r="H115" s="2967">
        <v>14.46</v>
      </c>
    </row>
    <row r="116" spans="1:8" s="2968" customFormat="1" ht="18" customHeight="1">
      <c r="A116" s="2961">
        <v>114</v>
      </c>
      <c r="B116" s="2962" t="s">
        <v>1377</v>
      </c>
      <c r="C116" s="2963" t="s">
        <v>1040</v>
      </c>
      <c r="D116" s="2964" t="s">
        <v>3178</v>
      </c>
      <c r="E116" s="2965" t="s">
        <v>3466</v>
      </c>
      <c r="F116" s="2966" t="s">
        <v>3467</v>
      </c>
      <c r="G116" s="2967">
        <v>81.459999999999994</v>
      </c>
      <c r="H116" s="2967">
        <v>14.46</v>
      </c>
    </row>
    <row r="117" spans="1:8" s="2968" customFormat="1" ht="18" customHeight="1">
      <c r="A117" s="2961">
        <v>115</v>
      </c>
      <c r="B117" s="2962" t="s">
        <v>1377</v>
      </c>
      <c r="C117" s="2963" t="s">
        <v>1040</v>
      </c>
      <c r="D117" s="2964" t="s">
        <v>3179</v>
      </c>
      <c r="E117" s="2965" t="s">
        <v>3468</v>
      </c>
      <c r="F117" s="2966" t="s">
        <v>3469</v>
      </c>
      <c r="G117" s="2967">
        <v>81.59</v>
      </c>
      <c r="H117" s="2967">
        <v>14.49</v>
      </c>
    </row>
    <row r="118" spans="1:8" s="2968" customFormat="1" ht="18" customHeight="1">
      <c r="A118" s="2961">
        <v>116</v>
      </c>
      <c r="B118" s="2962" t="s">
        <v>1377</v>
      </c>
      <c r="C118" s="2963" t="s">
        <v>1040</v>
      </c>
      <c r="D118" s="2964" t="s">
        <v>3180</v>
      </c>
      <c r="E118" s="2965" t="s">
        <v>3470</v>
      </c>
      <c r="F118" s="2966" t="s">
        <v>3471</v>
      </c>
      <c r="G118" s="2967">
        <v>65.23</v>
      </c>
      <c r="H118" s="2967">
        <v>11.58</v>
      </c>
    </row>
    <row r="119" spans="1:8" s="2968" customFormat="1" ht="18" customHeight="1">
      <c r="A119" s="2961">
        <v>117</v>
      </c>
      <c r="B119" s="2962" t="s">
        <v>1377</v>
      </c>
      <c r="C119" s="2963" t="s">
        <v>1040</v>
      </c>
      <c r="D119" s="2964" t="s">
        <v>3181</v>
      </c>
      <c r="E119" s="2965" t="s">
        <v>3472</v>
      </c>
      <c r="F119" s="2966" t="s">
        <v>3473</v>
      </c>
      <c r="G119" s="2967">
        <v>43.26</v>
      </c>
      <c r="H119" s="2967">
        <v>7.68</v>
      </c>
    </row>
    <row r="120" spans="1:8" s="2968" customFormat="1" ht="18" customHeight="1">
      <c r="A120" s="2961">
        <v>118</v>
      </c>
      <c r="B120" s="2962" t="s">
        <v>1377</v>
      </c>
      <c r="C120" s="2963" t="s">
        <v>1040</v>
      </c>
      <c r="D120" s="2964" t="s">
        <v>3182</v>
      </c>
      <c r="E120" s="2965" t="s">
        <v>3474</v>
      </c>
      <c r="F120" s="2966" t="s">
        <v>3475</v>
      </c>
      <c r="G120" s="2967">
        <v>42.29</v>
      </c>
      <c r="H120" s="2967">
        <v>7.51</v>
      </c>
    </row>
    <row r="121" spans="1:8" s="2968" customFormat="1" ht="18" customHeight="1">
      <c r="A121" s="2961">
        <v>119</v>
      </c>
      <c r="B121" s="2962" t="s">
        <v>1377</v>
      </c>
      <c r="C121" s="2963" t="s">
        <v>1040</v>
      </c>
      <c r="D121" s="2964" t="s">
        <v>3183</v>
      </c>
      <c r="E121" s="2965" t="s">
        <v>3476</v>
      </c>
      <c r="F121" s="2966" t="s">
        <v>3477</v>
      </c>
      <c r="G121" s="2967">
        <v>30.64</v>
      </c>
      <c r="H121" s="2967">
        <v>5.44</v>
      </c>
    </row>
    <row r="122" spans="1:8" s="2968" customFormat="1" ht="18" customHeight="1">
      <c r="A122" s="2961">
        <v>120</v>
      </c>
      <c r="B122" s="2962" t="s">
        <v>1377</v>
      </c>
      <c r="C122" s="2963" t="s">
        <v>1041</v>
      </c>
      <c r="D122" s="2964" t="s">
        <v>3184</v>
      </c>
      <c r="E122" s="2965" t="s">
        <v>3478</v>
      </c>
      <c r="F122" s="2966" t="s">
        <v>3479</v>
      </c>
      <c r="G122" s="2967">
        <v>129.61000000000001</v>
      </c>
      <c r="H122" s="2967">
        <v>23.01</v>
      </c>
    </row>
    <row r="123" spans="1:8" s="2968" customFormat="1" ht="18" customHeight="1">
      <c r="A123" s="2961">
        <v>121</v>
      </c>
      <c r="B123" s="2962" t="s">
        <v>1377</v>
      </c>
      <c r="C123" s="2963" t="s">
        <v>1041</v>
      </c>
      <c r="D123" s="2964" t="s">
        <v>3185</v>
      </c>
      <c r="E123" s="2965" t="s">
        <v>3480</v>
      </c>
      <c r="F123" s="2966" t="s">
        <v>3481</v>
      </c>
      <c r="G123" s="2967">
        <v>84.58</v>
      </c>
      <c r="H123" s="2967">
        <v>15.02</v>
      </c>
    </row>
    <row r="124" spans="1:8" s="2968" customFormat="1" ht="18" customHeight="1">
      <c r="A124" s="2961">
        <v>122</v>
      </c>
      <c r="B124" s="2962" t="s">
        <v>1377</v>
      </c>
      <c r="C124" s="2963" t="s">
        <v>1041</v>
      </c>
      <c r="D124" s="2964" t="s">
        <v>3186</v>
      </c>
      <c r="E124" s="2965" t="s">
        <v>3482</v>
      </c>
      <c r="F124" s="2966" t="s">
        <v>3483</v>
      </c>
      <c r="G124" s="2967">
        <v>91.13</v>
      </c>
      <c r="H124" s="2967">
        <v>16.18</v>
      </c>
    </row>
    <row r="125" spans="1:8" s="2968" customFormat="1" ht="18" customHeight="1">
      <c r="A125" s="2961">
        <v>123</v>
      </c>
      <c r="B125" s="2962" t="s">
        <v>1377</v>
      </c>
      <c r="C125" s="2963" t="s">
        <v>1041</v>
      </c>
      <c r="D125" s="2964" t="s">
        <v>3187</v>
      </c>
      <c r="E125" s="2965" t="s">
        <v>3484</v>
      </c>
      <c r="F125" s="2966" t="s">
        <v>3485</v>
      </c>
      <c r="G125" s="2967">
        <v>86.27</v>
      </c>
      <c r="H125" s="2967">
        <v>15.32</v>
      </c>
    </row>
    <row r="126" spans="1:8" s="2968" customFormat="1" ht="18" customHeight="1">
      <c r="A126" s="2961">
        <v>124</v>
      </c>
      <c r="B126" s="2962" t="s">
        <v>1377</v>
      </c>
      <c r="C126" s="2963" t="s">
        <v>1041</v>
      </c>
      <c r="D126" s="2964" t="s">
        <v>3188</v>
      </c>
      <c r="E126" s="2965" t="s">
        <v>3486</v>
      </c>
      <c r="F126" s="2966" t="s">
        <v>3487</v>
      </c>
      <c r="G126" s="2967">
        <v>81.569999999999993</v>
      </c>
      <c r="H126" s="2967">
        <v>14.48</v>
      </c>
    </row>
    <row r="127" spans="1:8" s="2968" customFormat="1" ht="18" customHeight="1">
      <c r="A127" s="2961">
        <v>125</v>
      </c>
      <c r="B127" s="2962" t="s">
        <v>1377</v>
      </c>
      <c r="C127" s="2963" t="s">
        <v>1041</v>
      </c>
      <c r="D127" s="2964" t="s">
        <v>3189</v>
      </c>
      <c r="E127" s="2965" t="s">
        <v>3488</v>
      </c>
      <c r="F127" s="2966" t="s">
        <v>3489</v>
      </c>
      <c r="G127" s="2967">
        <v>92.23</v>
      </c>
      <c r="H127" s="2967">
        <v>16.37</v>
      </c>
    </row>
    <row r="128" spans="1:8" s="2968" customFormat="1" ht="18" customHeight="1">
      <c r="A128" s="2961">
        <v>126</v>
      </c>
      <c r="B128" s="2962" t="s">
        <v>1377</v>
      </c>
      <c r="C128" s="2963" t="s">
        <v>1041</v>
      </c>
      <c r="D128" s="2964" t="s">
        <v>3190</v>
      </c>
      <c r="E128" s="2965" t="s">
        <v>3490</v>
      </c>
      <c r="F128" s="2966" t="s">
        <v>3491</v>
      </c>
      <c r="G128" s="2967">
        <v>96.1</v>
      </c>
      <c r="H128" s="2967">
        <v>17.059999999999999</v>
      </c>
    </row>
    <row r="129" spans="1:8" s="2968" customFormat="1" ht="18" customHeight="1">
      <c r="A129" s="2961">
        <v>127</v>
      </c>
      <c r="B129" s="2962" t="s">
        <v>1377</v>
      </c>
      <c r="C129" s="2963" t="s">
        <v>1041</v>
      </c>
      <c r="D129" s="2964" t="s">
        <v>3191</v>
      </c>
      <c r="E129" s="2965" t="s">
        <v>3492</v>
      </c>
      <c r="F129" s="2966" t="s">
        <v>3493</v>
      </c>
      <c r="G129" s="2967">
        <v>91.23</v>
      </c>
      <c r="H129" s="2967">
        <v>16.2</v>
      </c>
    </row>
    <row r="130" spans="1:8" s="2968" customFormat="1" ht="18" customHeight="1">
      <c r="A130" s="2961">
        <v>128</v>
      </c>
      <c r="B130" s="2962" t="s">
        <v>1377</v>
      </c>
      <c r="C130" s="2963" t="s">
        <v>1041</v>
      </c>
      <c r="D130" s="2964" t="s">
        <v>3192</v>
      </c>
      <c r="E130" s="2965" t="s">
        <v>3494</v>
      </c>
      <c r="F130" s="2966" t="s">
        <v>3495</v>
      </c>
      <c r="G130" s="2967">
        <v>109.86</v>
      </c>
      <c r="H130" s="2967">
        <v>19.5</v>
      </c>
    </row>
    <row r="131" spans="1:8" s="2968" customFormat="1" ht="18" customHeight="1">
      <c r="A131" s="2961">
        <v>129</v>
      </c>
      <c r="B131" s="2962" t="s">
        <v>1377</v>
      </c>
      <c r="C131" s="2963" t="s">
        <v>1041</v>
      </c>
      <c r="D131" s="2964" t="s">
        <v>3193</v>
      </c>
      <c r="E131" s="2965" t="s">
        <v>3496</v>
      </c>
      <c r="F131" s="2966" t="s">
        <v>3497</v>
      </c>
      <c r="G131" s="2967">
        <v>99.1</v>
      </c>
      <c r="H131" s="2967">
        <v>17.59</v>
      </c>
    </row>
    <row r="132" spans="1:8" s="2968" customFormat="1" ht="18" customHeight="1">
      <c r="A132" s="2961">
        <v>130</v>
      </c>
      <c r="B132" s="2962" t="s">
        <v>1377</v>
      </c>
      <c r="C132" s="2963" t="s">
        <v>1041</v>
      </c>
      <c r="D132" s="2964" t="s">
        <v>3194</v>
      </c>
      <c r="E132" s="2965" t="s">
        <v>3498</v>
      </c>
      <c r="F132" s="2966" t="s">
        <v>3499</v>
      </c>
      <c r="G132" s="2967">
        <v>80.81</v>
      </c>
      <c r="H132" s="2967">
        <v>14.35</v>
      </c>
    </row>
    <row r="133" spans="1:8" s="2968" customFormat="1" ht="18" customHeight="1">
      <c r="A133" s="2961">
        <v>131</v>
      </c>
      <c r="B133" s="2962" t="s">
        <v>1377</v>
      </c>
      <c r="C133" s="2963" t="s">
        <v>1041</v>
      </c>
      <c r="D133" s="2964" t="s">
        <v>3195</v>
      </c>
      <c r="E133" s="2965" t="s">
        <v>3500</v>
      </c>
      <c r="F133" s="2966" t="s">
        <v>3501</v>
      </c>
      <c r="G133" s="2967">
        <v>88.82</v>
      </c>
      <c r="H133" s="2967">
        <v>15.77</v>
      </c>
    </row>
    <row r="134" spans="1:8" s="2968" customFormat="1" ht="18" customHeight="1">
      <c r="A134" s="2961">
        <v>132</v>
      </c>
      <c r="B134" s="2962" t="s">
        <v>1377</v>
      </c>
      <c r="C134" s="2963" t="s">
        <v>3364</v>
      </c>
      <c r="D134" s="2964" t="s">
        <v>3196</v>
      </c>
      <c r="E134" s="2965" t="s">
        <v>3502</v>
      </c>
      <c r="F134" s="2966" t="s">
        <v>3503</v>
      </c>
      <c r="G134" s="2967">
        <v>69.78</v>
      </c>
      <c r="H134" s="2967">
        <v>12.39</v>
      </c>
    </row>
    <row r="135" spans="1:8" s="2968" customFormat="1" ht="18" customHeight="1">
      <c r="A135" s="2961">
        <v>133</v>
      </c>
      <c r="B135" s="2962" t="s">
        <v>1377</v>
      </c>
      <c r="C135" s="2963" t="s">
        <v>3364</v>
      </c>
      <c r="D135" s="2964" t="s">
        <v>3197</v>
      </c>
      <c r="E135" s="2965" t="s">
        <v>3504</v>
      </c>
      <c r="F135" s="2966" t="s">
        <v>3505</v>
      </c>
      <c r="G135" s="2967">
        <v>54.52</v>
      </c>
      <c r="H135" s="2967">
        <v>9.68</v>
      </c>
    </row>
    <row r="136" spans="1:8" s="2968" customFormat="1" ht="18" customHeight="1">
      <c r="A136" s="2961">
        <v>134</v>
      </c>
      <c r="B136" s="2962" t="s">
        <v>1377</v>
      </c>
      <c r="C136" s="2963" t="s">
        <v>3364</v>
      </c>
      <c r="D136" s="2964" t="s">
        <v>3198</v>
      </c>
      <c r="E136" s="2965" t="s">
        <v>3506</v>
      </c>
      <c r="F136" s="2966" t="s">
        <v>3507</v>
      </c>
      <c r="G136" s="2967">
        <v>55.21</v>
      </c>
      <c r="H136" s="2967">
        <v>9.8000000000000007</v>
      </c>
    </row>
    <row r="137" spans="1:8" s="2968" customFormat="1" ht="18" customHeight="1">
      <c r="A137" s="2961">
        <v>135</v>
      </c>
      <c r="B137" s="2962" t="s">
        <v>1377</v>
      </c>
      <c r="C137" s="2963" t="s">
        <v>3364</v>
      </c>
      <c r="D137" s="2964" t="s">
        <v>3199</v>
      </c>
      <c r="E137" s="2965" t="s">
        <v>3508</v>
      </c>
      <c r="F137" s="2966" t="s">
        <v>3509</v>
      </c>
      <c r="G137" s="2967">
        <v>55.33</v>
      </c>
      <c r="H137" s="2967">
        <v>9.82</v>
      </c>
    </row>
    <row r="138" spans="1:8" s="2968" customFormat="1" ht="18" customHeight="1">
      <c r="A138" s="2961">
        <v>136</v>
      </c>
      <c r="B138" s="2962" t="s">
        <v>1377</v>
      </c>
      <c r="C138" s="2963" t="s">
        <v>3364</v>
      </c>
      <c r="D138" s="2964" t="s">
        <v>3200</v>
      </c>
      <c r="E138" s="2965" t="s">
        <v>3510</v>
      </c>
      <c r="F138" s="2966" t="s">
        <v>3511</v>
      </c>
      <c r="G138" s="2967">
        <v>55.33</v>
      </c>
      <c r="H138" s="2967">
        <v>9.82</v>
      </c>
    </row>
    <row r="139" spans="1:8" s="2968" customFormat="1" ht="18" customHeight="1">
      <c r="A139" s="2961">
        <v>137</v>
      </c>
      <c r="B139" s="2962" t="s">
        <v>1377</v>
      </c>
      <c r="C139" s="2963" t="s">
        <v>3364</v>
      </c>
      <c r="D139" s="2964" t="s">
        <v>3201</v>
      </c>
      <c r="E139" s="2965" t="s">
        <v>3512</v>
      </c>
      <c r="F139" s="2966" t="s">
        <v>3513</v>
      </c>
      <c r="G139" s="2967">
        <v>55.33</v>
      </c>
      <c r="H139" s="2967">
        <v>9.82</v>
      </c>
    </row>
    <row r="140" spans="1:8" s="2968" customFormat="1" ht="18" customHeight="1">
      <c r="A140" s="2961">
        <v>138</v>
      </c>
      <c r="B140" s="2962" t="s">
        <v>1377</v>
      </c>
      <c r="C140" s="2963" t="s">
        <v>3364</v>
      </c>
      <c r="D140" s="2964" t="s">
        <v>3202</v>
      </c>
      <c r="E140" s="2965" t="s">
        <v>3514</v>
      </c>
      <c r="F140" s="2966" t="s">
        <v>3515</v>
      </c>
      <c r="G140" s="2967">
        <v>94.85</v>
      </c>
      <c r="H140" s="2967">
        <v>16.84</v>
      </c>
    </row>
    <row r="141" spans="1:8" s="2968" customFormat="1" ht="18" customHeight="1">
      <c r="A141" s="2961">
        <v>139</v>
      </c>
      <c r="B141" s="2962" t="s">
        <v>1377</v>
      </c>
      <c r="C141" s="2963" t="s">
        <v>3364</v>
      </c>
      <c r="D141" s="2964" t="s">
        <v>3203</v>
      </c>
      <c r="E141" s="2965" t="s">
        <v>3516</v>
      </c>
      <c r="F141" s="2966" t="s">
        <v>3517</v>
      </c>
      <c r="G141" s="2967">
        <v>68.47</v>
      </c>
      <c r="H141" s="2967">
        <v>12.16</v>
      </c>
    </row>
    <row r="142" spans="1:8" s="2968" customFormat="1" ht="18" customHeight="1">
      <c r="A142" s="2961">
        <v>140</v>
      </c>
      <c r="B142" s="2962" t="s">
        <v>1377</v>
      </c>
      <c r="C142" s="2963" t="s">
        <v>3364</v>
      </c>
      <c r="D142" s="2964" t="s">
        <v>3204</v>
      </c>
      <c r="E142" s="2965" t="s">
        <v>3518</v>
      </c>
      <c r="F142" s="2966" t="s">
        <v>3519</v>
      </c>
      <c r="G142" s="2967">
        <v>68.27</v>
      </c>
      <c r="H142" s="2967">
        <v>12.12</v>
      </c>
    </row>
    <row r="143" spans="1:8" s="2968" customFormat="1" ht="18" customHeight="1">
      <c r="A143" s="2961">
        <v>141</v>
      </c>
      <c r="B143" s="2962" t="s">
        <v>1377</v>
      </c>
      <c r="C143" s="2963" t="s">
        <v>3364</v>
      </c>
      <c r="D143" s="2964" t="s">
        <v>3205</v>
      </c>
      <c r="E143" s="2965" t="s">
        <v>3520</v>
      </c>
      <c r="F143" s="2966" t="s">
        <v>3521</v>
      </c>
      <c r="G143" s="2967">
        <v>68.400000000000006</v>
      </c>
      <c r="H143" s="2967">
        <v>12.14</v>
      </c>
    </row>
    <row r="144" spans="1:8" s="2968" customFormat="1" ht="18" customHeight="1">
      <c r="A144" s="2961">
        <v>142</v>
      </c>
      <c r="B144" s="2962" t="s">
        <v>1377</v>
      </c>
      <c r="C144" s="2963" t="s">
        <v>3364</v>
      </c>
      <c r="D144" s="2964" t="s">
        <v>3206</v>
      </c>
      <c r="E144" s="2965" t="s">
        <v>3522</v>
      </c>
      <c r="F144" s="2966" t="s">
        <v>3523</v>
      </c>
      <c r="G144" s="2967">
        <v>68.27</v>
      </c>
      <c r="H144" s="2967">
        <v>12.12</v>
      </c>
    </row>
    <row r="145" spans="1:8" s="2968" customFormat="1" ht="18" customHeight="1">
      <c r="A145" s="2961">
        <v>143</v>
      </c>
      <c r="B145" s="2962" t="s">
        <v>1377</v>
      </c>
      <c r="C145" s="2963" t="s">
        <v>3364</v>
      </c>
      <c r="D145" s="2964" t="s">
        <v>3207</v>
      </c>
      <c r="E145" s="2965" t="s">
        <v>3524</v>
      </c>
      <c r="F145" s="2966" t="s">
        <v>3525</v>
      </c>
      <c r="G145" s="2967">
        <v>51.3</v>
      </c>
      <c r="H145" s="2967">
        <v>9.11</v>
      </c>
    </row>
    <row r="146" spans="1:8" s="2968" customFormat="1" ht="18" customHeight="1">
      <c r="A146" s="2961">
        <v>144</v>
      </c>
      <c r="B146" s="2962" t="s">
        <v>1377</v>
      </c>
      <c r="C146" s="2963" t="s">
        <v>1046</v>
      </c>
      <c r="D146" s="2964" t="s">
        <v>3208</v>
      </c>
      <c r="E146" s="2965" t="s">
        <v>3526</v>
      </c>
      <c r="F146" s="2966" t="s">
        <v>3527</v>
      </c>
      <c r="G146" s="2967">
        <v>79.05</v>
      </c>
      <c r="H146" s="2967">
        <v>14.03</v>
      </c>
    </row>
    <row r="147" spans="1:8" s="2968" customFormat="1" ht="18" customHeight="1">
      <c r="A147" s="2961">
        <v>145</v>
      </c>
      <c r="B147" s="2962" t="s">
        <v>1377</v>
      </c>
      <c r="C147" s="2963" t="s">
        <v>1046</v>
      </c>
      <c r="D147" s="2964" t="s">
        <v>3209</v>
      </c>
      <c r="E147" s="2965" t="s">
        <v>3528</v>
      </c>
      <c r="F147" s="2966" t="s">
        <v>3529</v>
      </c>
      <c r="G147" s="2967">
        <v>70.34</v>
      </c>
      <c r="H147" s="2967">
        <v>12.49</v>
      </c>
    </row>
    <row r="148" spans="1:8" s="2968" customFormat="1" ht="18" customHeight="1">
      <c r="A148" s="2961">
        <v>146</v>
      </c>
      <c r="B148" s="2962" t="s">
        <v>1377</v>
      </c>
      <c r="C148" s="2963" t="s">
        <v>1046</v>
      </c>
      <c r="D148" s="2964" t="s">
        <v>3210</v>
      </c>
      <c r="E148" s="2965" t="s">
        <v>3530</v>
      </c>
      <c r="F148" s="2966" t="s">
        <v>3531</v>
      </c>
      <c r="G148" s="2967">
        <v>56.57</v>
      </c>
      <c r="H148" s="2967">
        <v>10.039999999999999</v>
      </c>
    </row>
    <row r="149" spans="1:8" s="2968" customFormat="1" ht="18" customHeight="1">
      <c r="A149" s="2961">
        <v>147</v>
      </c>
      <c r="B149" s="2962" t="s">
        <v>1377</v>
      </c>
      <c r="C149" s="2963" t="s">
        <v>1046</v>
      </c>
      <c r="D149" s="2964" t="s">
        <v>3211</v>
      </c>
      <c r="E149" s="2965" t="s">
        <v>3532</v>
      </c>
      <c r="F149" s="2966" t="s">
        <v>3533</v>
      </c>
      <c r="G149" s="2967">
        <v>79.09</v>
      </c>
      <c r="H149" s="2967">
        <v>14.04</v>
      </c>
    </row>
    <row r="150" spans="1:8" s="2968" customFormat="1" ht="18" customHeight="1">
      <c r="A150" s="2961">
        <v>148</v>
      </c>
      <c r="B150" s="2962" t="s">
        <v>1377</v>
      </c>
      <c r="C150" s="2963" t="s">
        <v>1046</v>
      </c>
      <c r="D150" s="2964" t="s">
        <v>3212</v>
      </c>
      <c r="E150" s="2965" t="s">
        <v>3534</v>
      </c>
      <c r="F150" s="2966" t="s">
        <v>3535</v>
      </c>
      <c r="G150" s="2967">
        <v>79.12</v>
      </c>
      <c r="H150" s="2967">
        <v>14.05</v>
      </c>
    </row>
    <row r="151" spans="1:8" s="2968" customFormat="1" ht="18" customHeight="1">
      <c r="A151" s="2961">
        <v>149</v>
      </c>
      <c r="B151" s="2962" t="s">
        <v>1377</v>
      </c>
      <c r="C151" s="2963" t="s">
        <v>1046</v>
      </c>
      <c r="D151" s="2964" t="s">
        <v>3213</v>
      </c>
      <c r="E151" s="2965" t="s">
        <v>3536</v>
      </c>
      <c r="F151" s="2966" t="s">
        <v>3537</v>
      </c>
      <c r="G151" s="2967">
        <v>73.77</v>
      </c>
      <c r="H151" s="2967">
        <v>13.1</v>
      </c>
    </row>
    <row r="152" spans="1:8" s="2968" customFormat="1" ht="18" customHeight="1">
      <c r="A152" s="2961">
        <v>150</v>
      </c>
      <c r="B152" s="2962" t="s">
        <v>1377</v>
      </c>
      <c r="C152" s="2963" t="s">
        <v>1046</v>
      </c>
      <c r="D152" s="2964" t="s">
        <v>3214</v>
      </c>
      <c r="E152" s="2965" t="s">
        <v>3538</v>
      </c>
      <c r="F152" s="2966" t="s">
        <v>3539</v>
      </c>
      <c r="G152" s="2967">
        <v>73.77</v>
      </c>
      <c r="H152" s="2967">
        <v>13.1</v>
      </c>
    </row>
    <row r="153" spans="1:8" s="2968" customFormat="1" ht="18" customHeight="1">
      <c r="A153" s="2961">
        <v>151</v>
      </c>
      <c r="B153" s="2962" t="s">
        <v>1377</v>
      </c>
      <c r="C153" s="2963" t="s">
        <v>1046</v>
      </c>
      <c r="D153" s="2964" t="s">
        <v>3215</v>
      </c>
      <c r="E153" s="2965" t="s">
        <v>3540</v>
      </c>
      <c r="F153" s="2966" t="s">
        <v>3541</v>
      </c>
      <c r="G153" s="2967">
        <v>106.11</v>
      </c>
      <c r="H153" s="2967">
        <v>18.84</v>
      </c>
    </row>
    <row r="154" spans="1:8" s="2968" customFormat="1" ht="18" customHeight="1">
      <c r="A154" s="2961">
        <v>152</v>
      </c>
      <c r="B154" s="2962" t="s">
        <v>1377</v>
      </c>
      <c r="C154" s="2963" t="s">
        <v>1046</v>
      </c>
      <c r="D154" s="2964" t="s">
        <v>3216</v>
      </c>
      <c r="E154" s="2965" t="s">
        <v>3542</v>
      </c>
      <c r="F154" s="2966" t="s">
        <v>3543</v>
      </c>
      <c r="G154" s="2967">
        <v>105.93</v>
      </c>
      <c r="H154" s="2967">
        <v>18.809999999999999</v>
      </c>
    </row>
    <row r="155" spans="1:8" s="2968" customFormat="1" ht="18" customHeight="1">
      <c r="A155" s="2961">
        <v>153</v>
      </c>
      <c r="B155" s="2962" t="s">
        <v>1377</v>
      </c>
      <c r="C155" s="2963" t="s">
        <v>1046</v>
      </c>
      <c r="D155" s="2964" t="s">
        <v>3217</v>
      </c>
      <c r="E155" s="2965" t="s">
        <v>3544</v>
      </c>
      <c r="F155" s="2966" t="s">
        <v>3545</v>
      </c>
      <c r="G155" s="2967">
        <v>106.05</v>
      </c>
      <c r="H155" s="2967">
        <v>18.829999999999998</v>
      </c>
    </row>
    <row r="156" spans="1:8" s="2968" customFormat="1" ht="18" customHeight="1">
      <c r="A156" s="2961">
        <v>154</v>
      </c>
      <c r="B156" s="2962" t="s">
        <v>1377</v>
      </c>
      <c r="C156" s="2963" t="s">
        <v>1046</v>
      </c>
      <c r="D156" s="2964" t="s">
        <v>3218</v>
      </c>
      <c r="E156" s="2965" t="s">
        <v>3546</v>
      </c>
      <c r="F156" s="2966" t="s">
        <v>3547</v>
      </c>
      <c r="G156" s="2967">
        <v>16.760000000000002</v>
      </c>
      <c r="H156" s="2967">
        <v>2.98</v>
      </c>
    </row>
    <row r="157" spans="1:8" s="2968" customFormat="1" ht="18" customHeight="1">
      <c r="A157" s="2961">
        <v>155</v>
      </c>
      <c r="B157" s="2962" t="s">
        <v>1377</v>
      </c>
      <c r="C157" s="2963" t="s">
        <v>1046</v>
      </c>
      <c r="D157" s="2964" t="s">
        <v>3219</v>
      </c>
      <c r="E157" s="2965" t="s">
        <v>3548</v>
      </c>
      <c r="F157" s="2966" t="s">
        <v>3549</v>
      </c>
      <c r="G157" s="2967">
        <v>66.56</v>
      </c>
      <c r="H157" s="2967">
        <v>11.82</v>
      </c>
    </row>
    <row r="158" spans="1:8" s="2968" customFormat="1" ht="18" customHeight="1">
      <c r="A158" s="2961">
        <v>156</v>
      </c>
      <c r="B158" s="2962" t="s">
        <v>1377</v>
      </c>
      <c r="C158" s="2963" t="s">
        <v>1046</v>
      </c>
      <c r="D158" s="2964" t="s">
        <v>3220</v>
      </c>
      <c r="E158" s="2965" t="s">
        <v>3550</v>
      </c>
      <c r="F158" s="2966" t="s">
        <v>3551</v>
      </c>
      <c r="G158" s="2967">
        <v>122.93</v>
      </c>
      <c r="H158" s="2967">
        <v>21.83</v>
      </c>
    </row>
    <row r="159" spans="1:8" s="2968" customFormat="1" ht="18" customHeight="1">
      <c r="A159" s="2961">
        <v>157</v>
      </c>
      <c r="B159" s="2962" t="s">
        <v>1377</v>
      </c>
      <c r="C159" s="2963" t="s">
        <v>1046</v>
      </c>
      <c r="D159" s="2964" t="s">
        <v>3221</v>
      </c>
      <c r="E159" s="2965" t="s">
        <v>3552</v>
      </c>
      <c r="F159" s="2966" t="s">
        <v>3553</v>
      </c>
      <c r="G159" s="2967">
        <v>63.17</v>
      </c>
      <c r="H159" s="2967">
        <v>11.22</v>
      </c>
    </row>
    <row r="160" spans="1:8" s="2968" customFormat="1" ht="18" customHeight="1">
      <c r="A160" s="2961">
        <v>158</v>
      </c>
      <c r="B160" s="2962" t="s">
        <v>1377</v>
      </c>
      <c r="C160" s="2963" t="s">
        <v>1046</v>
      </c>
      <c r="D160" s="2964" t="s">
        <v>3222</v>
      </c>
      <c r="E160" s="2965" t="s">
        <v>3554</v>
      </c>
      <c r="F160" s="2966" t="s">
        <v>3555</v>
      </c>
      <c r="G160" s="2967">
        <v>63.17</v>
      </c>
      <c r="H160" s="2967">
        <v>11.22</v>
      </c>
    </row>
    <row r="161" spans="1:8" s="2968" customFormat="1" ht="18" customHeight="1">
      <c r="A161" s="2961">
        <v>159</v>
      </c>
      <c r="B161" s="2962" t="s">
        <v>1377</v>
      </c>
      <c r="C161" s="2963" t="s">
        <v>1046</v>
      </c>
      <c r="D161" s="2964" t="s">
        <v>3223</v>
      </c>
      <c r="E161" s="2965" t="s">
        <v>3556</v>
      </c>
      <c r="F161" s="2966" t="s">
        <v>3557</v>
      </c>
      <c r="G161" s="2967">
        <v>63.17</v>
      </c>
      <c r="H161" s="2967">
        <v>11.22</v>
      </c>
    </row>
    <row r="162" spans="1:8" s="2968" customFormat="1" ht="18" customHeight="1">
      <c r="A162" s="2961">
        <v>160</v>
      </c>
      <c r="B162" s="2962" t="s">
        <v>1377</v>
      </c>
      <c r="C162" s="2963" t="s">
        <v>1046</v>
      </c>
      <c r="D162" s="2964" t="s">
        <v>3224</v>
      </c>
      <c r="E162" s="2965" t="s">
        <v>3558</v>
      </c>
      <c r="F162" s="2966" t="s">
        <v>3559</v>
      </c>
      <c r="G162" s="2967">
        <v>63.17</v>
      </c>
      <c r="H162" s="2967">
        <v>11.22</v>
      </c>
    </row>
    <row r="163" spans="1:8" s="2968" customFormat="1" ht="18" customHeight="1">
      <c r="A163" s="2961">
        <v>161</v>
      </c>
      <c r="B163" s="2962" t="s">
        <v>1377</v>
      </c>
      <c r="C163" s="2963" t="s">
        <v>1046</v>
      </c>
      <c r="D163" s="2964" t="s">
        <v>3225</v>
      </c>
      <c r="E163" s="2965" t="s">
        <v>3560</v>
      </c>
      <c r="F163" s="2966" t="s">
        <v>3561</v>
      </c>
      <c r="G163" s="2967">
        <v>63.17</v>
      </c>
      <c r="H163" s="2967">
        <v>11.22</v>
      </c>
    </row>
    <row r="164" spans="1:8" s="2968" customFormat="1" ht="18" customHeight="1">
      <c r="A164" s="2961">
        <v>162</v>
      </c>
      <c r="B164" s="2962" t="s">
        <v>1377</v>
      </c>
      <c r="C164" s="2963" t="s">
        <v>1046</v>
      </c>
      <c r="D164" s="2964" t="s">
        <v>3226</v>
      </c>
      <c r="E164" s="2965" t="s">
        <v>3562</v>
      </c>
      <c r="F164" s="2966" t="s">
        <v>3563</v>
      </c>
      <c r="G164" s="2967">
        <v>63.17</v>
      </c>
      <c r="H164" s="2967">
        <v>11.22</v>
      </c>
    </row>
    <row r="165" spans="1:8" s="2968" customFormat="1" ht="18" customHeight="1">
      <c r="A165" s="2961">
        <v>163</v>
      </c>
      <c r="B165" s="2962" t="s">
        <v>1377</v>
      </c>
      <c r="C165" s="2963" t="s">
        <v>1046</v>
      </c>
      <c r="D165" s="2964" t="s">
        <v>3227</v>
      </c>
      <c r="E165" s="2965" t="s">
        <v>3564</v>
      </c>
      <c r="F165" s="2966" t="s">
        <v>3565</v>
      </c>
      <c r="G165" s="2967">
        <v>63.17</v>
      </c>
      <c r="H165" s="2967">
        <v>11.22</v>
      </c>
    </row>
    <row r="166" spans="1:8" s="2968" customFormat="1" ht="18" customHeight="1">
      <c r="A166" s="2961">
        <v>164</v>
      </c>
      <c r="B166" s="2962" t="s">
        <v>1377</v>
      </c>
      <c r="C166" s="2963" t="s">
        <v>1046</v>
      </c>
      <c r="D166" s="2964" t="s">
        <v>3228</v>
      </c>
      <c r="E166" s="2965" t="s">
        <v>3822</v>
      </c>
      <c r="F166" s="2966" t="s">
        <v>3566</v>
      </c>
      <c r="G166" s="2967">
        <v>59.6</v>
      </c>
      <c r="H166" s="2967">
        <v>10.58</v>
      </c>
    </row>
    <row r="167" spans="1:8" s="2968" customFormat="1" ht="18" customHeight="1">
      <c r="A167" s="2961">
        <v>165</v>
      </c>
      <c r="B167" s="2962" t="s">
        <v>1377</v>
      </c>
      <c r="C167" s="2963" t="s">
        <v>1046</v>
      </c>
      <c r="D167" s="2964" t="s">
        <v>3229</v>
      </c>
      <c r="E167" s="2965" t="s">
        <v>3823</v>
      </c>
      <c r="F167" s="2966" t="s">
        <v>3567</v>
      </c>
      <c r="G167" s="2967">
        <v>54.57</v>
      </c>
      <c r="H167" s="2967">
        <v>9.69</v>
      </c>
    </row>
    <row r="168" spans="1:8" s="2968" customFormat="1" ht="18" customHeight="1">
      <c r="A168" s="2961">
        <v>166</v>
      </c>
      <c r="B168" s="2962" t="s">
        <v>1377</v>
      </c>
      <c r="C168" s="2963" t="s">
        <v>1046</v>
      </c>
      <c r="D168" s="2964" t="s">
        <v>3230</v>
      </c>
      <c r="E168" s="2965" t="s">
        <v>3568</v>
      </c>
      <c r="F168" s="2966" t="s">
        <v>3569</v>
      </c>
      <c r="G168" s="2967">
        <v>58.6</v>
      </c>
      <c r="H168" s="2967">
        <v>10.4</v>
      </c>
    </row>
    <row r="169" spans="1:8" s="2968" customFormat="1" ht="18" customHeight="1">
      <c r="A169" s="2961">
        <v>167</v>
      </c>
      <c r="B169" s="2962" t="s">
        <v>1377</v>
      </c>
      <c r="C169" s="2963" t="s">
        <v>1046</v>
      </c>
      <c r="D169" s="2964" t="s">
        <v>3231</v>
      </c>
      <c r="E169" s="2965" t="s">
        <v>3570</v>
      </c>
      <c r="F169" s="2966" t="s">
        <v>3571</v>
      </c>
      <c r="G169" s="2967">
        <v>50.67</v>
      </c>
      <c r="H169" s="2967">
        <v>9</v>
      </c>
    </row>
    <row r="170" spans="1:8" s="2968" customFormat="1" ht="18" customHeight="1">
      <c r="A170" s="2961">
        <v>168</v>
      </c>
      <c r="B170" s="2962" t="s">
        <v>1377</v>
      </c>
      <c r="C170" s="2963" t="s">
        <v>1046</v>
      </c>
      <c r="D170" s="2964" t="s">
        <v>3232</v>
      </c>
      <c r="E170" s="2965" t="s">
        <v>3572</v>
      </c>
      <c r="F170" s="2966" t="s">
        <v>3573</v>
      </c>
      <c r="G170" s="2967">
        <v>53.91</v>
      </c>
      <c r="H170" s="2967">
        <v>9.57</v>
      </c>
    </row>
    <row r="171" spans="1:8" s="2968" customFormat="1" ht="18" customHeight="1">
      <c r="A171" s="2961">
        <v>169</v>
      </c>
      <c r="B171" s="2962" t="s">
        <v>1377</v>
      </c>
      <c r="C171" s="2963" t="s">
        <v>1046</v>
      </c>
      <c r="D171" s="2964" t="s">
        <v>3233</v>
      </c>
      <c r="E171" s="2965" t="s">
        <v>3574</v>
      </c>
      <c r="F171" s="2966" t="s">
        <v>3575</v>
      </c>
      <c r="G171" s="2967">
        <v>54.45</v>
      </c>
      <c r="H171" s="2967">
        <v>9.67</v>
      </c>
    </row>
    <row r="172" spans="1:8" s="2968" customFormat="1" ht="18" customHeight="1">
      <c r="A172" s="2961">
        <v>170</v>
      </c>
      <c r="B172" s="2962" t="s">
        <v>1377</v>
      </c>
      <c r="C172" s="2963" t="s">
        <v>1040</v>
      </c>
      <c r="D172" s="2964" t="s">
        <v>3234</v>
      </c>
      <c r="E172" s="2965" t="s">
        <v>3576</v>
      </c>
      <c r="F172" s="2966" t="s">
        <v>3577</v>
      </c>
      <c r="G172" s="2967">
        <v>119.54</v>
      </c>
      <c r="H172" s="2967">
        <v>21.22</v>
      </c>
    </row>
    <row r="173" spans="1:8" s="2968" customFormat="1" ht="18" customHeight="1">
      <c r="A173" s="2961">
        <v>171</v>
      </c>
      <c r="B173" s="2962" t="s">
        <v>1377</v>
      </c>
      <c r="C173" s="2963" t="s">
        <v>1040</v>
      </c>
      <c r="D173" s="2964" t="s">
        <v>3235</v>
      </c>
      <c r="E173" s="2965" t="s">
        <v>3578</v>
      </c>
      <c r="F173" s="2966" t="s">
        <v>3579</v>
      </c>
      <c r="G173" s="2967">
        <v>103.92</v>
      </c>
      <c r="H173" s="2967">
        <v>18.45</v>
      </c>
    </row>
    <row r="174" spans="1:8" s="2968" customFormat="1" ht="18" customHeight="1">
      <c r="A174" s="2961">
        <v>172</v>
      </c>
      <c r="B174" s="2962" t="s">
        <v>1377</v>
      </c>
      <c r="C174" s="2963" t="s">
        <v>1040</v>
      </c>
      <c r="D174" s="2964" t="s">
        <v>3236</v>
      </c>
      <c r="E174" s="2965" t="s">
        <v>3580</v>
      </c>
      <c r="F174" s="2966" t="s">
        <v>3581</v>
      </c>
      <c r="G174" s="2967">
        <v>96.76</v>
      </c>
      <c r="H174" s="2967">
        <v>17.18</v>
      </c>
    </row>
    <row r="175" spans="1:8" s="2968" customFormat="1" ht="18" customHeight="1">
      <c r="A175" s="2961">
        <v>173</v>
      </c>
      <c r="B175" s="2962" t="s">
        <v>1377</v>
      </c>
      <c r="C175" s="2963" t="s">
        <v>1040</v>
      </c>
      <c r="D175" s="2964" t="s">
        <v>3237</v>
      </c>
      <c r="E175" s="2965" t="s">
        <v>3582</v>
      </c>
      <c r="F175" s="2966" t="s">
        <v>3583</v>
      </c>
      <c r="G175" s="2967">
        <v>129.21</v>
      </c>
      <c r="H175" s="2967">
        <v>22.94</v>
      </c>
    </row>
    <row r="176" spans="1:8" s="2968" customFormat="1" ht="18" customHeight="1">
      <c r="A176" s="2961">
        <v>174</v>
      </c>
      <c r="B176" s="2962" t="s">
        <v>1377</v>
      </c>
      <c r="C176" s="2963" t="s">
        <v>1040</v>
      </c>
      <c r="D176" s="2964" t="s">
        <v>3238</v>
      </c>
      <c r="E176" s="2965" t="s">
        <v>3584</v>
      </c>
      <c r="F176" s="2966" t="s">
        <v>3585</v>
      </c>
      <c r="G176" s="2967">
        <v>61.12</v>
      </c>
      <c r="H176" s="2967">
        <v>10.85</v>
      </c>
    </row>
    <row r="177" spans="1:8" s="2968" customFormat="1" ht="18" customHeight="1">
      <c r="A177" s="2961">
        <v>175</v>
      </c>
      <c r="B177" s="2962" t="s">
        <v>1377</v>
      </c>
      <c r="C177" s="2963" t="s">
        <v>1040</v>
      </c>
      <c r="D177" s="2964" t="s">
        <v>3239</v>
      </c>
      <c r="E177" s="2965" t="s">
        <v>3586</v>
      </c>
      <c r="F177" s="2966" t="s">
        <v>3587</v>
      </c>
      <c r="G177" s="2967">
        <v>54.82</v>
      </c>
      <c r="H177" s="2967">
        <v>9.73</v>
      </c>
    </row>
    <row r="178" spans="1:8" s="2968" customFormat="1" ht="18" customHeight="1">
      <c r="A178" s="2961">
        <v>176</v>
      </c>
      <c r="B178" s="2962" t="s">
        <v>1377</v>
      </c>
      <c r="C178" s="2963" t="s">
        <v>1040</v>
      </c>
      <c r="D178" s="2964" t="s">
        <v>3240</v>
      </c>
      <c r="E178" s="2965" t="s">
        <v>3588</v>
      </c>
      <c r="F178" s="2966" t="s">
        <v>3589</v>
      </c>
      <c r="G178" s="2967">
        <v>48.52</v>
      </c>
      <c r="H178" s="2967">
        <v>8.61</v>
      </c>
    </row>
    <row r="179" spans="1:8" s="2968" customFormat="1" ht="18" customHeight="1">
      <c r="A179" s="2961">
        <v>177</v>
      </c>
      <c r="B179" s="2962" t="s">
        <v>1377</v>
      </c>
      <c r="C179" s="2963" t="s">
        <v>1040</v>
      </c>
      <c r="D179" s="2964" t="s">
        <v>3241</v>
      </c>
      <c r="E179" s="2965" t="s">
        <v>3590</v>
      </c>
      <c r="F179" s="2966" t="s">
        <v>3591</v>
      </c>
      <c r="G179" s="2967">
        <v>95.67</v>
      </c>
      <c r="H179" s="2967">
        <v>16.989999999999998</v>
      </c>
    </row>
    <row r="180" spans="1:8" s="2968" customFormat="1" ht="18" customHeight="1">
      <c r="A180" s="2961">
        <v>178</v>
      </c>
      <c r="B180" s="2962" t="s">
        <v>1377</v>
      </c>
      <c r="C180" s="2963" t="s">
        <v>1040</v>
      </c>
      <c r="D180" s="2964" t="s">
        <v>3242</v>
      </c>
      <c r="E180" s="2965" t="s">
        <v>3592</v>
      </c>
      <c r="F180" s="2966" t="s">
        <v>3593</v>
      </c>
      <c r="G180" s="2967">
        <v>95.67</v>
      </c>
      <c r="H180" s="2967">
        <v>16.989999999999998</v>
      </c>
    </row>
    <row r="181" spans="1:8" s="2968" customFormat="1" ht="18" customHeight="1">
      <c r="A181" s="2961">
        <v>179</v>
      </c>
      <c r="B181" s="2962" t="s">
        <v>1377</v>
      </c>
      <c r="C181" s="2963" t="s">
        <v>1040</v>
      </c>
      <c r="D181" s="2964" t="s">
        <v>3243</v>
      </c>
      <c r="E181" s="2965" t="s">
        <v>3594</v>
      </c>
      <c r="F181" s="2966" t="s">
        <v>3595</v>
      </c>
      <c r="G181" s="2967">
        <v>94.04</v>
      </c>
      <c r="H181" s="2967">
        <v>16.7</v>
      </c>
    </row>
    <row r="182" spans="1:8" s="2968" customFormat="1" ht="18" customHeight="1">
      <c r="A182" s="2961">
        <v>180</v>
      </c>
      <c r="B182" s="2962" t="s">
        <v>1377</v>
      </c>
      <c r="C182" s="2963" t="s">
        <v>1040</v>
      </c>
      <c r="D182" s="2964" t="s">
        <v>3244</v>
      </c>
      <c r="E182" s="2965" t="s">
        <v>3596</v>
      </c>
      <c r="F182" s="2966" t="s">
        <v>3597</v>
      </c>
      <c r="G182" s="2967">
        <v>95.67</v>
      </c>
      <c r="H182" s="2967">
        <v>16.989999999999998</v>
      </c>
    </row>
    <row r="183" spans="1:8" s="2968" customFormat="1" ht="18" customHeight="1">
      <c r="A183" s="2961">
        <v>181</v>
      </c>
      <c r="B183" s="2962" t="s">
        <v>1377</v>
      </c>
      <c r="C183" s="2963" t="s">
        <v>1040</v>
      </c>
      <c r="D183" s="2964" t="s">
        <v>3245</v>
      </c>
      <c r="E183" s="2965" t="s">
        <v>3598</v>
      </c>
      <c r="F183" s="2966" t="s">
        <v>3599</v>
      </c>
      <c r="G183" s="2967">
        <v>95.67</v>
      </c>
      <c r="H183" s="2967">
        <v>16.989999999999998</v>
      </c>
    </row>
    <row r="184" spans="1:8" s="2968" customFormat="1" ht="18" customHeight="1">
      <c r="A184" s="2961">
        <v>182</v>
      </c>
      <c r="B184" s="2962" t="s">
        <v>1377</v>
      </c>
      <c r="C184" s="2963" t="s">
        <v>1040</v>
      </c>
      <c r="D184" s="2964" t="s">
        <v>3246</v>
      </c>
      <c r="E184" s="2965" t="s">
        <v>3600</v>
      </c>
      <c r="F184" s="2966" t="s">
        <v>3601</v>
      </c>
      <c r="G184" s="2967">
        <v>95.56</v>
      </c>
      <c r="H184" s="2967">
        <v>16.97</v>
      </c>
    </row>
    <row r="185" spans="1:8" s="2968" customFormat="1" ht="18" customHeight="1">
      <c r="A185" s="2961">
        <v>183</v>
      </c>
      <c r="B185" s="2962" t="s">
        <v>1377</v>
      </c>
      <c r="C185" s="2963" t="s">
        <v>1040</v>
      </c>
      <c r="D185" s="2964" t="s">
        <v>3247</v>
      </c>
      <c r="E185" s="2965" t="s">
        <v>3602</v>
      </c>
      <c r="F185" s="2966" t="s">
        <v>3603</v>
      </c>
      <c r="G185" s="2967">
        <v>94.18</v>
      </c>
      <c r="H185" s="2967">
        <v>16.72</v>
      </c>
    </row>
    <row r="186" spans="1:8" s="2968" customFormat="1" ht="18" customHeight="1">
      <c r="A186" s="2961">
        <v>184</v>
      </c>
      <c r="B186" s="2962" t="s">
        <v>1377</v>
      </c>
      <c r="C186" s="2963" t="s">
        <v>1040</v>
      </c>
      <c r="D186" s="2964" t="s">
        <v>3248</v>
      </c>
      <c r="E186" s="2965" t="s">
        <v>3604</v>
      </c>
      <c r="F186" s="2966" t="s">
        <v>3605</v>
      </c>
      <c r="G186" s="2967">
        <v>63.78</v>
      </c>
      <c r="H186" s="2967">
        <v>11.32</v>
      </c>
    </row>
    <row r="187" spans="1:8" s="2968" customFormat="1" ht="18" customHeight="1">
      <c r="A187" s="2961">
        <v>185</v>
      </c>
      <c r="B187" s="2962" t="s">
        <v>1377</v>
      </c>
      <c r="C187" s="2963" t="s">
        <v>1040</v>
      </c>
      <c r="D187" s="2964" t="s">
        <v>3249</v>
      </c>
      <c r="E187" s="2965" t="s">
        <v>3606</v>
      </c>
      <c r="F187" s="2966" t="s">
        <v>3607</v>
      </c>
      <c r="G187" s="2967">
        <v>63.78</v>
      </c>
      <c r="H187" s="2967">
        <v>11.32</v>
      </c>
    </row>
    <row r="188" spans="1:8" s="2968" customFormat="1" ht="18" customHeight="1">
      <c r="A188" s="2961">
        <v>186</v>
      </c>
      <c r="B188" s="2962" t="s">
        <v>1377</v>
      </c>
      <c r="C188" s="2963" t="s">
        <v>1040</v>
      </c>
      <c r="D188" s="2964" t="s">
        <v>3250</v>
      </c>
      <c r="E188" s="2965" t="s">
        <v>3608</v>
      </c>
      <c r="F188" s="2966" t="s">
        <v>3609</v>
      </c>
      <c r="G188" s="2967">
        <v>61.3</v>
      </c>
      <c r="H188" s="2967">
        <v>10.88</v>
      </c>
    </row>
    <row r="189" spans="1:8" s="2968" customFormat="1" ht="18" customHeight="1">
      <c r="A189" s="2961">
        <v>187</v>
      </c>
      <c r="B189" s="2962" t="s">
        <v>1377</v>
      </c>
      <c r="C189" s="2963" t="s">
        <v>1040</v>
      </c>
      <c r="D189" s="2964" t="s">
        <v>3251</v>
      </c>
      <c r="E189" s="2965" t="s">
        <v>3610</v>
      </c>
      <c r="F189" s="2966" t="s">
        <v>3611</v>
      </c>
      <c r="G189" s="2967">
        <v>115.83</v>
      </c>
      <c r="H189" s="2967">
        <v>20.56</v>
      </c>
    </row>
    <row r="190" spans="1:8" s="2968" customFormat="1" ht="18" customHeight="1">
      <c r="A190" s="2961">
        <v>188</v>
      </c>
      <c r="B190" s="2962" t="s">
        <v>1377</v>
      </c>
      <c r="C190" s="2963" t="s">
        <v>1040</v>
      </c>
      <c r="D190" s="2964" t="s">
        <v>3252</v>
      </c>
      <c r="E190" s="2965" t="s">
        <v>3612</v>
      </c>
      <c r="F190" s="2966" t="s">
        <v>3613</v>
      </c>
      <c r="G190" s="2967">
        <v>78.86</v>
      </c>
      <c r="H190" s="2967">
        <v>14</v>
      </c>
    </row>
    <row r="191" spans="1:8" s="2968" customFormat="1" ht="18" customHeight="1">
      <c r="A191" s="2961">
        <v>189</v>
      </c>
      <c r="B191" s="2962" t="s">
        <v>1377</v>
      </c>
      <c r="C191" s="2963" t="s">
        <v>1040</v>
      </c>
      <c r="D191" s="2964" t="s">
        <v>3253</v>
      </c>
      <c r="E191" s="2965" t="s">
        <v>3614</v>
      </c>
      <c r="F191" s="2966" t="s">
        <v>3615</v>
      </c>
      <c r="G191" s="2967">
        <v>60.95</v>
      </c>
      <c r="H191" s="2967">
        <v>10.82</v>
      </c>
    </row>
    <row r="192" spans="1:8" s="2968" customFormat="1" ht="18" customHeight="1">
      <c r="A192" s="2961">
        <v>190</v>
      </c>
      <c r="B192" s="2962" t="s">
        <v>1377</v>
      </c>
      <c r="C192" s="2963" t="s">
        <v>1040</v>
      </c>
      <c r="D192" s="2964" t="s">
        <v>3254</v>
      </c>
      <c r="E192" s="2965" t="s">
        <v>3616</v>
      </c>
      <c r="F192" s="2966" t="s">
        <v>3617</v>
      </c>
      <c r="G192" s="2967">
        <v>169.17</v>
      </c>
      <c r="H192" s="2967">
        <v>30.03</v>
      </c>
    </row>
    <row r="193" spans="1:8" s="2968" customFormat="1" ht="18" customHeight="1">
      <c r="A193" s="2961">
        <v>191</v>
      </c>
      <c r="B193" s="2962" t="s">
        <v>1377</v>
      </c>
      <c r="C193" s="2963" t="s">
        <v>1040</v>
      </c>
      <c r="D193" s="2964" t="s">
        <v>3255</v>
      </c>
      <c r="E193" s="2965" t="s">
        <v>3618</v>
      </c>
      <c r="F193" s="2966" t="s">
        <v>3619</v>
      </c>
      <c r="G193" s="2967">
        <v>41.98</v>
      </c>
      <c r="H193" s="2967">
        <v>7.45</v>
      </c>
    </row>
    <row r="194" spans="1:8" s="2968" customFormat="1" ht="18" customHeight="1">
      <c r="A194" s="2961">
        <v>192</v>
      </c>
      <c r="B194" s="2962" t="s">
        <v>1377</v>
      </c>
      <c r="C194" s="2963" t="s">
        <v>1040</v>
      </c>
      <c r="D194" s="2964" t="s">
        <v>3256</v>
      </c>
      <c r="E194" s="2965" t="s">
        <v>3620</v>
      </c>
      <c r="F194" s="2966" t="s">
        <v>3621</v>
      </c>
      <c r="G194" s="2967">
        <v>109.8</v>
      </c>
      <c r="H194" s="2967">
        <v>19.489999999999998</v>
      </c>
    </row>
    <row r="195" spans="1:8" s="2968" customFormat="1" ht="18" customHeight="1">
      <c r="A195" s="2961">
        <v>193</v>
      </c>
      <c r="B195" s="2962" t="s">
        <v>1377</v>
      </c>
      <c r="C195" s="2963" t="s">
        <v>1040</v>
      </c>
      <c r="D195" s="2964" t="s">
        <v>3257</v>
      </c>
      <c r="E195" s="2965" t="s">
        <v>3622</v>
      </c>
      <c r="F195" s="2966" t="s">
        <v>3623</v>
      </c>
      <c r="G195" s="2967">
        <v>80.08</v>
      </c>
      <c r="H195" s="2967">
        <v>14.22</v>
      </c>
    </row>
    <row r="196" spans="1:8" s="2968" customFormat="1" ht="18" customHeight="1">
      <c r="A196" s="2961">
        <v>194</v>
      </c>
      <c r="B196" s="2962" t="s">
        <v>1377</v>
      </c>
      <c r="C196" s="2963" t="s">
        <v>1040</v>
      </c>
      <c r="D196" s="2964" t="s">
        <v>3258</v>
      </c>
      <c r="E196" s="2965" t="s">
        <v>3624</v>
      </c>
      <c r="F196" s="2966" t="s">
        <v>3625</v>
      </c>
      <c r="G196" s="2967">
        <v>80.48</v>
      </c>
      <c r="H196" s="2967">
        <v>14.29</v>
      </c>
    </row>
    <row r="197" spans="1:8" s="2968" customFormat="1" ht="18" customHeight="1">
      <c r="A197" s="2961">
        <v>195</v>
      </c>
      <c r="B197" s="2962" t="s">
        <v>1377</v>
      </c>
      <c r="C197" s="2963" t="s">
        <v>1040</v>
      </c>
      <c r="D197" s="2964" t="s">
        <v>3259</v>
      </c>
      <c r="E197" s="2965" t="s">
        <v>3626</v>
      </c>
      <c r="F197" s="2966" t="s">
        <v>3627</v>
      </c>
      <c r="G197" s="2967">
        <v>80.37</v>
      </c>
      <c r="H197" s="2967">
        <v>14.27</v>
      </c>
    </row>
    <row r="198" spans="1:8" s="2968" customFormat="1" ht="18" customHeight="1">
      <c r="A198" s="2961">
        <v>196</v>
      </c>
      <c r="B198" s="2962" t="s">
        <v>1377</v>
      </c>
      <c r="C198" s="2963" t="s">
        <v>1040</v>
      </c>
      <c r="D198" s="2964" t="s">
        <v>3260</v>
      </c>
      <c r="E198" s="2965" t="s">
        <v>3628</v>
      </c>
      <c r="F198" s="2966" t="s">
        <v>3629</v>
      </c>
      <c r="G198" s="2967">
        <v>80.48</v>
      </c>
      <c r="H198" s="2967">
        <v>14.29</v>
      </c>
    </row>
    <row r="199" spans="1:8" s="2968" customFormat="1" ht="18" customHeight="1">
      <c r="A199" s="2961">
        <v>197</v>
      </c>
      <c r="B199" s="2962" t="s">
        <v>1377</v>
      </c>
      <c r="C199" s="2963" t="s">
        <v>1040</v>
      </c>
      <c r="D199" s="2964" t="s">
        <v>3261</v>
      </c>
      <c r="E199" s="2965" t="s">
        <v>3630</v>
      </c>
      <c r="F199" s="2966" t="s">
        <v>3631</v>
      </c>
      <c r="G199" s="2967">
        <v>80.48</v>
      </c>
      <c r="H199" s="2967">
        <v>14.29</v>
      </c>
    </row>
    <row r="200" spans="1:8" s="2968" customFormat="1" ht="18" customHeight="1">
      <c r="A200" s="2961">
        <v>198</v>
      </c>
      <c r="B200" s="2962" t="s">
        <v>1377</v>
      </c>
      <c r="C200" s="2963" t="s">
        <v>1040</v>
      </c>
      <c r="D200" s="2964" t="s">
        <v>3262</v>
      </c>
      <c r="E200" s="2965" t="s">
        <v>3632</v>
      </c>
      <c r="F200" s="2966" t="s">
        <v>3633</v>
      </c>
      <c r="G200" s="2967">
        <v>80.37</v>
      </c>
      <c r="H200" s="2967">
        <v>14.27</v>
      </c>
    </row>
    <row r="201" spans="1:8" s="2968" customFormat="1" ht="18" customHeight="1">
      <c r="A201" s="2961">
        <v>199</v>
      </c>
      <c r="B201" s="2962" t="s">
        <v>1377</v>
      </c>
      <c r="C201" s="2963" t="s">
        <v>1040</v>
      </c>
      <c r="D201" s="2964" t="s">
        <v>3263</v>
      </c>
      <c r="E201" s="2965" t="s">
        <v>3634</v>
      </c>
      <c r="F201" s="2966" t="s">
        <v>3635</v>
      </c>
      <c r="G201" s="2967">
        <v>80.48</v>
      </c>
      <c r="H201" s="2967">
        <v>14.29</v>
      </c>
    </row>
    <row r="202" spans="1:8" s="2968" customFormat="1" ht="18" customHeight="1">
      <c r="A202" s="2961">
        <v>200</v>
      </c>
      <c r="B202" s="2962" t="s">
        <v>1377</v>
      </c>
      <c r="C202" s="2963" t="s">
        <v>1040</v>
      </c>
      <c r="D202" s="2964" t="s">
        <v>3264</v>
      </c>
      <c r="E202" s="2965" t="s">
        <v>3636</v>
      </c>
      <c r="F202" s="2966" t="s">
        <v>3637</v>
      </c>
      <c r="G202" s="2967">
        <v>80.48</v>
      </c>
      <c r="H202" s="2967">
        <v>14.29</v>
      </c>
    </row>
    <row r="203" spans="1:8" s="2968" customFormat="1" ht="18" customHeight="1">
      <c r="A203" s="2961">
        <v>201</v>
      </c>
      <c r="B203" s="2962" t="s">
        <v>1377</v>
      </c>
      <c r="C203" s="2963" t="s">
        <v>1040</v>
      </c>
      <c r="D203" s="2964" t="s">
        <v>3265</v>
      </c>
      <c r="E203" s="2965" t="s">
        <v>3638</v>
      </c>
      <c r="F203" s="2966" t="s">
        <v>3639</v>
      </c>
      <c r="G203" s="2967">
        <v>80.61</v>
      </c>
      <c r="H203" s="2967">
        <v>14.31</v>
      </c>
    </row>
    <row r="204" spans="1:8" s="2968" customFormat="1" ht="18" customHeight="1">
      <c r="A204" s="2961">
        <v>202</v>
      </c>
      <c r="B204" s="2962" t="s">
        <v>1377</v>
      </c>
      <c r="C204" s="2963" t="s">
        <v>1040</v>
      </c>
      <c r="D204" s="2964" t="s">
        <v>3266</v>
      </c>
      <c r="E204" s="2965" t="s">
        <v>3640</v>
      </c>
      <c r="F204" s="2966" t="s">
        <v>3641</v>
      </c>
      <c r="G204" s="2967">
        <v>64.459999999999994</v>
      </c>
      <c r="H204" s="2967">
        <v>11.44</v>
      </c>
    </row>
    <row r="205" spans="1:8" s="2968" customFormat="1" ht="18" customHeight="1">
      <c r="A205" s="2961">
        <v>203</v>
      </c>
      <c r="B205" s="2962" t="s">
        <v>1377</v>
      </c>
      <c r="C205" s="2963" t="s">
        <v>1040</v>
      </c>
      <c r="D205" s="2964" t="s">
        <v>3267</v>
      </c>
      <c r="E205" s="2965" t="s">
        <v>3642</v>
      </c>
      <c r="F205" s="2966" t="s">
        <v>3643</v>
      </c>
      <c r="G205" s="2967">
        <v>41.79</v>
      </c>
      <c r="H205" s="2967">
        <v>7.42</v>
      </c>
    </row>
    <row r="206" spans="1:8" s="2968" customFormat="1" ht="18" customHeight="1">
      <c r="A206" s="2961">
        <v>204</v>
      </c>
      <c r="B206" s="2962" t="s">
        <v>1377</v>
      </c>
      <c r="C206" s="2963" t="s">
        <v>1040</v>
      </c>
      <c r="D206" s="2964" t="s">
        <v>3268</v>
      </c>
      <c r="E206" s="2965" t="s">
        <v>3644</v>
      </c>
      <c r="F206" s="2966" t="s">
        <v>3645</v>
      </c>
      <c r="G206" s="2967">
        <v>30.28</v>
      </c>
      <c r="H206" s="2967">
        <v>5.38</v>
      </c>
    </row>
    <row r="207" spans="1:8" s="2968" customFormat="1" ht="18" customHeight="1">
      <c r="A207" s="2961">
        <v>205</v>
      </c>
      <c r="B207" s="2962" t="s">
        <v>1377</v>
      </c>
      <c r="C207" s="2963" t="s">
        <v>1041</v>
      </c>
      <c r="D207" s="2964" t="s">
        <v>3269</v>
      </c>
      <c r="E207" s="2965" t="s">
        <v>3646</v>
      </c>
      <c r="F207" s="2966" t="s">
        <v>3647</v>
      </c>
      <c r="G207" s="2967">
        <v>128.06</v>
      </c>
      <c r="H207" s="2967">
        <v>22.74</v>
      </c>
    </row>
    <row r="208" spans="1:8" s="2968" customFormat="1" ht="18" customHeight="1">
      <c r="A208" s="2961">
        <v>206</v>
      </c>
      <c r="B208" s="2962" t="s">
        <v>1377</v>
      </c>
      <c r="C208" s="2963" t="s">
        <v>1041</v>
      </c>
      <c r="D208" s="2964" t="s">
        <v>3270</v>
      </c>
      <c r="E208" s="2965" t="s">
        <v>3648</v>
      </c>
      <c r="F208" s="2966" t="s">
        <v>3649</v>
      </c>
      <c r="G208" s="2967">
        <v>82.58</v>
      </c>
      <c r="H208" s="2967">
        <v>14.66</v>
      </c>
    </row>
    <row r="209" spans="1:8" s="2968" customFormat="1" ht="18" customHeight="1">
      <c r="A209" s="2961">
        <v>207</v>
      </c>
      <c r="B209" s="2962" t="s">
        <v>1377</v>
      </c>
      <c r="C209" s="2963" t="s">
        <v>1041</v>
      </c>
      <c r="D209" s="2964" t="s">
        <v>3271</v>
      </c>
      <c r="E209" s="2965" t="s">
        <v>3650</v>
      </c>
      <c r="F209" s="2966" t="s">
        <v>3651</v>
      </c>
      <c r="G209" s="2967">
        <v>90.04</v>
      </c>
      <c r="H209" s="2967">
        <v>15.99</v>
      </c>
    </row>
    <row r="210" spans="1:8" s="2968" customFormat="1" ht="18" customHeight="1">
      <c r="A210" s="2961">
        <v>208</v>
      </c>
      <c r="B210" s="2962" t="s">
        <v>1377</v>
      </c>
      <c r="C210" s="2963" t="s">
        <v>1041</v>
      </c>
      <c r="D210" s="2964" t="s">
        <v>3272</v>
      </c>
      <c r="E210" s="2965" t="s">
        <v>3652</v>
      </c>
      <c r="F210" s="2966" t="s">
        <v>3653</v>
      </c>
      <c r="G210" s="2967">
        <v>85.25</v>
      </c>
      <c r="H210" s="2967">
        <v>15.14</v>
      </c>
    </row>
    <row r="211" spans="1:8" s="2968" customFormat="1" ht="18" customHeight="1">
      <c r="A211" s="2961">
        <v>209</v>
      </c>
      <c r="B211" s="2962" t="s">
        <v>1377</v>
      </c>
      <c r="C211" s="2963" t="s">
        <v>1041</v>
      </c>
      <c r="D211" s="2964" t="s">
        <v>3273</v>
      </c>
      <c r="E211" s="2965" t="s">
        <v>3654</v>
      </c>
      <c r="F211" s="2965" t="s">
        <v>3655</v>
      </c>
      <c r="G211" s="2967">
        <v>80.59</v>
      </c>
      <c r="H211" s="2967">
        <v>14.31</v>
      </c>
    </row>
    <row r="212" spans="1:8" s="2968" customFormat="1" ht="18" customHeight="1">
      <c r="A212" s="2961">
        <v>210</v>
      </c>
      <c r="B212" s="2962" t="s">
        <v>1377</v>
      </c>
      <c r="C212" s="2963" t="s">
        <v>1041</v>
      </c>
      <c r="D212" s="2964" t="s">
        <v>3274</v>
      </c>
      <c r="E212" s="2965" t="s">
        <v>3656</v>
      </c>
      <c r="F212" s="2965" t="s">
        <v>3657</v>
      </c>
      <c r="G212" s="2967">
        <v>94.2</v>
      </c>
      <c r="H212" s="2967">
        <v>16.72</v>
      </c>
    </row>
    <row r="213" spans="1:8" s="2968" customFormat="1" ht="18" customHeight="1">
      <c r="A213" s="2961">
        <v>211</v>
      </c>
      <c r="B213" s="2962" t="s">
        <v>1377</v>
      </c>
      <c r="C213" s="2963" t="s">
        <v>1041</v>
      </c>
      <c r="D213" s="2964" t="s">
        <v>3275</v>
      </c>
      <c r="E213" s="2965" t="s">
        <v>3658</v>
      </c>
      <c r="F213" s="2966" t="s">
        <v>3659</v>
      </c>
      <c r="G213" s="2967">
        <v>90.14</v>
      </c>
      <c r="H213" s="2967">
        <v>16</v>
      </c>
    </row>
    <row r="214" spans="1:8" s="2968" customFormat="1" ht="18" customHeight="1">
      <c r="A214" s="2961">
        <v>212</v>
      </c>
      <c r="B214" s="2962" t="s">
        <v>1377</v>
      </c>
      <c r="C214" s="2963" t="s">
        <v>1041</v>
      </c>
      <c r="D214" s="2964" t="s">
        <v>3276</v>
      </c>
      <c r="E214" s="2965" t="s">
        <v>3660</v>
      </c>
      <c r="F214" s="2966" t="s">
        <v>3661</v>
      </c>
      <c r="G214" s="2967">
        <v>107.81</v>
      </c>
      <c r="H214" s="2967">
        <v>19.14</v>
      </c>
    </row>
    <row r="215" spans="1:8" s="2968" customFormat="1" ht="18" customHeight="1">
      <c r="A215" s="2961">
        <v>213</v>
      </c>
      <c r="B215" s="2962" t="s">
        <v>1377</v>
      </c>
      <c r="C215" s="2963" t="s">
        <v>1041</v>
      </c>
      <c r="D215" s="2964" t="s">
        <v>3277</v>
      </c>
      <c r="E215" s="2965" t="s">
        <v>3662</v>
      </c>
      <c r="F215" s="2966" t="s">
        <v>3663</v>
      </c>
      <c r="G215" s="2967">
        <v>97.92</v>
      </c>
      <c r="H215" s="2967">
        <v>17.38</v>
      </c>
    </row>
    <row r="216" spans="1:8" s="2968" customFormat="1" ht="18" customHeight="1">
      <c r="A216" s="2961">
        <v>214</v>
      </c>
      <c r="B216" s="2962" t="s">
        <v>1377</v>
      </c>
      <c r="C216" s="2963" t="s">
        <v>1041</v>
      </c>
      <c r="D216" s="2964" t="s">
        <v>3278</v>
      </c>
      <c r="E216" s="2965" t="s">
        <v>3664</v>
      </c>
      <c r="F216" s="2966" t="s">
        <v>3665</v>
      </c>
      <c r="G216" s="2967">
        <v>79.849999999999994</v>
      </c>
      <c r="H216" s="2967">
        <v>14.18</v>
      </c>
    </row>
    <row r="217" spans="1:8" s="2968" customFormat="1" ht="18" customHeight="1">
      <c r="A217" s="2961">
        <v>215</v>
      </c>
      <c r="B217" s="2962" t="s">
        <v>1377</v>
      </c>
      <c r="C217" s="2963" t="s">
        <v>1041</v>
      </c>
      <c r="D217" s="2964" t="s">
        <v>3279</v>
      </c>
      <c r="E217" s="2965" t="s">
        <v>3666</v>
      </c>
      <c r="F217" s="2966" t="s">
        <v>3667</v>
      </c>
      <c r="G217" s="2967">
        <v>87.76</v>
      </c>
      <c r="H217" s="2967">
        <v>15.58</v>
      </c>
    </row>
    <row r="218" spans="1:8" s="2968" customFormat="1" ht="18" customHeight="1">
      <c r="A218" s="2961">
        <v>216</v>
      </c>
      <c r="B218" s="2962" t="s">
        <v>1377</v>
      </c>
      <c r="C218" s="2963" t="s">
        <v>3364</v>
      </c>
      <c r="D218" s="2964" t="s">
        <v>3280</v>
      </c>
      <c r="E218" s="2965" t="s">
        <v>3668</v>
      </c>
      <c r="F218" s="2966" t="s">
        <v>3669</v>
      </c>
      <c r="G218" s="2967">
        <v>53.87</v>
      </c>
      <c r="H218" s="2967">
        <v>9.56</v>
      </c>
    </row>
    <row r="219" spans="1:8" s="2968" customFormat="1" ht="18" customHeight="1">
      <c r="A219" s="2961">
        <v>217</v>
      </c>
      <c r="B219" s="2962" t="s">
        <v>1377</v>
      </c>
      <c r="C219" s="2963" t="s">
        <v>3364</v>
      </c>
      <c r="D219" s="2964" t="s">
        <v>3281</v>
      </c>
      <c r="E219" s="2965" t="s">
        <v>3670</v>
      </c>
      <c r="F219" s="2966" t="s">
        <v>3671</v>
      </c>
      <c r="G219" s="2967">
        <v>68.209999999999994</v>
      </c>
      <c r="H219" s="2967">
        <v>12.11</v>
      </c>
    </row>
    <row r="220" spans="1:8" s="2968" customFormat="1" ht="18" customHeight="1">
      <c r="A220" s="2961">
        <v>218</v>
      </c>
      <c r="B220" s="2962" t="s">
        <v>1377</v>
      </c>
      <c r="C220" s="2963" t="s">
        <v>3364</v>
      </c>
      <c r="D220" s="2964" t="s">
        <v>3282</v>
      </c>
      <c r="E220" s="2965" t="s">
        <v>3672</v>
      </c>
      <c r="F220" s="2966" t="s">
        <v>3673</v>
      </c>
      <c r="G220" s="2967">
        <v>93.72</v>
      </c>
      <c r="H220" s="2967">
        <v>16.64</v>
      </c>
    </row>
    <row r="221" spans="1:8" s="2968" customFormat="1" ht="18" customHeight="1">
      <c r="A221" s="2961">
        <v>219</v>
      </c>
      <c r="B221" s="2962" t="s">
        <v>1377</v>
      </c>
      <c r="C221" s="2963" t="s">
        <v>3364</v>
      </c>
      <c r="D221" s="2964" t="s">
        <v>3283</v>
      </c>
      <c r="E221" s="2965" t="s">
        <v>3674</v>
      </c>
      <c r="F221" s="2966" t="s">
        <v>3675</v>
      </c>
      <c r="G221" s="2967">
        <v>66.92</v>
      </c>
      <c r="H221" s="2967">
        <v>11.88</v>
      </c>
    </row>
    <row r="222" spans="1:8" s="2968" customFormat="1" ht="18" customHeight="1">
      <c r="A222" s="2961">
        <v>220</v>
      </c>
      <c r="B222" s="2962" t="s">
        <v>1377</v>
      </c>
      <c r="C222" s="2963" t="s">
        <v>3364</v>
      </c>
      <c r="D222" s="2964" t="s">
        <v>3284</v>
      </c>
      <c r="E222" s="2965" t="s">
        <v>3676</v>
      </c>
      <c r="F222" s="2966" t="s">
        <v>3677</v>
      </c>
      <c r="G222" s="2967">
        <v>67.459999999999994</v>
      </c>
      <c r="H222" s="2967">
        <v>11.98</v>
      </c>
    </row>
    <row r="223" spans="1:8" s="2968" customFormat="1" ht="18" customHeight="1">
      <c r="A223" s="2961">
        <v>221</v>
      </c>
      <c r="B223" s="2962" t="s">
        <v>1377</v>
      </c>
      <c r="C223" s="2963" t="s">
        <v>3364</v>
      </c>
      <c r="D223" s="2964" t="s">
        <v>3285</v>
      </c>
      <c r="E223" s="2965" t="s">
        <v>3678</v>
      </c>
      <c r="F223" s="2966" t="s">
        <v>3679</v>
      </c>
      <c r="G223" s="2967">
        <v>67.459999999999994</v>
      </c>
      <c r="H223" s="2967">
        <v>11.98</v>
      </c>
    </row>
    <row r="224" spans="1:8" s="2968" customFormat="1" ht="18" customHeight="1">
      <c r="A224" s="2961">
        <v>222</v>
      </c>
      <c r="B224" s="2962" t="s">
        <v>1377</v>
      </c>
      <c r="C224" s="2963" t="s">
        <v>3364</v>
      </c>
      <c r="D224" s="2964" t="s">
        <v>3286</v>
      </c>
      <c r="E224" s="2965" t="s">
        <v>3680</v>
      </c>
      <c r="F224" s="2966" t="s">
        <v>3681</v>
      </c>
      <c r="G224" s="2967">
        <v>50.69</v>
      </c>
      <c r="H224" s="2967">
        <v>9</v>
      </c>
    </row>
    <row r="225" spans="1:8" s="2968" customFormat="1" ht="18" customHeight="1">
      <c r="A225" s="2961">
        <v>223</v>
      </c>
      <c r="B225" s="2962" t="s">
        <v>1377</v>
      </c>
      <c r="C225" s="2963" t="s">
        <v>1046</v>
      </c>
      <c r="D225" s="2964" t="s">
        <v>3287</v>
      </c>
      <c r="E225" s="2965" t="s">
        <v>3682</v>
      </c>
      <c r="F225" s="2966" t="s">
        <v>3683</v>
      </c>
      <c r="G225" s="2967">
        <v>78.11</v>
      </c>
      <c r="H225" s="2967">
        <v>13.87</v>
      </c>
    </row>
    <row r="226" spans="1:8" s="2968" customFormat="1" ht="18" customHeight="1">
      <c r="A226" s="2961">
        <v>224</v>
      </c>
      <c r="B226" s="2962" t="s">
        <v>1377</v>
      </c>
      <c r="C226" s="2963" t="s">
        <v>1046</v>
      </c>
      <c r="D226" s="2964" t="s">
        <v>3288</v>
      </c>
      <c r="E226" s="2965" t="s">
        <v>3684</v>
      </c>
      <c r="F226" s="2966" t="s">
        <v>3685</v>
      </c>
      <c r="G226" s="2967">
        <v>92.43</v>
      </c>
      <c r="H226" s="2967">
        <v>16.41</v>
      </c>
    </row>
    <row r="227" spans="1:8" s="2968" customFormat="1" ht="18" customHeight="1">
      <c r="A227" s="2961">
        <v>225</v>
      </c>
      <c r="B227" s="2962" t="s">
        <v>1377</v>
      </c>
      <c r="C227" s="2963" t="s">
        <v>1046</v>
      </c>
      <c r="D227" s="2964" t="s">
        <v>3289</v>
      </c>
      <c r="E227" s="2965" t="s">
        <v>3686</v>
      </c>
      <c r="F227" s="2966" t="s">
        <v>3687</v>
      </c>
      <c r="G227" s="2967">
        <v>79.19</v>
      </c>
      <c r="H227" s="2967">
        <v>14.06</v>
      </c>
    </row>
    <row r="228" spans="1:8" ht="18" customHeight="1">
      <c r="A228" s="2961">
        <v>226</v>
      </c>
      <c r="B228" s="2962" t="s">
        <v>1377</v>
      </c>
      <c r="C228" s="2963" t="s">
        <v>1046</v>
      </c>
      <c r="D228" s="2964" t="s">
        <v>3290</v>
      </c>
      <c r="E228" s="2965" t="s">
        <v>3688</v>
      </c>
      <c r="F228" s="2966" t="s">
        <v>3689</v>
      </c>
      <c r="G228" s="2967">
        <v>78.14</v>
      </c>
      <c r="H228" s="2973">
        <v>13.87</v>
      </c>
    </row>
    <row r="229" spans="1:8" ht="18" customHeight="1">
      <c r="A229" s="2961">
        <v>227</v>
      </c>
      <c r="B229" s="2962" t="s">
        <v>1377</v>
      </c>
      <c r="C229" s="2963" t="s">
        <v>1046</v>
      </c>
      <c r="D229" s="2964" t="s">
        <v>3291</v>
      </c>
      <c r="E229" s="2965" t="s">
        <v>3690</v>
      </c>
      <c r="F229" s="2966" t="s">
        <v>3691</v>
      </c>
      <c r="G229" s="2967">
        <v>104.11</v>
      </c>
      <c r="H229" s="2973">
        <v>18.48</v>
      </c>
    </row>
    <row r="230" spans="1:8" ht="18" customHeight="1">
      <c r="A230" s="2961">
        <v>228</v>
      </c>
      <c r="B230" s="2962" t="s">
        <v>1377</v>
      </c>
      <c r="C230" s="2963" t="s">
        <v>1046</v>
      </c>
      <c r="D230" s="2964" t="s">
        <v>3292</v>
      </c>
      <c r="E230" s="2965" t="s">
        <v>3692</v>
      </c>
      <c r="F230" s="2966" t="s">
        <v>3693</v>
      </c>
      <c r="G230" s="2967">
        <v>104.67</v>
      </c>
      <c r="H230" s="2973">
        <v>18.579999999999998</v>
      </c>
    </row>
    <row r="231" spans="1:8" ht="18" customHeight="1">
      <c r="A231" s="2961">
        <v>229</v>
      </c>
      <c r="B231" s="2962" t="s">
        <v>1377</v>
      </c>
      <c r="C231" s="2963" t="s">
        <v>1046</v>
      </c>
      <c r="D231" s="2964" t="s">
        <v>3293</v>
      </c>
      <c r="E231" s="2965" t="s">
        <v>3694</v>
      </c>
      <c r="F231" s="2966" t="s">
        <v>3695</v>
      </c>
      <c r="G231" s="2967">
        <v>104.78</v>
      </c>
      <c r="H231" s="2973">
        <v>18.600000000000001</v>
      </c>
    </row>
    <row r="232" spans="1:8" ht="18" customHeight="1">
      <c r="A232" s="2961">
        <v>230</v>
      </c>
      <c r="B232" s="2962" t="s">
        <v>1377</v>
      </c>
      <c r="C232" s="2963" t="s">
        <v>1046</v>
      </c>
      <c r="D232" s="2964" t="s">
        <v>3294</v>
      </c>
      <c r="E232" s="2965" t="s">
        <v>3696</v>
      </c>
      <c r="F232" s="2966" t="s">
        <v>3697</v>
      </c>
      <c r="G232" s="2967">
        <v>65.77</v>
      </c>
      <c r="H232" s="2973">
        <v>11.68</v>
      </c>
    </row>
    <row r="233" spans="1:8" ht="18" customHeight="1">
      <c r="A233" s="2961">
        <v>231</v>
      </c>
      <c r="B233" s="2962" t="s">
        <v>1377</v>
      </c>
      <c r="C233" s="2963" t="s">
        <v>1046</v>
      </c>
      <c r="D233" s="2964" t="s">
        <v>3295</v>
      </c>
      <c r="E233" s="2965" t="s">
        <v>3698</v>
      </c>
      <c r="F233" s="2966" t="s">
        <v>3699</v>
      </c>
      <c r="G233" s="2967">
        <v>62.41</v>
      </c>
      <c r="H233" s="2973">
        <v>11.08</v>
      </c>
    </row>
    <row r="234" spans="1:8" ht="18" customHeight="1">
      <c r="A234" s="2961">
        <v>232</v>
      </c>
      <c r="B234" s="2962" t="s">
        <v>1377</v>
      </c>
      <c r="C234" s="2963" t="s">
        <v>1046</v>
      </c>
      <c r="D234" s="2964" t="s">
        <v>3296</v>
      </c>
      <c r="E234" s="2965" t="s">
        <v>3700</v>
      </c>
      <c r="F234" s="2966" t="s">
        <v>3701</v>
      </c>
      <c r="G234" s="2967">
        <v>62.41</v>
      </c>
      <c r="H234" s="2973">
        <v>11.08</v>
      </c>
    </row>
    <row r="235" spans="1:8" ht="18" customHeight="1">
      <c r="A235" s="2961">
        <v>233</v>
      </c>
      <c r="B235" s="2962" t="s">
        <v>1377</v>
      </c>
      <c r="C235" s="2963" t="s">
        <v>1046</v>
      </c>
      <c r="D235" s="2964" t="s">
        <v>3297</v>
      </c>
      <c r="E235" s="2965" t="s">
        <v>3702</v>
      </c>
      <c r="F235" s="2966" t="s">
        <v>3703</v>
      </c>
      <c r="G235" s="2967">
        <v>62.41</v>
      </c>
      <c r="H235" s="2973">
        <v>11.08</v>
      </c>
    </row>
    <row r="236" spans="1:8" ht="18" customHeight="1">
      <c r="A236" s="2961">
        <v>234</v>
      </c>
      <c r="B236" s="2962" t="s">
        <v>1377</v>
      </c>
      <c r="C236" s="2963" t="s">
        <v>1046</v>
      </c>
      <c r="D236" s="2964" t="s">
        <v>3298</v>
      </c>
      <c r="E236" s="2965" t="s">
        <v>3704</v>
      </c>
      <c r="F236" s="2966" t="s">
        <v>3705</v>
      </c>
      <c r="G236" s="2967">
        <v>62.41</v>
      </c>
      <c r="H236" s="2973">
        <v>11.08</v>
      </c>
    </row>
    <row r="237" spans="1:8" ht="18" customHeight="1">
      <c r="A237" s="2961">
        <v>235</v>
      </c>
      <c r="B237" s="2962" t="s">
        <v>1377</v>
      </c>
      <c r="C237" s="2963" t="s">
        <v>1046</v>
      </c>
      <c r="D237" s="2964" t="s">
        <v>3299</v>
      </c>
      <c r="E237" s="2965" t="s">
        <v>3706</v>
      </c>
      <c r="F237" s="2966" t="s">
        <v>3707</v>
      </c>
      <c r="G237" s="2967">
        <v>62.41</v>
      </c>
      <c r="H237" s="2973">
        <v>11.08</v>
      </c>
    </row>
    <row r="238" spans="1:8" ht="18" customHeight="1">
      <c r="A238" s="2961">
        <v>236</v>
      </c>
      <c r="B238" s="2962" t="s">
        <v>1377</v>
      </c>
      <c r="C238" s="2963" t="s">
        <v>1046</v>
      </c>
      <c r="D238" s="2964" t="s">
        <v>3300</v>
      </c>
      <c r="E238" s="2965" t="s">
        <v>3824</v>
      </c>
      <c r="F238" s="2966" t="s">
        <v>3708</v>
      </c>
      <c r="G238" s="2967">
        <v>53.91</v>
      </c>
      <c r="H238" s="2973">
        <v>9.57</v>
      </c>
    </row>
    <row r="239" spans="1:8" ht="18" customHeight="1">
      <c r="A239" s="2961">
        <v>237</v>
      </c>
      <c r="B239" s="2962" t="s">
        <v>1377</v>
      </c>
      <c r="C239" s="2963" t="s">
        <v>1046</v>
      </c>
      <c r="D239" s="2964" t="s">
        <v>3301</v>
      </c>
      <c r="E239" s="2965" t="s">
        <v>3825</v>
      </c>
      <c r="F239" s="2966" t="s">
        <v>3709</v>
      </c>
      <c r="G239" s="2967">
        <v>52.36</v>
      </c>
      <c r="H239" s="2973">
        <v>9.3000000000000007</v>
      </c>
    </row>
    <row r="240" spans="1:8" ht="18" customHeight="1">
      <c r="A240" s="2961">
        <v>238</v>
      </c>
      <c r="B240" s="2962" t="s">
        <v>1377</v>
      </c>
      <c r="C240" s="2963" t="s">
        <v>1046</v>
      </c>
      <c r="D240" s="2964" t="s">
        <v>3302</v>
      </c>
      <c r="E240" s="2965" t="s">
        <v>3826</v>
      </c>
      <c r="F240" s="2966" t="s">
        <v>3710</v>
      </c>
      <c r="G240" s="2967">
        <v>53.11</v>
      </c>
      <c r="H240" s="2973">
        <v>9.43</v>
      </c>
    </row>
    <row r="241" spans="1:8" ht="18" customHeight="1">
      <c r="A241" s="2961">
        <v>239</v>
      </c>
      <c r="B241" s="2962" t="s">
        <v>1377</v>
      </c>
      <c r="C241" s="2963" t="s">
        <v>1040</v>
      </c>
      <c r="D241" s="2964" t="s">
        <v>3303</v>
      </c>
      <c r="E241" s="2965" t="s">
        <v>3827</v>
      </c>
      <c r="F241" s="2966" t="s">
        <v>3711</v>
      </c>
      <c r="G241" s="2967">
        <v>98.39</v>
      </c>
      <c r="H241" s="2973">
        <v>17.47</v>
      </c>
    </row>
    <row r="242" spans="1:8" ht="18" customHeight="1">
      <c r="A242" s="2961">
        <v>240</v>
      </c>
      <c r="B242" s="2962" t="s">
        <v>1377</v>
      </c>
      <c r="C242" s="2963" t="s">
        <v>1040</v>
      </c>
      <c r="D242" s="2964" t="s">
        <v>3304</v>
      </c>
      <c r="E242" s="2965" t="s">
        <v>3712</v>
      </c>
      <c r="F242" s="2966" t="s">
        <v>3713</v>
      </c>
      <c r="G242" s="2967">
        <v>108.8</v>
      </c>
      <c r="H242" s="2973">
        <v>19.32</v>
      </c>
    </row>
    <row r="243" spans="1:8" ht="18" customHeight="1">
      <c r="A243" s="2961">
        <v>241</v>
      </c>
      <c r="B243" s="2962" t="s">
        <v>1377</v>
      </c>
      <c r="C243" s="2963" t="s">
        <v>1040</v>
      </c>
      <c r="D243" s="2964" t="s">
        <v>3305</v>
      </c>
      <c r="E243" s="2965" t="s">
        <v>3714</v>
      </c>
      <c r="F243" s="2966" t="s">
        <v>3715</v>
      </c>
      <c r="G243" s="2967">
        <v>107.36</v>
      </c>
      <c r="H243" s="2973">
        <v>19.059999999999999</v>
      </c>
    </row>
    <row r="244" spans="1:8" ht="18" customHeight="1">
      <c r="A244" s="2961">
        <v>242</v>
      </c>
      <c r="B244" s="2962" t="s">
        <v>1377</v>
      </c>
      <c r="C244" s="2963" t="s">
        <v>1040</v>
      </c>
      <c r="D244" s="2964" t="s">
        <v>3306</v>
      </c>
      <c r="E244" s="2965" t="s">
        <v>3716</v>
      </c>
      <c r="F244" s="2966" t="s">
        <v>3717</v>
      </c>
      <c r="G244" s="2967">
        <v>109.55</v>
      </c>
      <c r="H244" s="2973">
        <v>19.45</v>
      </c>
    </row>
    <row r="245" spans="1:8" ht="18" customHeight="1">
      <c r="A245" s="2961">
        <v>243</v>
      </c>
      <c r="B245" s="2962" t="s">
        <v>1377</v>
      </c>
      <c r="C245" s="2963" t="s">
        <v>1040</v>
      </c>
      <c r="D245" s="2964" t="s">
        <v>3307</v>
      </c>
      <c r="E245" s="2965" t="s">
        <v>3718</v>
      </c>
      <c r="F245" s="2966" t="s">
        <v>3719</v>
      </c>
      <c r="G245" s="2967">
        <v>109.55</v>
      </c>
      <c r="H245" s="2973">
        <v>19.45</v>
      </c>
    </row>
    <row r="246" spans="1:8" ht="18" customHeight="1">
      <c r="A246" s="2961">
        <v>244</v>
      </c>
      <c r="B246" s="2962" t="s">
        <v>1377</v>
      </c>
      <c r="C246" s="2963" t="s">
        <v>1041</v>
      </c>
      <c r="D246" s="2964" t="s">
        <v>3308</v>
      </c>
      <c r="E246" s="2965" t="s">
        <v>3720</v>
      </c>
      <c r="F246" s="2966" t="s">
        <v>3721</v>
      </c>
      <c r="G246" s="2967">
        <v>147.88999999999999</v>
      </c>
      <c r="H246" s="2973">
        <v>26.26</v>
      </c>
    </row>
    <row r="247" spans="1:8" ht="18" customHeight="1">
      <c r="A247" s="2961">
        <v>245</v>
      </c>
      <c r="B247" s="2962" t="s">
        <v>1377</v>
      </c>
      <c r="C247" s="2963" t="s">
        <v>3364</v>
      </c>
      <c r="D247" s="2964" t="s">
        <v>3309</v>
      </c>
      <c r="E247" s="2965" t="s">
        <v>3722</v>
      </c>
      <c r="F247" s="2966" t="s">
        <v>3723</v>
      </c>
      <c r="G247" s="2967">
        <v>148.49</v>
      </c>
      <c r="H247" s="2973">
        <v>26.36</v>
      </c>
    </row>
    <row r="248" spans="1:8" ht="18" customHeight="1">
      <c r="A248" s="2961">
        <v>246</v>
      </c>
      <c r="B248" s="2962" t="s">
        <v>1377</v>
      </c>
      <c r="C248" s="2963" t="s">
        <v>3364</v>
      </c>
      <c r="D248" s="2964" t="s">
        <v>3310</v>
      </c>
      <c r="E248" s="2965" t="s">
        <v>3724</v>
      </c>
      <c r="F248" s="2966" t="s">
        <v>3725</v>
      </c>
      <c r="G248" s="2967">
        <v>107.2</v>
      </c>
      <c r="H248" s="2973">
        <v>19.03</v>
      </c>
    </row>
    <row r="249" spans="1:8" ht="18" customHeight="1">
      <c r="A249" s="2961">
        <v>247</v>
      </c>
      <c r="B249" s="2962" t="s">
        <v>1377</v>
      </c>
      <c r="C249" s="2963" t="s">
        <v>3364</v>
      </c>
      <c r="D249" s="2964" t="s">
        <v>3311</v>
      </c>
      <c r="E249" s="2965" t="s">
        <v>3726</v>
      </c>
      <c r="F249" s="2966" t="s">
        <v>3727</v>
      </c>
      <c r="G249" s="2967">
        <v>140.35</v>
      </c>
      <c r="H249" s="2973">
        <v>24.92</v>
      </c>
    </row>
    <row r="250" spans="1:8" ht="18" customHeight="1">
      <c r="A250" s="2961">
        <v>248</v>
      </c>
      <c r="B250" s="2962" t="s">
        <v>1377</v>
      </c>
      <c r="C250" s="2963" t="s">
        <v>1046</v>
      </c>
      <c r="D250" s="2964" t="s">
        <v>3312</v>
      </c>
      <c r="E250" s="2965" t="s">
        <v>3728</v>
      </c>
      <c r="F250" s="2966" t="s">
        <v>3729</v>
      </c>
      <c r="G250" s="2967">
        <v>244.72</v>
      </c>
      <c r="H250" s="2973">
        <v>43.45</v>
      </c>
    </row>
    <row r="251" spans="1:8" ht="18" customHeight="1">
      <c r="A251" s="2961">
        <v>249</v>
      </c>
      <c r="B251" s="2962" t="s">
        <v>1377</v>
      </c>
      <c r="C251" s="2963" t="s">
        <v>1046</v>
      </c>
      <c r="D251" s="2964" t="s">
        <v>3313</v>
      </c>
      <c r="E251" s="2965" t="s">
        <v>3730</v>
      </c>
      <c r="F251" s="2966" t="s">
        <v>3731</v>
      </c>
      <c r="G251" s="2967">
        <v>199.52</v>
      </c>
      <c r="H251" s="2973">
        <v>35.42</v>
      </c>
    </row>
    <row r="252" spans="1:8">
      <c r="G252" s="2955">
        <f>SUM(G3:G251)</f>
        <v>18418.460000000006</v>
      </c>
      <c r="H252" s="2955">
        <f>SUM(H3:H251)</f>
        <v>3270.0799999999963</v>
      </c>
    </row>
  </sheetData>
  <mergeCells count="1">
    <mergeCell ref="A1:G1"/>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O67" sqref="O67"/>
    </sheetView>
  </sheetViews>
  <sheetFormatPr defaultRowHeight="13.5"/>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I265"/>
  <sheetViews>
    <sheetView workbookViewId="0">
      <selection activeCell="P19" sqref="P19"/>
    </sheetView>
  </sheetViews>
  <sheetFormatPr defaultColWidth="9" defaultRowHeight="13.5"/>
  <cols>
    <col min="1" max="1" width="3.875" style="2994" customWidth="1"/>
    <col min="2" max="2" width="4.125" style="2994" customWidth="1"/>
    <col min="3" max="4" width="4.875" style="2994" customWidth="1"/>
    <col min="5" max="5" width="5" style="2994" customWidth="1"/>
    <col min="6" max="6" width="10.375" style="3006" customWidth="1"/>
    <col min="7" max="7" width="9.25" style="3018" customWidth="1"/>
    <col min="8" max="8" width="11.5" style="3019" customWidth="1"/>
    <col min="9" max="12" width="9" style="2994" customWidth="1"/>
    <col min="13" max="13" width="10.375" style="2994" customWidth="1"/>
    <col min="14" max="243" width="9" style="2994" customWidth="1"/>
    <col min="257" max="257" width="3.875" customWidth="1"/>
    <col min="258" max="258" width="4.125" customWidth="1"/>
    <col min="259" max="260" width="4.875" customWidth="1"/>
    <col min="261" max="261" width="5" customWidth="1"/>
    <col min="262" max="262" width="10.375" customWidth="1"/>
    <col min="263" max="263" width="9.25" customWidth="1"/>
    <col min="264" max="264" width="11.5" customWidth="1"/>
    <col min="265" max="268" width="9" customWidth="1"/>
    <col min="269" max="269" width="10.375" customWidth="1"/>
    <col min="270" max="499" width="9" customWidth="1"/>
    <col min="513" max="513" width="3.875" customWidth="1"/>
    <col min="514" max="514" width="4.125" customWidth="1"/>
    <col min="515" max="516" width="4.875" customWidth="1"/>
    <col min="517" max="517" width="5" customWidth="1"/>
    <col min="518" max="518" width="10.375" customWidth="1"/>
    <col min="519" max="519" width="9.25" customWidth="1"/>
    <col min="520" max="520" width="11.5" customWidth="1"/>
    <col min="521" max="524" width="9" customWidth="1"/>
    <col min="525" max="525" width="10.375" customWidth="1"/>
    <col min="526" max="755" width="9" customWidth="1"/>
    <col min="769" max="769" width="3.875" customWidth="1"/>
    <col min="770" max="770" width="4.125" customWidth="1"/>
    <col min="771" max="772" width="4.875" customWidth="1"/>
    <col min="773" max="773" width="5" customWidth="1"/>
    <col min="774" max="774" width="10.375" customWidth="1"/>
    <col min="775" max="775" width="9.25" customWidth="1"/>
    <col min="776" max="776" width="11.5" customWidth="1"/>
    <col min="777" max="780" width="9" customWidth="1"/>
    <col min="781" max="781" width="10.375" customWidth="1"/>
    <col min="782" max="1011" width="9" customWidth="1"/>
    <col min="1025" max="1025" width="3.875" customWidth="1"/>
    <col min="1026" max="1026" width="4.125" customWidth="1"/>
    <col min="1027" max="1028" width="4.875" customWidth="1"/>
    <col min="1029" max="1029" width="5" customWidth="1"/>
    <col min="1030" max="1030" width="10.375" customWidth="1"/>
    <col min="1031" max="1031" width="9.25" customWidth="1"/>
    <col min="1032" max="1032" width="11.5" customWidth="1"/>
    <col min="1033" max="1036" width="9" customWidth="1"/>
    <col min="1037" max="1037" width="10.375" customWidth="1"/>
    <col min="1038" max="1267" width="9" customWidth="1"/>
    <col min="1281" max="1281" width="3.875" customWidth="1"/>
    <col min="1282" max="1282" width="4.125" customWidth="1"/>
    <col min="1283" max="1284" width="4.875" customWidth="1"/>
    <col min="1285" max="1285" width="5" customWidth="1"/>
    <col min="1286" max="1286" width="10.375" customWidth="1"/>
    <col min="1287" max="1287" width="9.25" customWidth="1"/>
    <col min="1288" max="1288" width="11.5" customWidth="1"/>
    <col min="1289" max="1292" width="9" customWidth="1"/>
    <col min="1293" max="1293" width="10.375" customWidth="1"/>
    <col min="1294" max="1523" width="9" customWidth="1"/>
    <col min="1537" max="1537" width="3.875" customWidth="1"/>
    <col min="1538" max="1538" width="4.125" customWidth="1"/>
    <col min="1539" max="1540" width="4.875" customWidth="1"/>
    <col min="1541" max="1541" width="5" customWidth="1"/>
    <col min="1542" max="1542" width="10.375" customWidth="1"/>
    <col min="1543" max="1543" width="9.25" customWidth="1"/>
    <col min="1544" max="1544" width="11.5" customWidth="1"/>
    <col min="1545" max="1548" width="9" customWidth="1"/>
    <col min="1549" max="1549" width="10.375" customWidth="1"/>
    <col min="1550" max="1779" width="9" customWidth="1"/>
    <col min="1793" max="1793" width="3.875" customWidth="1"/>
    <col min="1794" max="1794" width="4.125" customWidth="1"/>
    <col min="1795" max="1796" width="4.875" customWidth="1"/>
    <col min="1797" max="1797" width="5" customWidth="1"/>
    <col min="1798" max="1798" width="10.375" customWidth="1"/>
    <col min="1799" max="1799" width="9.25" customWidth="1"/>
    <col min="1800" max="1800" width="11.5" customWidth="1"/>
    <col min="1801" max="1804" width="9" customWidth="1"/>
    <col min="1805" max="1805" width="10.375" customWidth="1"/>
    <col min="1806" max="2035" width="9" customWidth="1"/>
    <col min="2049" max="2049" width="3.875" customWidth="1"/>
    <col min="2050" max="2050" width="4.125" customWidth="1"/>
    <col min="2051" max="2052" width="4.875" customWidth="1"/>
    <col min="2053" max="2053" width="5" customWidth="1"/>
    <col min="2054" max="2054" width="10.375" customWidth="1"/>
    <col min="2055" max="2055" width="9.25" customWidth="1"/>
    <col min="2056" max="2056" width="11.5" customWidth="1"/>
    <col min="2057" max="2060" width="9" customWidth="1"/>
    <col min="2061" max="2061" width="10.375" customWidth="1"/>
    <col min="2062" max="2291" width="9" customWidth="1"/>
    <col min="2305" max="2305" width="3.875" customWidth="1"/>
    <col min="2306" max="2306" width="4.125" customWidth="1"/>
    <col min="2307" max="2308" width="4.875" customWidth="1"/>
    <col min="2309" max="2309" width="5" customWidth="1"/>
    <col min="2310" max="2310" width="10.375" customWidth="1"/>
    <col min="2311" max="2311" width="9.25" customWidth="1"/>
    <col min="2312" max="2312" width="11.5" customWidth="1"/>
    <col min="2313" max="2316" width="9" customWidth="1"/>
    <col min="2317" max="2317" width="10.375" customWidth="1"/>
    <col min="2318" max="2547" width="9" customWidth="1"/>
    <col min="2561" max="2561" width="3.875" customWidth="1"/>
    <col min="2562" max="2562" width="4.125" customWidth="1"/>
    <col min="2563" max="2564" width="4.875" customWidth="1"/>
    <col min="2565" max="2565" width="5" customWidth="1"/>
    <col min="2566" max="2566" width="10.375" customWidth="1"/>
    <col min="2567" max="2567" width="9.25" customWidth="1"/>
    <col min="2568" max="2568" width="11.5" customWidth="1"/>
    <col min="2569" max="2572" width="9" customWidth="1"/>
    <col min="2573" max="2573" width="10.375" customWidth="1"/>
    <col min="2574" max="2803" width="9" customWidth="1"/>
    <col min="2817" max="2817" width="3.875" customWidth="1"/>
    <col min="2818" max="2818" width="4.125" customWidth="1"/>
    <col min="2819" max="2820" width="4.875" customWidth="1"/>
    <col min="2821" max="2821" width="5" customWidth="1"/>
    <col min="2822" max="2822" width="10.375" customWidth="1"/>
    <col min="2823" max="2823" width="9.25" customWidth="1"/>
    <col min="2824" max="2824" width="11.5" customWidth="1"/>
    <col min="2825" max="2828" width="9" customWidth="1"/>
    <col min="2829" max="2829" width="10.375" customWidth="1"/>
    <col min="2830" max="3059" width="9" customWidth="1"/>
    <col min="3073" max="3073" width="3.875" customWidth="1"/>
    <col min="3074" max="3074" width="4.125" customWidth="1"/>
    <col min="3075" max="3076" width="4.875" customWidth="1"/>
    <col min="3077" max="3077" width="5" customWidth="1"/>
    <col min="3078" max="3078" width="10.375" customWidth="1"/>
    <col min="3079" max="3079" width="9.25" customWidth="1"/>
    <col min="3080" max="3080" width="11.5" customWidth="1"/>
    <col min="3081" max="3084" width="9" customWidth="1"/>
    <col min="3085" max="3085" width="10.375" customWidth="1"/>
    <col min="3086" max="3315" width="9" customWidth="1"/>
    <col min="3329" max="3329" width="3.875" customWidth="1"/>
    <col min="3330" max="3330" width="4.125" customWidth="1"/>
    <col min="3331" max="3332" width="4.875" customWidth="1"/>
    <col min="3333" max="3333" width="5" customWidth="1"/>
    <col min="3334" max="3334" width="10.375" customWidth="1"/>
    <col min="3335" max="3335" width="9.25" customWidth="1"/>
    <col min="3336" max="3336" width="11.5" customWidth="1"/>
    <col min="3337" max="3340" width="9" customWidth="1"/>
    <col min="3341" max="3341" width="10.375" customWidth="1"/>
    <col min="3342" max="3571" width="9" customWidth="1"/>
    <col min="3585" max="3585" width="3.875" customWidth="1"/>
    <col min="3586" max="3586" width="4.125" customWidth="1"/>
    <col min="3587" max="3588" width="4.875" customWidth="1"/>
    <col min="3589" max="3589" width="5" customWidth="1"/>
    <col min="3590" max="3590" width="10.375" customWidth="1"/>
    <col min="3591" max="3591" width="9.25" customWidth="1"/>
    <col min="3592" max="3592" width="11.5" customWidth="1"/>
    <col min="3593" max="3596" width="9" customWidth="1"/>
    <col min="3597" max="3597" width="10.375" customWidth="1"/>
    <col min="3598" max="3827" width="9" customWidth="1"/>
    <col min="3841" max="3841" width="3.875" customWidth="1"/>
    <col min="3842" max="3842" width="4.125" customWidth="1"/>
    <col min="3843" max="3844" width="4.875" customWidth="1"/>
    <col min="3845" max="3845" width="5" customWidth="1"/>
    <col min="3846" max="3846" width="10.375" customWidth="1"/>
    <col min="3847" max="3847" width="9.25" customWidth="1"/>
    <col min="3848" max="3848" width="11.5" customWidth="1"/>
    <col min="3849" max="3852" width="9" customWidth="1"/>
    <col min="3853" max="3853" width="10.375" customWidth="1"/>
    <col min="3854" max="4083" width="9" customWidth="1"/>
    <col min="4097" max="4097" width="3.875" customWidth="1"/>
    <col min="4098" max="4098" width="4.125" customWidth="1"/>
    <col min="4099" max="4100" width="4.875" customWidth="1"/>
    <col min="4101" max="4101" width="5" customWidth="1"/>
    <col min="4102" max="4102" width="10.375" customWidth="1"/>
    <col min="4103" max="4103" width="9.25" customWidth="1"/>
    <col min="4104" max="4104" width="11.5" customWidth="1"/>
    <col min="4105" max="4108" width="9" customWidth="1"/>
    <col min="4109" max="4109" width="10.375" customWidth="1"/>
    <col min="4110" max="4339" width="9" customWidth="1"/>
    <col min="4353" max="4353" width="3.875" customWidth="1"/>
    <col min="4354" max="4354" width="4.125" customWidth="1"/>
    <col min="4355" max="4356" width="4.875" customWidth="1"/>
    <col min="4357" max="4357" width="5" customWidth="1"/>
    <col min="4358" max="4358" width="10.375" customWidth="1"/>
    <col min="4359" max="4359" width="9.25" customWidth="1"/>
    <col min="4360" max="4360" width="11.5" customWidth="1"/>
    <col min="4361" max="4364" width="9" customWidth="1"/>
    <col min="4365" max="4365" width="10.375" customWidth="1"/>
    <col min="4366" max="4595" width="9" customWidth="1"/>
    <col min="4609" max="4609" width="3.875" customWidth="1"/>
    <col min="4610" max="4610" width="4.125" customWidth="1"/>
    <col min="4611" max="4612" width="4.875" customWidth="1"/>
    <col min="4613" max="4613" width="5" customWidth="1"/>
    <col min="4614" max="4614" width="10.375" customWidth="1"/>
    <col min="4615" max="4615" width="9.25" customWidth="1"/>
    <col min="4616" max="4616" width="11.5" customWidth="1"/>
    <col min="4617" max="4620" width="9" customWidth="1"/>
    <col min="4621" max="4621" width="10.375" customWidth="1"/>
    <col min="4622" max="4851" width="9" customWidth="1"/>
    <col min="4865" max="4865" width="3.875" customWidth="1"/>
    <col min="4866" max="4866" width="4.125" customWidth="1"/>
    <col min="4867" max="4868" width="4.875" customWidth="1"/>
    <col min="4869" max="4869" width="5" customWidth="1"/>
    <col min="4870" max="4870" width="10.375" customWidth="1"/>
    <col min="4871" max="4871" width="9.25" customWidth="1"/>
    <col min="4872" max="4872" width="11.5" customWidth="1"/>
    <col min="4873" max="4876" width="9" customWidth="1"/>
    <col min="4877" max="4877" width="10.375" customWidth="1"/>
    <col min="4878" max="5107" width="9" customWidth="1"/>
    <col min="5121" max="5121" width="3.875" customWidth="1"/>
    <col min="5122" max="5122" width="4.125" customWidth="1"/>
    <col min="5123" max="5124" width="4.875" customWidth="1"/>
    <col min="5125" max="5125" width="5" customWidth="1"/>
    <col min="5126" max="5126" width="10.375" customWidth="1"/>
    <col min="5127" max="5127" width="9.25" customWidth="1"/>
    <col min="5128" max="5128" width="11.5" customWidth="1"/>
    <col min="5129" max="5132" width="9" customWidth="1"/>
    <col min="5133" max="5133" width="10.375" customWidth="1"/>
    <col min="5134" max="5363" width="9" customWidth="1"/>
    <col min="5377" max="5377" width="3.875" customWidth="1"/>
    <col min="5378" max="5378" width="4.125" customWidth="1"/>
    <col min="5379" max="5380" width="4.875" customWidth="1"/>
    <col min="5381" max="5381" width="5" customWidth="1"/>
    <col min="5382" max="5382" width="10.375" customWidth="1"/>
    <col min="5383" max="5383" width="9.25" customWidth="1"/>
    <col min="5384" max="5384" width="11.5" customWidth="1"/>
    <col min="5385" max="5388" width="9" customWidth="1"/>
    <col min="5389" max="5389" width="10.375" customWidth="1"/>
    <col min="5390" max="5619" width="9" customWidth="1"/>
    <col min="5633" max="5633" width="3.875" customWidth="1"/>
    <col min="5634" max="5634" width="4.125" customWidth="1"/>
    <col min="5635" max="5636" width="4.875" customWidth="1"/>
    <col min="5637" max="5637" width="5" customWidth="1"/>
    <col min="5638" max="5638" width="10.375" customWidth="1"/>
    <col min="5639" max="5639" width="9.25" customWidth="1"/>
    <col min="5640" max="5640" width="11.5" customWidth="1"/>
    <col min="5641" max="5644" width="9" customWidth="1"/>
    <col min="5645" max="5645" width="10.375" customWidth="1"/>
    <col min="5646" max="5875" width="9" customWidth="1"/>
    <col min="5889" max="5889" width="3.875" customWidth="1"/>
    <col min="5890" max="5890" width="4.125" customWidth="1"/>
    <col min="5891" max="5892" width="4.875" customWidth="1"/>
    <col min="5893" max="5893" width="5" customWidth="1"/>
    <col min="5894" max="5894" width="10.375" customWidth="1"/>
    <col min="5895" max="5895" width="9.25" customWidth="1"/>
    <col min="5896" max="5896" width="11.5" customWidth="1"/>
    <col min="5897" max="5900" width="9" customWidth="1"/>
    <col min="5901" max="5901" width="10.375" customWidth="1"/>
    <col min="5902" max="6131" width="9" customWidth="1"/>
    <col min="6145" max="6145" width="3.875" customWidth="1"/>
    <col min="6146" max="6146" width="4.125" customWidth="1"/>
    <col min="6147" max="6148" width="4.875" customWidth="1"/>
    <col min="6149" max="6149" width="5" customWidth="1"/>
    <col min="6150" max="6150" width="10.375" customWidth="1"/>
    <col min="6151" max="6151" width="9.25" customWidth="1"/>
    <col min="6152" max="6152" width="11.5" customWidth="1"/>
    <col min="6153" max="6156" width="9" customWidth="1"/>
    <col min="6157" max="6157" width="10.375" customWidth="1"/>
    <col min="6158" max="6387" width="9" customWidth="1"/>
    <col min="6401" max="6401" width="3.875" customWidth="1"/>
    <col min="6402" max="6402" width="4.125" customWidth="1"/>
    <col min="6403" max="6404" width="4.875" customWidth="1"/>
    <col min="6405" max="6405" width="5" customWidth="1"/>
    <col min="6406" max="6406" width="10.375" customWidth="1"/>
    <col min="6407" max="6407" width="9.25" customWidth="1"/>
    <col min="6408" max="6408" width="11.5" customWidth="1"/>
    <col min="6409" max="6412" width="9" customWidth="1"/>
    <col min="6413" max="6413" width="10.375" customWidth="1"/>
    <col min="6414" max="6643" width="9" customWidth="1"/>
    <col min="6657" max="6657" width="3.875" customWidth="1"/>
    <col min="6658" max="6658" width="4.125" customWidth="1"/>
    <col min="6659" max="6660" width="4.875" customWidth="1"/>
    <col min="6661" max="6661" width="5" customWidth="1"/>
    <col min="6662" max="6662" width="10.375" customWidth="1"/>
    <col min="6663" max="6663" width="9.25" customWidth="1"/>
    <col min="6664" max="6664" width="11.5" customWidth="1"/>
    <col min="6665" max="6668" width="9" customWidth="1"/>
    <col min="6669" max="6669" width="10.375" customWidth="1"/>
    <col min="6670" max="6899" width="9" customWidth="1"/>
    <col min="6913" max="6913" width="3.875" customWidth="1"/>
    <col min="6914" max="6914" width="4.125" customWidth="1"/>
    <col min="6915" max="6916" width="4.875" customWidth="1"/>
    <col min="6917" max="6917" width="5" customWidth="1"/>
    <col min="6918" max="6918" width="10.375" customWidth="1"/>
    <col min="6919" max="6919" width="9.25" customWidth="1"/>
    <col min="6920" max="6920" width="11.5" customWidth="1"/>
    <col min="6921" max="6924" width="9" customWidth="1"/>
    <col min="6925" max="6925" width="10.375" customWidth="1"/>
    <col min="6926" max="7155" width="9" customWidth="1"/>
    <col min="7169" max="7169" width="3.875" customWidth="1"/>
    <col min="7170" max="7170" width="4.125" customWidth="1"/>
    <col min="7171" max="7172" width="4.875" customWidth="1"/>
    <col min="7173" max="7173" width="5" customWidth="1"/>
    <col min="7174" max="7174" width="10.375" customWidth="1"/>
    <col min="7175" max="7175" width="9.25" customWidth="1"/>
    <col min="7176" max="7176" width="11.5" customWidth="1"/>
    <col min="7177" max="7180" width="9" customWidth="1"/>
    <col min="7181" max="7181" width="10.375" customWidth="1"/>
    <col min="7182" max="7411" width="9" customWidth="1"/>
    <col min="7425" max="7425" width="3.875" customWidth="1"/>
    <col min="7426" max="7426" width="4.125" customWidth="1"/>
    <col min="7427" max="7428" width="4.875" customWidth="1"/>
    <col min="7429" max="7429" width="5" customWidth="1"/>
    <col min="7430" max="7430" width="10.375" customWidth="1"/>
    <col min="7431" max="7431" width="9.25" customWidth="1"/>
    <col min="7432" max="7432" width="11.5" customWidth="1"/>
    <col min="7433" max="7436" width="9" customWidth="1"/>
    <col min="7437" max="7437" width="10.375" customWidth="1"/>
    <col min="7438" max="7667" width="9" customWidth="1"/>
    <col min="7681" max="7681" width="3.875" customWidth="1"/>
    <col min="7682" max="7682" width="4.125" customWidth="1"/>
    <col min="7683" max="7684" width="4.875" customWidth="1"/>
    <col min="7685" max="7685" width="5" customWidth="1"/>
    <col min="7686" max="7686" width="10.375" customWidth="1"/>
    <col min="7687" max="7687" width="9.25" customWidth="1"/>
    <col min="7688" max="7688" width="11.5" customWidth="1"/>
    <col min="7689" max="7692" width="9" customWidth="1"/>
    <col min="7693" max="7693" width="10.375" customWidth="1"/>
    <col min="7694" max="7923" width="9" customWidth="1"/>
    <col min="7937" max="7937" width="3.875" customWidth="1"/>
    <col min="7938" max="7938" width="4.125" customWidth="1"/>
    <col min="7939" max="7940" width="4.875" customWidth="1"/>
    <col min="7941" max="7941" width="5" customWidth="1"/>
    <col min="7942" max="7942" width="10.375" customWidth="1"/>
    <col min="7943" max="7943" width="9.25" customWidth="1"/>
    <col min="7944" max="7944" width="11.5" customWidth="1"/>
    <col min="7945" max="7948" width="9" customWidth="1"/>
    <col min="7949" max="7949" width="10.375" customWidth="1"/>
    <col min="7950" max="8179" width="9" customWidth="1"/>
    <col min="8193" max="8193" width="3.875" customWidth="1"/>
    <col min="8194" max="8194" width="4.125" customWidth="1"/>
    <col min="8195" max="8196" width="4.875" customWidth="1"/>
    <col min="8197" max="8197" width="5" customWidth="1"/>
    <col min="8198" max="8198" width="10.375" customWidth="1"/>
    <col min="8199" max="8199" width="9.25" customWidth="1"/>
    <col min="8200" max="8200" width="11.5" customWidth="1"/>
    <col min="8201" max="8204" width="9" customWidth="1"/>
    <col min="8205" max="8205" width="10.375" customWidth="1"/>
    <col min="8206" max="8435" width="9" customWidth="1"/>
    <col min="8449" max="8449" width="3.875" customWidth="1"/>
    <col min="8450" max="8450" width="4.125" customWidth="1"/>
    <col min="8451" max="8452" width="4.875" customWidth="1"/>
    <col min="8453" max="8453" width="5" customWidth="1"/>
    <col min="8454" max="8454" width="10.375" customWidth="1"/>
    <col min="8455" max="8455" width="9.25" customWidth="1"/>
    <col min="8456" max="8456" width="11.5" customWidth="1"/>
    <col min="8457" max="8460" width="9" customWidth="1"/>
    <col min="8461" max="8461" width="10.375" customWidth="1"/>
    <col min="8462" max="8691" width="9" customWidth="1"/>
    <col min="8705" max="8705" width="3.875" customWidth="1"/>
    <col min="8706" max="8706" width="4.125" customWidth="1"/>
    <col min="8707" max="8708" width="4.875" customWidth="1"/>
    <col min="8709" max="8709" width="5" customWidth="1"/>
    <col min="8710" max="8710" width="10.375" customWidth="1"/>
    <col min="8711" max="8711" width="9.25" customWidth="1"/>
    <col min="8712" max="8712" width="11.5" customWidth="1"/>
    <col min="8713" max="8716" width="9" customWidth="1"/>
    <col min="8717" max="8717" width="10.375" customWidth="1"/>
    <col min="8718" max="8947" width="9" customWidth="1"/>
    <col min="8961" max="8961" width="3.875" customWidth="1"/>
    <col min="8962" max="8962" width="4.125" customWidth="1"/>
    <col min="8963" max="8964" width="4.875" customWidth="1"/>
    <col min="8965" max="8965" width="5" customWidth="1"/>
    <col min="8966" max="8966" width="10.375" customWidth="1"/>
    <col min="8967" max="8967" width="9.25" customWidth="1"/>
    <col min="8968" max="8968" width="11.5" customWidth="1"/>
    <col min="8969" max="8972" width="9" customWidth="1"/>
    <col min="8973" max="8973" width="10.375" customWidth="1"/>
    <col min="8974" max="9203" width="9" customWidth="1"/>
    <col min="9217" max="9217" width="3.875" customWidth="1"/>
    <col min="9218" max="9218" width="4.125" customWidth="1"/>
    <col min="9219" max="9220" width="4.875" customWidth="1"/>
    <col min="9221" max="9221" width="5" customWidth="1"/>
    <col min="9222" max="9222" width="10.375" customWidth="1"/>
    <col min="9223" max="9223" width="9.25" customWidth="1"/>
    <col min="9224" max="9224" width="11.5" customWidth="1"/>
    <col min="9225" max="9228" width="9" customWidth="1"/>
    <col min="9229" max="9229" width="10.375" customWidth="1"/>
    <col min="9230" max="9459" width="9" customWidth="1"/>
    <col min="9473" max="9473" width="3.875" customWidth="1"/>
    <col min="9474" max="9474" width="4.125" customWidth="1"/>
    <col min="9475" max="9476" width="4.875" customWidth="1"/>
    <col min="9477" max="9477" width="5" customWidth="1"/>
    <col min="9478" max="9478" width="10.375" customWidth="1"/>
    <col min="9479" max="9479" width="9.25" customWidth="1"/>
    <col min="9480" max="9480" width="11.5" customWidth="1"/>
    <col min="9481" max="9484" width="9" customWidth="1"/>
    <col min="9485" max="9485" width="10.375" customWidth="1"/>
    <col min="9486" max="9715" width="9" customWidth="1"/>
    <col min="9729" max="9729" width="3.875" customWidth="1"/>
    <col min="9730" max="9730" width="4.125" customWidth="1"/>
    <col min="9731" max="9732" width="4.875" customWidth="1"/>
    <col min="9733" max="9733" width="5" customWidth="1"/>
    <col min="9734" max="9734" width="10.375" customWidth="1"/>
    <col min="9735" max="9735" width="9.25" customWidth="1"/>
    <col min="9736" max="9736" width="11.5" customWidth="1"/>
    <col min="9737" max="9740" width="9" customWidth="1"/>
    <col min="9741" max="9741" width="10.375" customWidth="1"/>
    <col min="9742" max="9971" width="9" customWidth="1"/>
    <col min="9985" max="9985" width="3.875" customWidth="1"/>
    <col min="9986" max="9986" width="4.125" customWidth="1"/>
    <col min="9987" max="9988" width="4.875" customWidth="1"/>
    <col min="9989" max="9989" width="5" customWidth="1"/>
    <col min="9990" max="9990" width="10.375" customWidth="1"/>
    <col min="9991" max="9991" width="9.25" customWidth="1"/>
    <col min="9992" max="9992" width="11.5" customWidth="1"/>
    <col min="9993" max="9996" width="9" customWidth="1"/>
    <col min="9997" max="9997" width="10.375" customWidth="1"/>
    <col min="9998" max="10227" width="9" customWidth="1"/>
    <col min="10241" max="10241" width="3.875" customWidth="1"/>
    <col min="10242" max="10242" width="4.125" customWidth="1"/>
    <col min="10243" max="10244" width="4.875" customWidth="1"/>
    <col min="10245" max="10245" width="5" customWidth="1"/>
    <col min="10246" max="10246" width="10.375" customWidth="1"/>
    <col min="10247" max="10247" width="9.25" customWidth="1"/>
    <col min="10248" max="10248" width="11.5" customWidth="1"/>
    <col min="10249" max="10252" width="9" customWidth="1"/>
    <col min="10253" max="10253" width="10.375" customWidth="1"/>
    <col min="10254" max="10483" width="9" customWidth="1"/>
    <col min="10497" max="10497" width="3.875" customWidth="1"/>
    <col min="10498" max="10498" width="4.125" customWidth="1"/>
    <col min="10499" max="10500" width="4.875" customWidth="1"/>
    <col min="10501" max="10501" width="5" customWidth="1"/>
    <col min="10502" max="10502" width="10.375" customWidth="1"/>
    <col min="10503" max="10503" width="9.25" customWidth="1"/>
    <col min="10504" max="10504" width="11.5" customWidth="1"/>
    <col min="10505" max="10508" width="9" customWidth="1"/>
    <col min="10509" max="10509" width="10.375" customWidth="1"/>
    <col min="10510" max="10739" width="9" customWidth="1"/>
    <col min="10753" max="10753" width="3.875" customWidth="1"/>
    <col min="10754" max="10754" width="4.125" customWidth="1"/>
    <col min="10755" max="10756" width="4.875" customWidth="1"/>
    <col min="10757" max="10757" width="5" customWidth="1"/>
    <col min="10758" max="10758" width="10.375" customWidth="1"/>
    <col min="10759" max="10759" width="9.25" customWidth="1"/>
    <col min="10760" max="10760" width="11.5" customWidth="1"/>
    <col min="10761" max="10764" width="9" customWidth="1"/>
    <col min="10765" max="10765" width="10.375" customWidth="1"/>
    <col min="10766" max="10995" width="9" customWidth="1"/>
    <col min="11009" max="11009" width="3.875" customWidth="1"/>
    <col min="11010" max="11010" width="4.125" customWidth="1"/>
    <col min="11011" max="11012" width="4.875" customWidth="1"/>
    <col min="11013" max="11013" width="5" customWidth="1"/>
    <col min="11014" max="11014" width="10.375" customWidth="1"/>
    <col min="11015" max="11015" width="9.25" customWidth="1"/>
    <col min="11016" max="11016" width="11.5" customWidth="1"/>
    <col min="11017" max="11020" width="9" customWidth="1"/>
    <col min="11021" max="11021" width="10.375" customWidth="1"/>
    <col min="11022" max="11251" width="9" customWidth="1"/>
    <col min="11265" max="11265" width="3.875" customWidth="1"/>
    <col min="11266" max="11266" width="4.125" customWidth="1"/>
    <col min="11267" max="11268" width="4.875" customWidth="1"/>
    <col min="11269" max="11269" width="5" customWidth="1"/>
    <col min="11270" max="11270" width="10.375" customWidth="1"/>
    <col min="11271" max="11271" width="9.25" customWidth="1"/>
    <col min="11272" max="11272" width="11.5" customWidth="1"/>
    <col min="11273" max="11276" width="9" customWidth="1"/>
    <col min="11277" max="11277" width="10.375" customWidth="1"/>
    <col min="11278" max="11507" width="9" customWidth="1"/>
    <col min="11521" max="11521" width="3.875" customWidth="1"/>
    <col min="11522" max="11522" width="4.125" customWidth="1"/>
    <col min="11523" max="11524" width="4.875" customWidth="1"/>
    <col min="11525" max="11525" width="5" customWidth="1"/>
    <col min="11526" max="11526" width="10.375" customWidth="1"/>
    <col min="11527" max="11527" width="9.25" customWidth="1"/>
    <col min="11528" max="11528" width="11.5" customWidth="1"/>
    <col min="11529" max="11532" width="9" customWidth="1"/>
    <col min="11533" max="11533" width="10.375" customWidth="1"/>
    <col min="11534" max="11763" width="9" customWidth="1"/>
    <col min="11777" max="11777" width="3.875" customWidth="1"/>
    <col min="11778" max="11778" width="4.125" customWidth="1"/>
    <col min="11779" max="11780" width="4.875" customWidth="1"/>
    <col min="11781" max="11781" width="5" customWidth="1"/>
    <col min="11782" max="11782" width="10.375" customWidth="1"/>
    <col min="11783" max="11783" width="9.25" customWidth="1"/>
    <col min="11784" max="11784" width="11.5" customWidth="1"/>
    <col min="11785" max="11788" width="9" customWidth="1"/>
    <col min="11789" max="11789" width="10.375" customWidth="1"/>
    <col min="11790" max="12019" width="9" customWidth="1"/>
    <col min="12033" max="12033" width="3.875" customWidth="1"/>
    <col min="12034" max="12034" width="4.125" customWidth="1"/>
    <col min="12035" max="12036" width="4.875" customWidth="1"/>
    <col min="12037" max="12037" width="5" customWidth="1"/>
    <col min="12038" max="12038" width="10.375" customWidth="1"/>
    <col min="12039" max="12039" width="9.25" customWidth="1"/>
    <col min="12040" max="12040" width="11.5" customWidth="1"/>
    <col min="12041" max="12044" width="9" customWidth="1"/>
    <col min="12045" max="12045" width="10.375" customWidth="1"/>
    <col min="12046" max="12275" width="9" customWidth="1"/>
    <col min="12289" max="12289" width="3.875" customWidth="1"/>
    <col min="12290" max="12290" width="4.125" customWidth="1"/>
    <col min="12291" max="12292" width="4.875" customWidth="1"/>
    <col min="12293" max="12293" width="5" customWidth="1"/>
    <col min="12294" max="12294" width="10.375" customWidth="1"/>
    <col min="12295" max="12295" width="9.25" customWidth="1"/>
    <col min="12296" max="12296" width="11.5" customWidth="1"/>
    <col min="12297" max="12300" width="9" customWidth="1"/>
    <col min="12301" max="12301" width="10.375" customWidth="1"/>
    <col min="12302" max="12531" width="9" customWidth="1"/>
    <col min="12545" max="12545" width="3.875" customWidth="1"/>
    <col min="12546" max="12546" width="4.125" customWidth="1"/>
    <col min="12547" max="12548" width="4.875" customWidth="1"/>
    <col min="12549" max="12549" width="5" customWidth="1"/>
    <col min="12550" max="12550" width="10.375" customWidth="1"/>
    <col min="12551" max="12551" width="9.25" customWidth="1"/>
    <col min="12552" max="12552" width="11.5" customWidth="1"/>
    <col min="12553" max="12556" width="9" customWidth="1"/>
    <col min="12557" max="12557" width="10.375" customWidth="1"/>
    <col min="12558" max="12787" width="9" customWidth="1"/>
    <col min="12801" max="12801" width="3.875" customWidth="1"/>
    <col min="12802" max="12802" width="4.125" customWidth="1"/>
    <col min="12803" max="12804" width="4.875" customWidth="1"/>
    <col min="12805" max="12805" width="5" customWidth="1"/>
    <col min="12806" max="12806" width="10.375" customWidth="1"/>
    <col min="12807" max="12807" width="9.25" customWidth="1"/>
    <col min="12808" max="12808" width="11.5" customWidth="1"/>
    <col min="12809" max="12812" width="9" customWidth="1"/>
    <col min="12813" max="12813" width="10.375" customWidth="1"/>
    <col min="12814" max="13043" width="9" customWidth="1"/>
    <col min="13057" max="13057" width="3.875" customWidth="1"/>
    <col min="13058" max="13058" width="4.125" customWidth="1"/>
    <col min="13059" max="13060" width="4.875" customWidth="1"/>
    <col min="13061" max="13061" width="5" customWidth="1"/>
    <col min="13062" max="13062" width="10.375" customWidth="1"/>
    <col min="13063" max="13063" width="9.25" customWidth="1"/>
    <col min="13064" max="13064" width="11.5" customWidth="1"/>
    <col min="13065" max="13068" width="9" customWidth="1"/>
    <col min="13069" max="13069" width="10.375" customWidth="1"/>
    <col min="13070" max="13299" width="9" customWidth="1"/>
    <col min="13313" max="13313" width="3.875" customWidth="1"/>
    <col min="13314" max="13314" width="4.125" customWidth="1"/>
    <col min="13315" max="13316" width="4.875" customWidth="1"/>
    <col min="13317" max="13317" width="5" customWidth="1"/>
    <col min="13318" max="13318" width="10.375" customWidth="1"/>
    <col min="13319" max="13319" width="9.25" customWidth="1"/>
    <col min="13320" max="13320" width="11.5" customWidth="1"/>
    <col min="13321" max="13324" width="9" customWidth="1"/>
    <col min="13325" max="13325" width="10.375" customWidth="1"/>
    <col min="13326" max="13555" width="9" customWidth="1"/>
    <col min="13569" max="13569" width="3.875" customWidth="1"/>
    <col min="13570" max="13570" width="4.125" customWidth="1"/>
    <col min="13571" max="13572" width="4.875" customWidth="1"/>
    <col min="13573" max="13573" width="5" customWidth="1"/>
    <col min="13574" max="13574" width="10.375" customWidth="1"/>
    <col min="13575" max="13575" width="9.25" customWidth="1"/>
    <col min="13576" max="13576" width="11.5" customWidth="1"/>
    <col min="13577" max="13580" width="9" customWidth="1"/>
    <col min="13581" max="13581" width="10.375" customWidth="1"/>
    <col min="13582" max="13811" width="9" customWidth="1"/>
    <col min="13825" max="13825" width="3.875" customWidth="1"/>
    <col min="13826" max="13826" width="4.125" customWidth="1"/>
    <col min="13827" max="13828" width="4.875" customWidth="1"/>
    <col min="13829" max="13829" width="5" customWidth="1"/>
    <col min="13830" max="13830" width="10.375" customWidth="1"/>
    <col min="13831" max="13831" width="9.25" customWidth="1"/>
    <col min="13832" max="13832" width="11.5" customWidth="1"/>
    <col min="13833" max="13836" width="9" customWidth="1"/>
    <col min="13837" max="13837" width="10.375" customWidth="1"/>
    <col min="13838" max="14067" width="9" customWidth="1"/>
    <col min="14081" max="14081" width="3.875" customWidth="1"/>
    <col min="14082" max="14082" width="4.125" customWidth="1"/>
    <col min="14083" max="14084" width="4.875" customWidth="1"/>
    <col min="14085" max="14085" width="5" customWidth="1"/>
    <col min="14086" max="14086" width="10.375" customWidth="1"/>
    <col min="14087" max="14087" width="9.25" customWidth="1"/>
    <col min="14088" max="14088" width="11.5" customWidth="1"/>
    <col min="14089" max="14092" width="9" customWidth="1"/>
    <col min="14093" max="14093" width="10.375" customWidth="1"/>
    <col min="14094" max="14323" width="9" customWidth="1"/>
    <col min="14337" max="14337" width="3.875" customWidth="1"/>
    <col min="14338" max="14338" width="4.125" customWidth="1"/>
    <col min="14339" max="14340" width="4.875" customWidth="1"/>
    <col min="14341" max="14341" width="5" customWidth="1"/>
    <col min="14342" max="14342" width="10.375" customWidth="1"/>
    <col min="14343" max="14343" width="9.25" customWidth="1"/>
    <col min="14344" max="14344" width="11.5" customWidth="1"/>
    <col min="14345" max="14348" width="9" customWidth="1"/>
    <col min="14349" max="14349" width="10.375" customWidth="1"/>
    <col min="14350" max="14579" width="9" customWidth="1"/>
    <col min="14593" max="14593" width="3.875" customWidth="1"/>
    <col min="14594" max="14594" width="4.125" customWidth="1"/>
    <col min="14595" max="14596" width="4.875" customWidth="1"/>
    <col min="14597" max="14597" width="5" customWidth="1"/>
    <col min="14598" max="14598" width="10.375" customWidth="1"/>
    <col min="14599" max="14599" width="9.25" customWidth="1"/>
    <col min="14600" max="14600" width="11.5" customWidth="1"/>
    <col min="14601" max="14604" width="9" customWidth="1"/>
    <col min="14605" max="14605" width="10.375" customWidth="1"/>
    <col min="14606" max="14835" width="9" customWidth="1"/>
    <col min="14849" max="14849" width="3.875" customWidth="1"/>
    <col min="14850" max="14850" width="4.125" customWidth="1"/>
    <col min="14851" max="14852" width="4.875" customWidth="1"/>
    <col min="14853" max="14853" width="5" customWidth="1"/>
    <col min="14854" max="14854" width="10.375" customWidth="1"/>
    <col min="14855" max="14855" width="9.25" customWidth="1"/>
    <col min="14856" max="14856" width="11.5" customWidth="1"/>
    <col min="14857" max="14860" width="9" customWidth="1"/>
    <col min="14861" max="14861" width="10.375" customWidth="1"/>
    <col min="14862" max="15091" width="9" customWidth="1"/>
    <col min="15105" max="15105" width="3.875" customWidth="1"/>
    <col min="15106" max="15106" width="4.125" customWidth="1"/>
    <col min="15107" max="15108" width="4.875" customWidth="1"/>
    <col min="15109" max="15109" width="5" customWidth="1"/>
    <col min="15110" max="15110" width="10.375" customWidth="1"/>
    <col min="15111" max="15111" width="9.25" customWidth="1"/>
    <col min="15112" max="15112" width="11.5" customWidth="1"/>
    <col min="15113" max="15116" width="9" customWidth="1"/>
    <col min="15117" max="15117" width="10.375" customWidth="1"/>
    <col min="15118" max="15347" width="9" customWidth="1"/>
    <col min="15361" max="15361" width="3.875" customWidth="1"/>
    <col min="15362" max="15362" width="4.125" customWidth="1"/>
    <col min="15363" max="15364" width="4.875" customWidth="1"/>
    <col min="15365" max="15365" width="5" customWidth="1"/>
    <col min="15366" max="15366" width="10.375" customWidth="1"/>
    <col min="15367" max="15367" width="9.25" customWidth="1"/>
    <col min="15368" max="15368" width="11.5" customWidth="1"/>
    <col min="15369" max="15372" width="9" customWidth="1"/>
    <col min="15373" max="15373" width="10.375" customWidth="1"/>
    <col min="15374" max="15603" width="9" customWidth="1"/>
    <col min="15617" max="15617" width="3.875" customWidth="1"/>
    <col min="15618" max="15618" width="4.125" customWidth="1"/>
    <col min="15619" max="15620" width="4.875" customWidth="1"/>
    <col min="15621" max="15621" width="5" customWidth="1"/>
    <col min="15622" max="15622" width="10.375" customWidth="1"/>
    <col min="15623" max="15623" width="9.25" customWidth="1"/>
    <col min="15624" max="15624" width="11.5" customWidth="1"/>
    <col min="15625" max="15628" width="9" customWidth="1"/>
    <col min="15629" max="15629" width="10.375" customWidth="1"/>
    <col min="15630" max="15859" width="9" customWidth="1"/>
    <col min="15873" max="15873" width="3.875" customWidth="1"/>
    <col min="15874" max="15874" width="4.125" customWidth="1"/>
    <col min="15875" max="15876" width="4.875" customWidth="1"/>
    <col min="15877" max="15877" width="5" customWidth="1"/>
    <col min="15878" max="15878" width="10.375" customWidth="1"/>
    <col min="15879" max="15879" width="9.25" customWidth="1"/>
    <col min="15880" max="15880" width="11.5" customWidth="1"/>
    <col min="15881" max="15884" width="9" customWidth="1"/>
    <col min="15885" max="15885" width="10.375" customWidth="1"/>
    <col min="15886" max="16115" width="9" customWidth="1"/>
    <col min="16129" max="16129" width="3.875" customWidth="1"/>
    <col min="16130" max="16130" width="4.125" customWidth="1"/>
    <col min="16131" max="16132" width="4.875" customWidth="1"/>
    <col min="16133" max="16133" width="5" customWidth="1"/>
    <col min="16134" max="16134" width="10.375" customWidth="1"/>
    <col min="16135" max="16135" width="9.25" customWidth="1"/>
    <col min="16136" max="16136" width="11.5" customWidth="1"/>
    <col min="16137" max="16140" width="9" customWidth="1"/>
    <col min="16141" max="16141" width="10.375" customWidth="1"/>
    <col min="16142" max="16371" width="9" customWidth="1"/>
  </cols>
  <sheetData>
    <row r="1" spans="1:17" s="2994" customFormat="1" ht="25.5" customHeight="1">
      <c r="A1" s="2941"/>
      <c r="B1" s="3354" t="s">
        <v>3937</v>
      </c>
      <c r="C1" s="3354"/>
      <c r="D1" s="3354"/>
      <c r="E1" s="3354"/>
      <c r="F1" s="3354"/>
      <c r="G1" s="3355"/>
      <c r="H1" s="3356"/>
    </row>
    <row r="2" spans="1:17" s="2994" customFormat="1" ht="30.95" customHeight="1">
      <c r="A2" s="2995" t="s">
        <v>3938</v>
      </c>
      <c r="B2" s="2996" t="s">
        <v>3317</v>
      </c>
      <c r="C2" s="2995" t="s">
        <v>3939</v>
      </c>
      <c r="D2" s="2995" t="s">
        <v>3940</v>
      </c>
      <c r="E2" s="2997" t="s">
        <v>3320</v>
      </c>
      <c r="F2" s="2997" t="s">
        <v>3918</v>
      </c>
      <c r="G2" s="2998" t="s">
        <v>3941</v>
      </c>
      <c r="H2" s="2999" t="s">
        <v>3942</v>
      </c>
      <c r="L2" s="2994" t="s">
        <v>3984</v>
      </c>
      <c r="M2" s="2994" t="s">
        <v>3986</v>
      </c>
      <c r="N2" s="2994" t="s">
        <v>3987</v>
      </c>
      <c r="O2" s="2994" t="s">
        <v>3988</v>
      </c>
    </row>
    <row r="3" spans="1:17" s="2994" customFormat="1" ht="15.95" customHeight="1">
      <c r="A3" s="3000" t="s">
        <v>3943</v>
      </c>
      <c r="B3" s="3001">
        <v>1</v>
      </c>
      <c r="C3" s="2941" t="s">
        <v>1377</v>
      </c>
      <c r="D3" s="2941" t="s">
        <v>3944</v>
      </c>
      <c r="E3" s="3002" t="s">
        <v>3065</v>
      </c>
      <c r="F3" s="3003">
        <v>140.88999999999999</v>
      </c>
      <c r="G3" s="3004">
        <v>71579.78</v>
      </c>
      <c r="H3" s="3005">
        <f t="shared" ref="H3:H66" si="0">G3*F3</f>
        <v>10084875.2042</v>
      </c>
      <c r="I3" s="2994">
        <f>ROUND(G3*0.75,0)</f>
        <v>53685</v>
      </c>
      <c r="L3" s="2994" t="s">
        <v>3945</v>
      </c>
      <c r="M3" s="3006" t="str">
        <f>E3</f>
        <v>1-2</v>
      </c>
      <c r="N3" s="3007">
        <f>F3</f>
        <v>140.88999999999999</v>
      </c>
      <c r="O3" s="3007">
        <f>G3</f>
        <v>71579.78</v>
      </c>
    </row>
    <row r="4" spans="1:17" s="2994" customFormat="1" ht="15.95" customHeight="1">
      <c r="A4" s="3000" t="s">
        <v>3943</v>
      </c>
      <c r="B4" s="3001">
        <v>2</v>
      </c>
      <c r="C4" s="2941" t="s">
        <v>1377</v>
      </c>
      <c r="D4" s="2941" t="s">
        <v>3944</v>
      </c>
      <c r="E4" s="3002" t="s">
        <v>3066</v>
      </c>
      <c r="F4" s="3003">
        <v>134.55000000000001</v>
      </c>
      <c r="G4" s="3004">
        <v>68530.55</v>
      </c>
      <c r="H4" s="3005">
        <f t="shared" si="0"/>
        <v>9220785.5025000013</v>
      </c>
      <c r="I4" s="2994">
        <f t="shared" ref="I4:I67" si="1">ROUND(G4*0.75,0)</f>
        <v>51398</v>
      </c>
      <c r="L4" s="2994" t="s">
        <v>3946</v>
      </c>
      <c r="M4" s="3006" t="str">
        <f>E91</f>
        <v>2-4</v>
      </c>
      <c r="N4" s="3007">
        <f>F91</f>
        <v>98.7</v>
      </c>
      <c r="O4" s="3007">
        <f>G91</f>
        <v>26004.45</v>
      </c>
      <c r="P4" s="2994">
        <f>O4/O3</f>
        <v>0.36329323728013696</v>
      </c>
    </row>
    <row r="5" spans="1:17" s="2994" customFormat="1" ht="15.95" customHeight="1">
      <c r="A5" s="3000" t="s">
        <v>3943</v>
      </c>
      <c r="B5" s="3001">
        <v>3</v>
      </c>
      <c r="C5" s="2941" t="s">
        <v>1377</v>
      </c>
      <c r="D5" s="2941" t="s">
        <v>3944</v>
      </c>
      <c r="E5" s="3002" t="s">
        <v>3067</v>
      </c>
      <c r="F5" s="3003">
        <v>129.5</v>
      </c>
      <c r="G5" s="3004">
        <v>66243.62</v>
      </c>
      <c r="H5" s="3005">
        <f t="shared" si="0"/>
        <v>8578548.7899999991</v>
      </c>
      <c r="I5" s="2994">
        <f t="shared" si="1"/>
        <v>49683</v>
      </c>
      <c r="L5" s="2994" t="s">
        <v>3947</v>
      </c>
      <c r="M5" s="3007" t="str">
        <f>E177</f>
        <v>3-4</v>
      </c>
      <c r="N5" s="3007">
        <f>F177</f>
        <v>129.21</v>
      </c>
      <c r="O5" s="3007">
        <f>G177</f>
        <v>22132.71</v>
      </c>
      <c r="P5" s="2994">
        <f>O5/O3</f>
        <v>0.30920338117831597</v>
      </c>
    </row>
    <row r="6" spans="1:17" s="2994" customFormat="1" ht="15.95" customHeight="1">
      <c r="A6" s="3000" t="s">
        <v>3943</v>
      </c>
      <c r="B6" s="3001">
        <v>4</v>
      </c>
      <c r="C6" s="2941" t="s">
        <v>1377</v>
      </c>
      <c r="D6" s="2941" t="s">
        <v>3944</v>
      </c>
      <c r="E6" s="3002" t="s">
        <v>3068</v>
      </c>
      <c r="F6" s="3003">
        <v>124.61</v>
      </c>
      <c r="G6" s="3004">
        <v>67005.929999999993</v>
      </c>
      <c r="H6" s="3005">
        <f t="shared" si="0"/>
        <v>8349608.9372999994</v>
      </c>
      <c r="I6" s="2994">
        <f t="shared" si="1"/>
        <v>50254</v>
      </c>
      <c r="L6" s="2994" t="s">
        <v>3948</v>
      </c>
      <c r="M6" s="3006" t="str">
        <f>E242</f>
        <v>4-3</v>
      </c>
      <c r="N6" s="3006">
        <f>F242</f>
        <v>108.8</v>
      </c>
      <c r="O6" s="3006">
        <f>G242</f>
        <v>19323.71</v>
      </c>
      <c r="P6" s="3006">
        <f>O6/O3</f>
        <v>0.26996045531293894</v>
      </c>
    </row>
    <row r="7" spans="1:17" s="2994" customFormat="1" ht="15.95" customHeight="1">
      <c r="A7" s="3000" t="s">
        <v>3943</v>
      </c>
      <c r="B7" s="3001">
        <v>5</v>
      </c>
      <c r="C7" s="2941" t="s">
        <v>1377</v>
      </c>
      <c r="D7" s="2941" t="s">
        <v>3944</v>
      </c>
      <c r="E7" s="3002" t="s">
        <v>3069</v>
      </c>
      <c r="F7" s="3003">
        <v>121.4</v>
      </c>
      <c r="G7" s="3004">
        <v>68530.55</v>
      </c>
      <c r="H7" s="3005">
        <f t="shared" si="0"/>
        <v>8319608.7700000005</v>
      </c>
      <c r="I7" s="2994">
        <f t="shared" si="1"/>
        <v>51398</v>
      </c>
    </row>
    <row r="8" spans="1:17" s="2994" customFormat="1" ht="15.95" customHeight="1">
      <c r="A8" s="3000" t="s">
        <v>3943</v>
      </c>
      <c r="B8" s="3001">
        <v>6</v>
      </c>
      <c r="C8" s="2941" t="s">
        <v>1377</v>
      </c>
      <c r="D8" s="2941" t="s">
        <v>3944</v>
      </c>
      <c r="E8" s="3002" t="s">
        <v>3070</v>
      </c>
      <c r="F8" s="3003">
        <v>114.68</v>
      </c>
      <c r="G8" s="3004">
        <v>67768.240000000005</v>
      </c>
      <c r="H8" s="3005">
        <f t="shared" si="0"/>
        <v>7771661.7632000009</v>
      </c>
      <c r="I8" s="2994">
        <f t="shared" si="1"/>
        <v>50826</v>
      </c>
      <c r="M8" s="2994" t="s">
        <v>3949</v>
      </c>
      <c r="N8" s="2994" t="s">
        <v>3950</v>
      </c>
      <c r="O8" s="2994" t="s">
        <v>3989</v>
      </c>
      <c r="Q8" s="2994" t="s">
        <v>3990</v>
      </c>
    </row>
    <row r="9" spans="1:17" s="2994" customFormat="1" ht="15.95" customHeight="1">
      <c r="A9" s="3000" t="s">
        <v>3943</v>
      </c>
      <c r="B9" s="3001">
        <v>7</v>
      </c>
      <c r="C9" s="2941" t="s">
        <v>1377</v>
      </c>
      <c r="D9" s="2941" t="s">
        <v>3944</v>
      </c>
      <c r="E9" s="3002" t="s">
        <v>3071</v>
      </c>
      <c r="F9" s="3003">
        <v>111.38</v>
      </c>
      <c r="G9" s="3004">
        <v>70436.320000000007</v>
      </c>
      <c r="H9" s="3005">
        <f t="shared" si="0"/>
        <v>7845197.3216000004</v>
      </c>
      <c r="I9" s="2994">
        <f t="shared" si="1"/>
        <v>52827</v>
      </c>
      <c r="L9" s="2994" t="s">
        <v>3945</v>
      </c>
      <c r="M9" s="3008">
        <f>SUM(H3:H87)</f>
        <v>302339286.27130002</v>
      </c>
      <c r="N9" s="3007">
        <f>SUM(F3:F87)</f>
        <v>4854.9600000000009</v>
      </c>
      <c r="O9" s="2994">
        <f>ROUND(M9/N9,0)</f>
        <v>62274</v>
      </c>
      <c r="Q9" s="3021">
        <f>O9*0.75</f>
        <v>46705.5</v>
      </c>
    </row>
    <row r="10" spans="1:17" s="2994" customFormat="1" ht="15.95" customHeight="1">
      <c r="A10" s="3000" t="s">
        <v>3943</v>
      </c>
      <c r="B10" s="3001">
        <v>8</v>
      </c>
      <c r="C10" s="2941" t="s">
        <v>1377</v>
      </c>
      <c r="D10" s="2941" t="s">
        <v>3944</v>
      </c>
      <c r="E10" s="3002" t="s">
        <v>3072</v>
      </c>
      <c r="F10" s="3003">
        <v>99.71</v>
      </c>
      <c r="G10" s="3004">
        <v>71579.78</v>
      </c>
      <c r="H10" s="3005">
        <f t="shared" si="0"/>
        <v>7137219.8637999995</v>
      </c>
      <c r="I10" s="2994">
        <f t="shared" si="1"/>
        <v>53685</v>
      </c>
      <c r="L10" s="2994" t="s">
        <v>3946</v>
      </c>
      <c r="M10" s="3008">
        <f>SUM(H88:H173)</f>
        <v>166228231</v>
      </c>
      <c r="N10" s="3007">
        <f>SUM(F88:F173)</f>
        <v>6510.8500000000049</v>
      </c>
      <c r="O10" s="2994">
        <f t="shared" ref="O10:O12" si="2">ROUND(M10/N10,0)</f>
        <v>25531</v>
      </c>
      <c r="P10" s="2994">
        <f>O10/O9</f>
        <v>0.40997848219160482</v>
      </c>
      <c r="Q10" s="3021">
        <f t="shared" ref="Q10:Q12" si="3">O10*0.75</f>
        <v>19148.25</v>
      </c>
    </row>
    <row r="11" spans="1:17" s="2994" customFormat="1" ht="15.95" customHeight="1">
      <c r="A11" s="3000" t="s">
        <v>3943</v>
      </c>
      <c r="B11" s="3001">
        <v>9</v>
      </c>
      <c r="C11" s="2941" t="s">
        <v>1377</v>
      </c>
      <c r="D11" s="2941" t="s">
        <v>3944</v>
      </c>
      <c r="E11" s="3002" t="s">
        <v>3073</v>
      </c>
      <c r="F11" s="3003">
        <v>62.41</v>
      </c>
      <c r="G11" s="3004">
        <v>77171.31</v>
      </c>
      <c r="H11" s="3005">
        <f t="shared" si="0"/>
        <v>4816261.4570999993</v>
      </c>
      <c r="I11" s="2994">
        <f t="shared" si="1"/>
        <v>57878</v>
      </c>
      <c r="L11" s="2994" t="s">
        <v>3947</v>
      </c>
      <c r="M11" s="3008">
        <f>SUM(H174:H240)</f>
        <v>120214298</v>
      </c>
      <c r="N11" s="3007">
        <f>SUM(F174:F240)</f>
        <v>5471.8499999999985</v>
      </c>
      <c r="O11" s="2994">
        <f t="shared" si="2"/>
        <v>21970</v>
      </c>
      <c r="P11" s="2994">
        <f>O11/O9</f>
        <v>0.35279570928477372</v>
      </c>
      <c r="Q11" s="3021">
        <f t="shared" si="3"/>
        <v>16477.5</v>
      </c>
    </row>
    <row r="12" spans="1:17" s="2994" customFormat="1" ht="15.95" customHeight="1">
      <c r="A12" s="3000" t="s">
        <v>3943</v>
      </c>
      <c r="B12" s="3001">
        <v>10</v>
      </c>
      <c r="C12" s="2941" t="s">
        <v>1377</v>
      </c>
      <c r="D12" s="2941" t="s">
        <v>3944</v>
      </c>
      <c r="E12" s="3002" t="s">
        <v>3074</v>
      </c>
      <c r="F12" s="3003">
        <v>33.15</v>
      </c>
      <c r="G12" s="3004">
        <v>78051.78</v>
      </c>
      <c r="H12" s="3005">
        <f t="shared" si="0"/>
        <v>2587416.5069999998</v>
      </c>
      <c r="I12" s="2994">
        <f t="shared" si="1"/>
        <v>58539</v>
      </c>
      <c r="L12" s="2994" t="s">
        <v>3948</v>
      </c>
      <c r="M12" s="3008">
        <f>SUM(H241:H251)</f>
        <v>28376773</v>
      </c>
      <c r="N12" s="3007">
        <f>SUM(F241:F251)</f>
        <v>1521.82</v>
      </c>
      <c r="O12" s="2994">
        <f t="shared" si="2"/>
        <v>18647</v>
      </c>
      <c r="P12" s="2994">
        <f>O12/O9</f>
        <v>0.29943475607797798</v>
      </c>
      <c r="Q12" s="3021">
        <f t="shared" si="3"/>
        <v>13985.25</v>
      </c>
    </row>
    <row r="13" spans="1:17" s="2994" customFormat="1" ht="15.95" customHeight="1">
      <c r="A13" s="3000" t="s">
        <v>3943</v>
      </c>
      <c r="B13" s="3001">
        <v>11</v>
      </c>
      <c r="C13" s="2941" t="s">
        <v>1377</v>
      </c>
      <c r="D13" s="2941" t="s">
        <v>3944</v>
      </c>
      <c r="E13" s="3002" t="s">
        <v>3075</v>
      </c>
      <c r="F13" s="3003">
        <v>65.2</v>
      </c>
      <c r="G13" s="3004">
        <v>69834.100000000006</v>
      </c>
      <c r="H13" s="3005">
        <f t="shared" si="0"/>
        <v>4553183.32</v>
      </c>
      <c r="I13" s="2994">
        <f t="shared" si="1"/>
        <v>52376</v>
      </c>
    </row>
    <row r="14" spans="1:17" s="2994" customFormat="1" ht="15.95" customHeight="1">
      <c r="A14" s="3000" t="s">
        <v>3943</v>
      </c>
      <c r="B14" s="3001">
        <v>12</v>
      </c>
      <c r="C14" s="2941" t="s">
        <v>1377</v>
      </c>
      <c r="D14" s="2941" t="s">
        <v>3944</v>
      </c>
      <c r="E14" s="3002" t="s">
        <v>3076</v>
      </c>
      <c r="F14" s="3003">
        <v>36</v>
      </c>
      <c r="G14" s="3004">
        <v>68660.14</v>
      </c>
      <c r="H14" s="3005">
        <f t="shared" si="0"/>
        <v>2471765.04</v>
      </c>
      <c r="I14" s="2994">
        <f t="shared" si="1"/>
        <v>51495</v>
      </c>
      <c r="K14" s="2994" t="s">
        <v>3983</v>
      </c>
      <c r="L14" s="2994" t="s">
        <v>3984</v>
      </c>
      <c r="M14" s="2994" t="s">
        <v>3981</v>
      </c>
      <c r="N14" s="2994" t="s">
        <v>3982</v>
      </c>
      <c r="O14" s="2994" t="s">
        <v>3985</v>
      </c>
    </row>
    <row r="15" spans="1:17" s="2994" customFormat="1" ht="15.95" customHeight="1">
      <c r="A15" s="3000" t="s">
        <v>3943</v>
      </c>
      <c r="B15" s="3001">
        <v>13</v>
      </c>
      <c r="C15" s="2941" t="s">
        <v>1377</v>
      </c>
      <c r="D15" s="2941" t="s">
        <v>3944</v>
      </c>
      <c r="E15" s="3002" t="s">
        <v>3077</v>
      </c>
      <c r="F15" s="3003">
        <v>52.73</v>
      </c>
      <c r="G15" s="3004">
        <v>65138.28</v>
      </c>
      <c r="H15" s="3005">
        <f t="shared" si="0"/>
        <v>3434741.5043999995</v>
      </c>
      <c r="I15" s="2994">
        <f t="shared" si="1"/>
        <v>48854</v>
      </c>
      <c r="K15" s="2994">
        <v>83</v>
      </c>
      <c r="L15" s="2994" t="s">
        <v>3977</v>
      </c>
      <c r="M15" s="2994">
        <f ca="1">SUM(典型户型修正!S24:S106)</f>
        <v>19278</v>
      </c>
      <c r="N15" s="2994">
        <f>SUM(典型户型修正!B24:B106)</f>
        <v>4808.4700000000012</v>
      </c>
      <c r="O15" s="3021">
        <f ca="1">ROUND(M15*10000/N15,0)</f>
        <v>40092</v>
      </c>
    </row>
    <row r="16" spans="1:17" s="2994" customFormat="1" ht="15.95" customHeight="1">
      <c r="A16" s="3000" t="s">
        <v>3943</v>
      </c>
      <c r="B16" s="3001">
        <v>14</v>
      </c>
      <c r="C16" s="2941" t="s">
        <v>1377</v>
      </c>
      <c r="D16" s="2941" t="s">
        <v>3944</v>
      </c>
      <c r="E16" s="3002" t="s">
        <v>3078</v>
      </c>
      <c r="F16" s="3003">
        <v>17.78</v>
      </c>
      <c r="G16" s="3004">
        <v>79812.710000000006</v>
      </c>
      <c r="H16" s="3005">
        <f t="shared" si="0"/>
        <v>1419069.9838000003</v>
      </c>
      <c r="I16" s="2994">
        <f t="shared" si="1"/>
        <v>59860</v>
      </c>
      <c r="K16" s="2994">
        <v>86</v>
      </c>
      <c r="L16" s="2994" t="s">
        <v>3978</v>
      </c>
      <c r="M16" s="2994">
        <f ca="1">SUM(典型户型修正!S107:S192)</f>
        <v>11677</v>
      </c>
      <c r="N16" s="2994">
        <f>SUM(典型户型修正!B107:B192)</f>
        <v>6510.8500000000049</v>
      </c>
      <c r="O16" s="3021">
        <f t="shared" ref="O16:O18" ca="1" si="4">ROUND(M16*10000/N16,0)</f>
        <v>17935</v>
      </c>
      <c r="P16" s="2994">
        <f ca="1">O16/O15</f>
        <v>0.44734610396088997</v>
      </c>
    </row>
    <row r="17" spans="1:16" s="2994" customFormat="1" ht="15.95" customHeight="1">
      <c r="A17" s="3000" t="s">
        <v>3943</v>
      </c>
      <c r="B17" s="3001">
        <v>15</v>
      </c>
      <c r="C17" s="2941" t="s">
        <v>1377</v>
      </c>
      <c r="D17" s="2941" t="s">
        <v>3944</v>
      </c>
      <c r="E17" s="3002" t="s">
        <v>3079</v>
      </c>
      <c r="F17" s="3003">
        <v>64.87</v>
      </c>
      <c r="G17" s="3004">
        <v>56333.62</v>
      </c>
      <c r="H17" s="3005">
        <f t="shared" si="0"/>
        <v>3654361.9294000003</v>
      </c>
      <c r="I17" s="2994">
        <f t="shared" si="1"/>
        <v>42250</v>
      </c>
      <c r="K17" s="2994">
        <v>69</v>
      </c>
      <c r="L17" s="2994" t="s">
        <v>3979</v>
      </c>
      <c r="M17" s="2994">
        <f ca="1">SUM(典型户型修正!S193:S261)</f>
        <v>7837</v>
      </c>
      <c r="N17" s="2994">
        <f>SUM(典型户型修正!B193:B261)</f>
        <v>5577.3199999999979</v>
      </c>
      <c r="O17" s="3021">
        <f t="shared" ca="1" si="4"/>
        <v>14052</v>
      </c>
      <c r="P17" s="2994">
        <f ca="1">O17/O15</f>
        <v>0.35049386411254113</v>
      </c>
    </row>
    <row r="18" spans="1:16" s="2994" customFormat="1" ht="15.95" customHeight="1">
      <c r="A18" s="3000" t="s">
        <v>3943</v>
      </c>
      <c r="B18" s="3001">
        <v>16</v>
      </c>
      <c r="C18" s="2941" t="s">
        <v>1377</v>
      </c>
      <c r="D18" s="2941" t="s">
        <v>3944</v>
      </c>
      <c r="E18" s="3002" t="s">
        <v>3080</v>
      </c>
      <c r="F18" s="3003">
        <v>64.87</v>
      </c>
      <c r="G18" s="3004">
        <v>55746.64</v>
      </c>
      <c r="H18" s="3005">
        <f t="shared" si="0"/>
        <v>3616284.5368000004</v>
      </c>
      <c r="I18" s="2994">
        <f t="shared" si="1"/>
        <v>41810</v>
      </c>
      <c r="K18" s="2994">
        <v>11</v>
      </c>
      <c r="L18" s="2994" t="s">
        <v>3980</v>
      </c>
      <c r="M18" s="2994">
        <f ca="1">SUM(典型户型修正!S262:S272)</f>
        <v>1800</v>
      </c>
      <c r="N18" s="2994">
        <f>SUM(典型户型修正!B262:B272)</f>
        <v>1521.82</v>
      </c>
      <c r="O18" s="3021">
        <f t="shared" ca="1" si="4"/>
        <v>11828</v>
      </c>
      <c r="P18" s="2994">
        <f ca="1">O18/O15</f>
        <v>0.29502145066347402</v>
      </c>
    </row>
    <row r="19" spans="1:16" s="2994" customFormat="1" ht="15.95" customHeight="1">
      <c r="A19" s="3000" t="s">
        <v>3943</v>
      </c>
      <c r="B19" s="3001">
        <v>17</v>
      </c>
      <c r="C19" s="2941" t="s">
        <v>1377</v>
      </c>
      <c r="D19" s="2941" t="s">
        <v>3944</v>
      </c>
      <c r="E19" s="3002" t="s">
        <v>3081</v>
      </c>
      <c r="F19" s="3003">
        <v>64.81</v>
      </c>
      <c r="G19" s="3004">
        <v>53985.71</v>
      </c>
      <c r="H19" s="3005">
        <f t="shared" si="0"/>
        <v>3498813.8651000001</v>
      </c>
      <c r="I19" s="2994">
        <f t="shared" si="1"/>
        <v>40489</v>
      </c>
      <c r="K19" s="2994">
        <f>SUM(K15:K18)</f>
        <v>249</v>
      </c>
      <c r="M19" s="2994">
        <f ca="1">SUM(M15:M18)</f>
        <v>40592</v>
      </c>
      <c r="N19" s="2994">
        <f>SUM(N15:N18)</f>
        <v>18418.460000000006</v>
      </c>
    </row>
    <row r="20" spans="1:16" s="2994" customFormat="1" ht="15.95" customHeight="1">
      <c r="A20" s="3000" t="s">
        <v>3943</v>
      </c>
      <c r="B20" s="3001">
        <v>18</v>
      </c>
      <c r="C20" s="2941" t="s">
        <v>1377</v>
      </c>
      <c r="D20" s="2941" t="s">
        <v>3944</v>
      </c>
      <c r="E20" s="3002" t="s">
        <v>3082</v>
      </c>
      <c r="F20" s="3003">
        <v>64.87</v>
      </c>
      <c r="G20" s="3004">
        <v>55159.66</v>
      </c>
      <c r="H20" s="3005">
        <f t="shared" si="0"/>
        <v>3578207.1442000004</v>
      </c>
      <c r="I20" s="2994">
        <f t="shared" si="1"/>
        <v>41370</v>
      </c>
    </row>
    <row r="21" spans="1:16" s="2994" customFormat="1" ht="15.95" customHeight="1">
      <c r="A21" s="3000" t="s">
        <v>3943</v>
      </c>
      <c r="B21" s="3001">
        <v>19</v>
      </c>
      <c r="C21" s="2941" t="s">
        <v>1377</v>
      </c>
      <c r="D21" s="2941" t="s">
        <v>3944</v>
      </c>
      <c r="E21" s="3002" t="s">
        <v>3083</v>
      </c>
      <c r="F21" s="3003">
        <v>65.86</v>
      </c>
      <c r="G21" s="3004">
        <v>57507.57</v>
      </c>
      <c r="H21" s="3005">
        <f t="shared" si="0"/>
        <v>3787448.5601999997</v>
      </c>
      <c r="I21" s="2994">
        <f t="shared" si="1"/>
        <v>43131</v>
      </c>
    </row>
    <row r="22" spans="1:16" s="2994" customFormat="1" ht="15.95" customHeight="1">
      <c r="A22" s="3000" t="s">
        <v>3943</v>
      </c>
      <c r="B22" s="3001">
        <v>20</v>
      </c>
      <c r="C22" s="2941" t="s">
        <v>1377</v>
      </c>
      <c r="D22" s="2941" t="s">
        <v>3944</v>
      </c>
      <c r="E22" s="3002" t="s">
        <v>3084</v>
      </c>
      <c r="F22" s="3003">
        <v>64.87</v>
      </c>
      <c r="G22" s="3004">
        <v>56333.62</v>
      </c>
      <c r="H22" s="3005">
        <f t="shared" si="0"/>
        <v>3654361.9294000003</v>
      </c>
      <c r="I22" s="2994">
        <f t="shared" si="1"/>
        <v>42250</v>
      </c>
    </row>
    <row r="23" spans="1:16" s="2994" customFormat="1" ht="15.95" customHeight="1">
      <c r="A23" s="3000" t="s">
        <v>3943</v>
      </c>
      <c r="B23" s="3001">
        <v>21</v>
      </c>
      <c r="C23" s="2941" t="s">
        <v>1377</v>
      </c>
      <c r="D23" s="2941" t="s">
        <v>3944</v>
      </c>
      <c r="E23" s="3002" t="s">
        <v>3085</v>
      </c>
      <c r="F23" s="3003">
        <v>64.87</v>
      </c>
      <c r="G23" s="3004">
        <v>56920.59</v>
      </c>
      <c r="H23" s="3005">
        <f t="shared" si="0"/>
        <v>3692438.6732999999</v>
      </c>
      <c r="I23" s="2994">
        <f t="shared" si="1"/>
        <v>42690</v>
      </c>
    </row>
    <row r="24" spans="1:16" s="2994" customFormat="1" ht="15.95" customHeight="1">
      <c r="A24" s="3000" t="s">
        <v>3943</v>
      </c>
      <c r="B24" s="3001">
        <v>22</v>
      </c>
      <c r="C24" s="2941" t="s">
        <v>1377</v>
      </c>
      <c r="D24" s="2941" t="s">
        <v>3944</v>
      </c>
      <c r="E24" s="3002" t="s">
        <v>3086</v>
      </c>
      <c r="F24" s="3003">
        <v>64.81</v>
      </c>
      <c r="G24" s="3004">
        <v>56333.62</v>
      </c>
      <c r="H24" s="3005">
        <f t="shared" si="0"/>
        <v>3650981.9122000001</v>
      </c>
      <c r="I24" s="2994">
        <f t="shared" si="1"/>
        <v>42250</v>
      </c>
    </row>
    <row r="25" spans="1:16" s="2994" customFormat="1" ht="15.95" customHeight="1">
      <c r="A25" s="3000" t="s">
        <v>3943</v>
      </c>
      <c r="B25" s="3001">
        <v>23</v>
      </c>
      <c r="C25" s="2941" t="s">
        <v>1377</v>
      </c>
      <c r="D25" s="2941" t="s">
        <v>3944</v>
      </c>
      <c r="E25" s="3002" t="s">
        <v>3087</v>
      </c>
      <c r="F25" s="3003">
        <v>65.900000000000006</v>
      </c>
      <c r="G25" s="3004">
        <v>58681.53</v>
      </c>
      <c r="H25" s="3005">
        <f t="shared" si="0"/>
        <v>3867112.827</v>
      </c>
      <c r="I25" s="2994">
        <f t="shared" si="1"/>
        <v>44011</v>
      </c>
    </row>
    <row r="26" spans="1:16" s="2994" customFormat="1" ht="15.95" customHeight="1">
      <c r="A26" s="3000" t="s">
        <v>3943</v>
      </c>
      <c r="B26" s="3001">
        <v>24</v>
      </c>
      <c r="C26" s="2941" t="s">
        <v>1377</v>
      </c>
      <c r="D26" s="2941" t="s">
        <v>3944</v>
      </c>
      <c r="E26" s="3002" t="s">
        <v>3088</v>
      </c>
      <c r="F26" s="3003">
        <v>95.26</v>
      </c>
      <c r="G26" s="3004">
        <v>61616.41</v>
      </c>
      <c r="H26" s="3005">
        <f t="shared" si="0"/>
        <v>5869579.2166000009</v>
      </c>
      <c r="I26" s="2994">
        <f t="shared" si="1"/>
        <v>46212</v>
      </c>
    </row>
    <row r="27" spans="1:16" s="2994" customFormat="1" ht="15.95" customHeight="1">
      <c r="A27" s="3000" t="s">
        <v>3943</v>
      </c>
      <c r="B27" s="3001">
        <v>25</v>
      </c>
      <c r="C27" s="2941" t="s">
        <v>1377</v>
      </c>
      <c r="D27" s="2941" t="s">
        <v>3944</v>
      </c>
      <c r="E27" s="3002" t="s">
        <v>3089</v>
      </c>
      <c r="F27" s="3003">
        <v>24.68</v>
      </c>
      <c r="G27" s="3004">
        <v>72182.009999999995</v>
      </c>
      <c r="H27" s="3005">
        <f t="shared" si="0"/>
        <v>1781452.0067999999</v>
      </c>
      <c r="I27" s="2994">
        <f t="shared" si="1"/>
        <v>54137</v>
      </c>
    </row>
    <row r="28" spans="1:16" s="2994" customFormat="1" ht="15.95" customHeight="1">
      <c r="A28" s="3000" t="s">
        <v>3943</v>
      </c>
      <c r="B28" s="3001">
        <v>26</v>
      </c>
      <c r="C28" s="2941" t="s">
        <v>1377</v>
      </c>
      <c r="D28" s="2941" t="s">
        <v>3944</v>
      </c>
      <c r="E28" s="3002" t="s">
        <v>3090</v>
      </c>
      <c r="F28" s="3003">
        <v>38.4</v>
      </c>
      <c r="G28" s="3004">
        <v>65725.25</v>
      </c>
      <c r="H28" s="3005">
        <f t="shared" si="0"/>
        <v>2523849.6</v>
      </c>
      <c r="I28" s="2994">
        <f t="shared" si="1"/>
        <v>49294</v>
      </c>
    </row>
    <row r="29" spans="1:16" s="2994" customFormat="1" ht="15.95" customHeight="1">
      <c r="A29" s="3000" t="s">
        <v>3943</v>
      </c>
      <c r="B29" s="3001">
        <v>27</v>
      </c>
      <c r="C29" s="2941" t="s">
        <v>1377</v>
      </c>
      <c r="D29" s="2941" t="s">
        <v>3944</v>
      </c>
      <c r="E29" s="3002" t="s">
        <v>3951</v>
      </c>
      <c r="F29" s="3003">
        <v>29.09</v>
      </c>
      <c r="G29" s="3004">
        <v>72768.98</v>
      </c>
      <c r="H29" s="3005">
        <f t="shared" si="0"/>
        <v>2116849.6281999997</v>
      </c>
      <c r="I29" s="2994">
        <f t="shared" si="1"/>
        <v>54577</v>
      </c>
    </row>
    <row r="30" spans="1:16" s="2994" customFormat="1" ht="15.95" customHeight="1">
      <c r="A30" s="3000" t="s">
        <v>3943</v>
      </c>
      <c r="B30" s="3001">
        <v>28</v>
      </c>
      <c r="C30" s="2941" t="s">
        <v>1377</v>
      </c>
      <c r="D30" s="2941" t="s">
        <v>3944</v>
      </c>
      <c r="E30" s="3002" t="s">
        <v>3952</v>
      </c>
      <c r="F30" s="3003">
        <v>17.399999999999999</v>
      </c>
      <c r="G30" s="3004">
        <v>82160.62</v>
      </c>
      <c r="H30" s="3005">
        <f t="shared" si="0"/>
        <v>1429594.7879999997</v>
      </c>
      <c r="I30" s="2994">
        <f t="shared" si="1"/>
        <v>61620</v>
      </c>
    </row>
    <row r="31" spans="1:16" s="2994" customFormat="1" ht="15.95" customHeight="1">
      <c r="A31" s="3000" t="s">
        <v>3953</v>
      </c>
      <c r="B31" s="3001">
        <v>29</v>
      </c>
      <c r="C31" s="2941" t="s">
        <v>1377</v>
      </c>
      <c r="D31" s="2941" t="s">
        <v>3944</v>
      </c>
      <c r="E31" s="3002" t="s">
        <v>3091</v>
      </c>
      <c r="F31" s="3003">
        <v>93.74</v>
      </c>
      <c r="G31" s="3004">
        <v>79927.06</v>
      </c>
      <c r="H31" s="3005">
        <f t="shared" si="0"/>
        <v>7492362.6043999996</v>
      </c>
      <c r="I31" s="2994">
        <f t="shared" si="1"/>
        <v>59945</v>
      </c>
    </row>
    <row r="32" spans="1:16" s="2994" customFormat="1" ht="15.95" customHeight="1">
      <c r="A32" s="3000" t="s">
        <v>3953</v>
      </c>
      <c r="B32" s="3001">
        <v>30</v>
      </c>
      <c r="C32" s="2941" t="s">
        <v>1377</v>
      </c>
      <c r="D32" s="2941" t="s">
        <v>3944</v>
      </c>
      <c r="E32" s="3002" t="s">
        <v>3092</v>
      </c>
      <c r="F32" s="3003">
        <v>44.99</v>
      </c>
      <c r="G32" s="3004">
        <v>72799.47</v>
      </c>
      <c r="H32" s="3005">
        <f t="shared" si="0"/>
        <v>3275248.1553000002</v>
      </c>
      <c r="I32" s="2994">
        <f t="shared" si="1"/>
        <v>54600</v>
      </c>
    </row>
    <row r="33" spans="1:9" s="2994" customFormat="1" ht="15.95" customHeight="1">
      <c r="A33" s="3000" t="s">
        <v>3953</v>
      </c>
      <c r="B33" s="3001">
        <v>31</v>
      </c>
      <c r="C33" s="2941" t="s">
        <v>1377</v>
      </c>
      <c r="D33" s="2941" t="s">
        <v>3944</v>
      </c>
      <c r="E33" s="3002" t="s">
        <v>3093</v>
      </c>
      <c r="F33" s="3003">
        <v>42.22</v>
      </c>
      <c r="G33" s="3004">
        <v>75116.89</v>
      </c>
      <c r="H33" s="3005">
        <f t="shared" si="0"/>
        <v>3171435.0957999998</v>
      </c>
      <c r="I33" s="2994">
        <f t="shared" si="1"/>
        <v>56338</v>
      </c>
    </row>
    <row r="34" spans="1:9" s="2994" customFormat="1" ht="15.95" customHeight="1">
      <c r="A34" s="3000" t="s">
        <v>3953</v>
      </c>
      <c r="B34" s="3001">
        <v>32</v>
      </c>
      <c r="C34" s="2941" t="s">
        <v>1377</v>
      </c>
      <c r="D34" s="2941" t="s">
        <v>3944</v>
      </c>
      <c r="E34" s="3002" t="s">
        <v>3094</v>
      </c>
      <c r="F34" s="3003">
        <v>67.77</v>
      </c>
      <c r="G34" s="3004">
        <v>75391.320000000007</v>
      </c>
      <c r="H34" s="3005">
        <f t="shared" si="0"/>
        <v>5109269.7564000003</v>
      </c>
      <c r="I34" s="2994">
        <f t="shared" si="1"/>
        <v>56543</v>
      </c>
    </row>
    <row r="35" spans="1:9" s="2994" customFormat="1" ht="15.95" customHeight="1">
      <c r="A35" s="3000" t="s">
        <v>3953</v>
      </c>
      <c r="B35" s="3001">
        <v>33</v>
      </c>
      <c r="C35" s="2941" t="s">
        <v>1377</v>
      </c>
      <c r="D35" s="2941" t="s">
        <v>3944</v>
      </c>
      <c r="E35" s="3002" t="s">
        <v>3095</v>
      </c>
      <c r="F35" s="3003">
        <v>29.05</v>
      </c>
      <c r="G35" s="3004">
        <v>72182.009999999995</v>
      </c>
      <c r="H35" s="3005">
        <f t="shared" si="0"/>
        <v>2096887.3905</v>
      </c>
      <c r="I35" s="2994">
        <f t="shared" si="1"/>
        <v>54137</v>
      </c>
    </row>
    <row r="36" spans="1:9" s="2994" customFormat="1" ht="15.95" customHeight="1">
      <c r="A36" s="3000" t="s">
        <v>3953</v>
      </c>
      <c r="B36" s="3001">
        <v>34</v>
      </c>
      <c r="C36" s="2941" t="s">
        <v>1377</v>
      </c>
      <c r="D36" s="2941" t="s">
        <v>3944</v>
      </c>
      <c r="E36" s="3002" t="s">
        <v>3096</v>
      </c>
      <c r="F36" s="3003">
        <v>16.77</v>
      </c>
      <c r="G36" s="3004">
        <v>80399.69</v>
      </c>
      <c r="H36" s="3005">
        <f t="shared" si="0"/>
        <v>1348302.8012999999</v>
      </c>
      <c r="I36" s="2994">
        <f t="shared" si="1"/>
        <v>60300</v>
      </c>
    </row>
    <row r="37" spans="1:9" s="2994" customFormat="1" ht="15.95" customHeight="1">
      <c r="A37" s="3000" t="s">
        <v>3953</v>
      </c>
      <c r="B37" s="3001">
        <v>35</v>
      </c>
      <c r="C37" s="2941" t="s">
        <v>1377</v>
      </c>
      <c r="D37" s="2941" t="s">
        <v>3944</v>
      </c>
      <c r="E37" s="3002" t="s">
        <v>3097</v>
      </c>
      <c r="F37" s="3003">
        <v>63.9</v>
      </c>
      <c r="G37" s="3004">
        <v>63080.04</v>
      </c>
      <c r="H37" s="3005">
        <f t="shared" si="0"/>
        <v>4030814.5559999999</v>
      </c>
      <c r="I37" s="2994">
        <f t="shared" si="1"/>
        <v>47310</v>
      </c>
    </row>
    <row r="38" spans="1:9" s="2994" customFormat="1" ht="15.95" customHeight="1">
      <c r="A38" s="3000" t="s">
        <v>3953</v>
      </c>
      <c r="B38" s="3001">
        <v>36</v>
      </c>
      <c r="C38" s="2941" t="s">
        <v>1377</v>
      </c>
      <c r="D38" s="2941" t="s">
        <v>3944</v>
      </c>
      <c r="E38" s="3002" t="s">
        <v>3098</v>
      </c>
      <c r="F38" s="3003">
        <v>36.72</v>
      </c>
      <c r="G38" s="3004">
        <v>60442.46</v>
      </c>
      <c r="H38" s="3005">
        <f t="shared" si="0"/>
        <v>2219447.1311999997</v>
      </c>
      <c r="I38" s="2994">
        <f t="shared" si="1"/>
        <v>45332</v>
      </c>
    </row>
    <row r="39" spans="1:9" s="2994" customFormat="1" ht="15.95" customHeight="1">
      <c r="A39" s="3000" t="s">
        <v>3953</v>
      </c>
      <c r="B39" s="3001">
        <v>37</v>
      </c>
      <c r="C39" s="2941" t="s">
        <v>1377</v>
      </c>
      <c r="D39" s="2941" t="s">
        <v>3944</v>
      </c>
      <c r="E39" s="3002" t="s">
        <v>3099</v>
      </c>
      <c r="F39" s="3003">
        <v>75.8</v>
      </c>
      <c r="G39" s="3004">
        <v>63728.01</v>
      </c>
      <c r="H39" s="3005">
        <f t="shared" si="0"/>
        <v>4830583.1579999998</v>
      </c>
      <c r="I39" s="2994">
        <f t="shared" si="1"/>
        <v>47796</v>
      </c>
    </row>
    <row r="40" spans="1:9" s="2994" customFormat="1" ht="15.95" customHeight="1">
      <c r="A40" s="3000" t="s">
        <v>3953</v>
      </c>
      <c r="B40" s="3001">
        <v>38</v>
      </c>
      <c r="C40" s="2941" t="s">
        <v>1377</v>
      </c>
      <c r="D40" s="2941" t="s">
        <v>3944</v>
      </c>
      <c r="E40" s="3002" t="s">
        <v>3100</v>
      </c>
      <c r="F40" s="3003">
        <v>40.96</v>
      </c>
      <c r="G40" s="3004">
        <v>66319.850000000006</v>
      </c>
      <c r="H40" s="3005">
        <f t="shared" si="0"/>
        <v>2716461.0560000003</v>
      </c>
      <c r="I40" s="2994">
        <f t="shared" si="1"/>
        <v>49740</v>
      </c>
    </row>
    <row r="41" spans="1:9" s="2994" customFormat="1" ht="15.95" customHeight="1">
      <c r="A41" s="3000" t="s">
        <v>3953</v>
      </c>
      <c r="B41" s="3001">
        <v>39</v>
      </c>
      <c r="C41" s="2941" t="s">
        <v>1377</v>
      </c>
      <c r="D41" s="2941" t="s">
        <v>3944</v>
      </c>
      <c r="E41" s="3002" t="s">
        <v>3101</v>
      </c>
      <c r="F41" s="3003">
        <v>26.86</v>
      </c>
      <c r="G41" s="3004">
        <v>71503.55</v>
      </c>
      <c r="H41" s="3005">
        <f t="shared" si="0"/>
        <v>1920585.3530000001</v>
      </c>
      <c r="I41" s="2994">
        <f t="shared" si="1"/>
        <v>53628</v>
      </c>
    </row>
    <row r="42" spans="1:9" s="2994" customFormat="1" ht="15.95" customHeight="1">
      <c r="A42" s="3000" t="s">
        <v>3953</v>
      </c>
      <c r="B42" s="3001">
        <v>40</v>
      </c>
      <c r="C42" s="2941" t="s">
        <v>1377</v>
      </c>
      <c r="D42" s="2941" t="s">
        <v>3944</v>
      </c>
      <c r="E42" s="3002" t="s">
        <v>3102</v>
      </c>
      <c r="F42" s="3003">
        <v>41.41</v>
      </c>
      <c r="G42" s="3004">
        <v>55266.38</v>
      </c>
      <c r="H42" s="3005">
        <f t="shared" si="0"/>
        <v>2288580.7957999995</v>
      </c>
      <c r="I42" s="2994">
        <f t="shared" si="1"/>
        <v>41450</v>
      </c>
    </row>
    <row r="43" spans="1:9" s="2994" customFormat="1" ht="15.95" customHeight="1">
      <c r="A43" s="3000" t="s">
        <v>3953</v>
      </c>
      <c r="B43" s="3001">
        <v>41</v>
      </c>
      <c r="C43" s="2941" t="s">
        <v>1377</v>
      </c>
      <c r="D43" s="2941" t="s">
        <v>3944</v>
      </c>
      <c r="E43" s="3002" t="s">
        <v>3103</v>
      </c>
      <c r="F43" s="3003">
        <v>40.770000000000003</v>
      </c>
      <c r="G43" s="3004">
        <v>53070.94</v>
      </c>
      <c r="H43" s="3005">
        <f t="shared" si="0"/>
        <v>2163702.2238000003</v>
      </c>
      <c r="I43" s="2994">
        <f t="shared" si="1"/>
        <v>39803</v>
      </c>
    </row>
    <row r="44" spans="1:9" s="2994" customFormat="1" ht="15.95" customHeight="1">
      <c r="A44" s="3000" t="s">
        <v>3953</v>
      </c>
      <c r="B44" s="3001">
        <v>42</v>
      </c>
      <c r="C44" s="2941" t="s">
        <v>1377</v>
      </c>
      <c r="D44" s="2941" t="s">
        <v>3944</v>
      </c>
      <c r="E44" s="3002" t="s">
        <v>3104</v>
      </c>
      <c r="F44" s="3003">
        <v>39.549999999999997</v>
      </c>
      <c r="G44" s="3004">
        <v>53619.8</v>
      </c>
      <c r="H44" s="3005">
        <f t="shared" si="0"/>
        <v>2120663.09</v>
      </c>
      <c r="I44" s="2994">
        <f t="shared" si="1"/>
        <v>40215</v>
      </c>
    </row>
    <row r="45" spans="1:9" s="2994" customFormat="1" ht="15.95" customHeight="1">
      <c r="A45" s="3000" t="s">
        <v>3953</v>
      </c>
      <c r="B45" s="3001">
        <v>43</v>
      </c>
      <c r="C45" s="2941" t="s">
        <v>1377</v>
      </c>
      <c r="D45" s="2941" t="s">
        <v>3944</v>
      </c>
      <c r="E45" s="3002" t="s">
        <v>3105</v>
      </c>
      <c r="F45" s="3003">
        <v>24.01</v>
      </c>
      <c r="G45" s="3004">
        <v>61852.73</v>
      </c>
      <c r="H45" s="3005">
        <f t="shared" si="0"/>
        <v>1485084.0473000002</v>
      </c>
      <c r="I45" s="2994">
        <f t="shared" si="1"/>
        <v>46390</v>
      </c>
    </row>
    <row r="46" spans="1:9" s="2994" customFormat="1" ht="15.95" customHeight="1">
      <c r="A46" s="3000" t="s">
        <v>3953</v>
      </c>
      <c r="B46" s="3001">
        <v>44</v>
      </c>
      <c r="C46" s="2941" t="s">
        <v>1377</v>
      </c>
      <c r="D46" s="2941" t="s">
        <v>3944</v>
      </c>
      <c r="E46" s="3002" t="s">
        <v>3106</v>
      </c>
      <c r="F46" s="3003">
        <v>23.94</v>
      </c>
      <c r="G46" s="3004">
        <v>61303.87</v>
      </c>
      <c r="H46" s="3005">
        <f t="shared" si="0"/>
        <v>1467614.6478000002</v>
      </c>
      <c r="I46" s="2994">
        <f t="shared" si="1"/>
        <v>45978</v>
      </c>
    </row>
    <row r="47" spans="1:9" s="2994" customFormat="1" ht="15.95" customHeight="1">
      <c r="A47" s="3000" t="s">
        <v>3954</v>
      </c>
      <c r="B47" s="3001">
        <v>45</v>
      </c>
      <c r="C47" s="2941" t="s">
        <v>1377</v>
      </c>
      <c r="D47" s="2941" t="s">
        <v>3944</v>
      </c>
      <c r="E47" s="3002" t="s">
        <v>3107</v>
      </c>
      <c r="F47" s="3003">
        <v>45.95</v>
      </c>
      <c r="G47" s="3004">
        <v>59855.48</v>
      </c>
      <c r="H47" s="3005">
        <f t="shared" si="0"/>
        <v>2750359.3060000003</v>
      </c>
      <c r="I47" s="2994">
        <f t="shared" si="1"/>
        <v>44892</v>
      </c>
    </row>
    <row r="48" spans="1:9" s="2994" customFormat="1" ht="15.95" customHeight="1">
      <c r="A48" s="3000" t="s">
        <v>3954</v>
      </c>
      <c r="B48" s="3001">
        <v>46</v>
      </c>
      <c r="C48" s="2941" t="s">
        <v>1377</v>
      </c>
      <c r="D48" s="2941" t="s">
        <v>3944</v>
      </c>
      <c r="E48" s="3002" t="s">
        <v>3108</v>
      </c>
      <c r="F48" s="3003">
        <v>47.14</v>
      </c>
      <c r="G48" s="3004">
        <v>61029.440000000002</v>
      </c>
      <c r="H48" s="3005">
        <f t="shared" si="0"/>
        <v>2876927.8016000004</v>
      </c>
      <c r="I48" s="2994">
        <f t="shared" si="1"/>
        <v>45772</v>
      </c>
    </row>
    <row r="49" spans="1:9" s="2994" customFormat="1" ht="15.95" customHeight="1">
      <c r="A49" s="3000" t="s">
        <v>3954</v>
      </c>
      <c r="B49" s="3001">
        <v>47</v>
      </c>
      <c r="C49" s="2941" t="s">
        <v>1377</v>
      </c>
      <c r="D49" s="2941" t="s">
        <v>3944</v>
      </c>
      <c r="E49" s="3002" t="s">
        <v>3109</v>
      </c>
      <c r="F49" s="3003">
        <v>46.03</v>
      </c>
      <c r="G49" s="3004">
        <v>61029.440000000002</v>
      </c>
      <c r="H49" s="3005">
        <f t="shared" si="0"/>
        <v>2809185.1232000003</v>
      </c>
      <c r="I49" s="2994">
        <f t="shared" si="1"/>
        <v>45772</v>
      </c>
    </row>
    <row r="50" spans="1:9" s="2994" customFormat="1" ht="15.95" customHeight="1">
      <c r="A50" s="3000" t="s">
        <v>3954</v>
      </c>
      <c r="B50" s="3001">
        <v>48</v>
      </c>
      <c r="C50" s="2941" t="s">
        <v>1377</v>
      </c>
      <c r="D50" s="2941" t="s">
        <v>3944</v>
      </c>
      <c r="E50" s="3002" t="s">
        <v>3110</v>
      </c>
      <c r="F50" s="3003">
        <v>46.03</v>
      </c>
      <c r="G50" s="3004">
        <v>59268.5</v>
      </c>
      <c r="H50" s="3005">
        <f t="shared" si="0"/>
        <v>2728129.0550000002</v>
      </c>
      <c r="I50" s="2994">
        <f t="shared" si="1"/>
        <v>44451</v>
      </c>
    </row>
    <row r="51" spans="1:9" s="2994" customFormat="1" ht="15.95" customHeight="1">
      <c r="A51" s="3000" t="s">
        <v>3954</v>
      </c>
      <c r="B51" s="3001">
        <v>49</v>
      </c>
      <c r="C51" s="2941" t="s">
        <v>1377</v>
      </c>
      <c r="D51" s="2941" t="s">
        <v>3944</v>
      </c>
      <c r="E51" s="3002" t="s">
        <v>3111</v>
      </c>
      <c r="F51" s="3003">
        <v>46.03</v>
      </c>
      <c r="G51" s="3004">
        <v>59855.48</v>
      </c>
      <c r="H51" s="3005">
        <f t="shared" si="0"/>
        <v>2755147.7444000002</v>
      </c>
      <c r="I51" s="2994">
        <f t="shared" si="1"/>
        <v>44892</v>
      </c>
    </row>
    <row r="52" spans="1:9" s="2994" customFormat="1" ht="15.95" customHeight="1">
      <c r="A52" s="3000" t="s">
        <v>3954</v>
      </c>
      <c r="B52" s="3001">
        <v>50</v>
      </c>
      <c r="C52" s="2941" t="s">
        <v>1377</v>
      </c>
      <c r="D52" s="2941" t="s">
        <v>3944</v>
      </c>
      <c r="E52" s="3002" t="s">
        <v>3112</v>
      </c>
      <c r="F52" s="3003">
        <v>45.95</v>
      </c>
      <c r="G52" s="3004">
        <v>59268.5</v>
      </c>
      <c r="H52" s="3005">
        <f t="shared" si="0"/>
        <v>2723387.5750000002</v>
      </c>
      <c r="I52" s="2994">
        <f t="shared" si="1"/>
        <v>44451</v>
      </c>
    </row>
    <row r="53" spans="1:9" s="2994" customFormat="1" ht="15.95" customHeight="1">
      <c r="A53" s="3000" t="s">
        <v>3954</v>
      </c>
      <c r="B53" s="3001">
        <v>51</v>
      </c>
      <c r="C53" s="2941" t="s">
        <v>1377</v>
      </c>
      <c r="D53" s="2941" t="s">
        <v>3944</v>
      </c>
      <c r="E53" s="3002" t="s">
        <v>3113</v>
      </c>
      <c r="F53" s="3003">
        <v>46.51</v>
      </c>
      <c r="G53" s="3004">
        <v>62790.37</v>
      </c>
      <c r="H53" s="3005">
        <f t="shared" si="0"/>
        <v>2920380.1087000002</v>
      </c>
      <c r="I53" s="2994">
        <f t="shared" si="1"/>
        <v>47093</v>
      </c>
    </row>
    <row r="54" spans="1:9" s="2994" customFormat="1" ht="15.95" customHeight="1">
      <c r="A54" s="3000" t="s">
        <v>3954</v>
      </c>
      <c r="B54" s="3001">
        <v>52</v>
      </c>
      <c r="C54" s="2941" t="s">
        <v>1377</v>
      </c>
      <c r="D54" s="2941" t="s">
        <v>3944</v>
      </c>
      <c r="E54" s="3002" t="s">
        <v>3114</v>
      </c>
      <c r="F54" s="3003">
        <v>46.03</v>
      </c>
      <c r="G54" s="3004">
        <v>61616.41</v>
      </c>
      <c r="H54" s="3005">
        <f t="shared" si="0"/>
        <v>2836203.3523000004</v>
      </c>
      <c r="I54" s="2994">
        <f t="shared" si="1"/>
        <v>46212</v>
      </c>
    </row>
    <row r="55" spans="1:9" s="2994" customFormat="1" ht="15.95" customHeight="1">
      <c r="A55" s="3000" t="s">
        <v>3954</v>
      </c>
      <c r="B55" s="3001">
        <v>53</v>
      </c>
      <c r="C55" s="2941" t="s">
        <v>1377</v>
      </c>
      <c r="D55" s="2941" t="s">
        <v>3944</v>
      </c>
      <c r="E55" s="3002" t="s">
        <v>3115</v>
      </c>
      <c r="F55" s="3003">
        <v>40.32</v>
      </c>
      <c r="G55" s="3004">
        <v>62203.39</v>
      </c>
      <c r="H55" s="3005">
        <f t="shared" si="0"/>
        <v>2508040.6847999999</v>
      </c>
      <c r="I55" s="2994">
        <f t="shared" si="1"/>
        <v>46653</v>
      </c>
    </row>
    <row r="56" spans="1:9" s="2994" customFormat="1" ht="15.95" customHeight="1">
      <c r="A56" s="3000" t="s">
        <v>3954</v>
      </c>
      <c r="B56" s="3001">
        <v>54</v>
      </c>
      <c r="C56" s="2941" t="s">
        <v>1377</v>
      </c>
      <c r="D56" s="2941" t="s">
        <v>3944</v>
      </c>
      <c r="E56" s="3002" t="s">
        <v>3116</v>
      </c>
      <c r="F56" s="3003">
        <v>39.33</v>
      </c>
      <c r="G56" s="3004">
        <v>62790.37</v>
      </c>
      <c r="H56" s="3005">
        <f t="shared" si="0"/>
        <v>2469545.2521000002</v>
      </c>
      <c r="I56" s="2994">
        <f t="shared" si="1"/>
        <v>47093</v>
      </c>
    </row>
    <row r="57" spans="1:9" s="2994" customFormat="1" ht="15.95" customHeight="1">
      <c r="A57" s="3000" t="s">
        <v>3954</v>
      </c>
      <c r="B57" s="3001">
        <v>55</v>
      </c>
      <c r="C57" s="2941" t="s">
        <v>1377</v>
      </c>
      <c r="D57" s="2941" t="s">
        <v>3944</v>
      </c>
      <c r="E57" s="3002" t="s">
        <v>3117</v>
      </c>
      <c r="F57" s="3003">
        <v>54.13</v>
      </c>
      <c r="G57" s="3004">
        <v>53070.94</v>
      </c>
      <c r="H57" s="3005">
        <f t="shared" si="0"/>
        <v>2872729.9822000004</v>
      </c>
      <c r="I57" s="2994">
        <f t="shared" si="1"/>
        <v>39803</v>
      </c>
    </row>
    <row r="58" spans="1:9" s="2994" customFormat="1" ht="15.95" customHeight="1">
      <c r="A58" s="3000" t="s">
        <v>3954</v>
      </c>
      <c r="B58" s="3001">
        <v>56</v>
      </c>
      <c r="C58" s="2941" t="s">
        <v>1377</v>
      </c>
      <c r="D58" s="2941" t="s">
        <v>3944</v>
      </c>
      <c r="E58" s="3002" t="s">
        <v>3118</v>
      </c>
      <c r="F58" s="3003">
        <v>53.4</v>
      </c>
      <c r="G58" s="3004">
        <v>51424.35</v>
      </c>
      <c r="H58" s="3005">
        <f t="shared" si="0"/>
        <v>2746060.29</v>
      </c>
      <c r="I58" s="2994">
        <f t="shared" si="1"/>
        <v>38568</v>
      </c>
    </row>
    <row r="59" spans="1:9" s="2994" customFormat="1" ht="15.95" customHeight="1">
      <c r="A59" s="3000" t="s">
        <v>3954</v>
      </c>
      <c r="B59" s="3001">
        <v>57</v>
      </c>
      <c r="C59" s="2941" t="s">
        <v>1377</v>
      </c>
      <c r="D59" s="2941" t="s">
        <v>3944</v>
      </c>
      <c r="E59" s="3002" t="s">
        <v>3119</v>
      </c>
      <c r="F59" s="3003">
        <v>54.53</v>
      </c>
      <c r="G59" s="3004">
        <v>52522.07</v>
      </c>
      <c r="H59" s="3005">
        <f t="shared" si="0"/>
        <v>2864028.4771000003</v>
      </c>
      <c r="I59" s="2994">
        <f t="shared" si="1"/>
        <v>39392</v>
      </c>
    </row>
    <row r="60" spans="1:9" s="2994" customFormat="1" ht="15.95" customHeight="1">
      <c r="A60" s="3000" t="s">
        <v>3954</v>
      </c>
      <c r="B60" s="3001">
        <v>58</v>
      </c>
      <c r="C60" s="2941" t="s">
        <v>1377</v>
      </c>
      <c r="D60" s="2941" t="s">
        <v>3944</v>
      </c>
      <c r="E60" s="3002" t="s">
        <v>3120</v>
      </c>
      <c r="F60" s="3003">
        <v>17.5</v>
      </c>
      <c r="G60" s="3004">
        <v>70634.52</v>
      </c>
      <c r="H60" s="3005">
        <f t="shared" si="0"/>
        <v>1236104.1000000001</v>
      </c>
      <c r="I60" s="2994">
        <f t="shared" si="1"/>
        <v>52976</v>
      </c>
    </row>
    <row r="61" spans="1:9" s="2994" customFormat="1" ht="15.95" customHeight="1">
      <c r="A61" s="3000" t="s">
        <v>3954</v>
      </c>
      <c r="B61" s="3001">
        <v>59</v>
      </c>
      <c r="C61" s="2941" t="s">
        <v>1377</v>
      </c>
      <c r="D61" s="2941" t="s">
        <v>3944</v>
      </c>
      <c r="E61" s="3002" t="s">
        <v>3121</v>
      </c>
      <c r="F61" s="3003">
        <v>54.54</v>
      </c>
      <c r="G61" s="3004">
        <v>53619.8</v>
      </c>
      <c r="H61" s="3005">
        <f t="shared" si="0"/>
        <v>2924423.892</v>
      </c>
      <c r="I61" s="2994">
        <f t="shared" si="1"/>
        <v>40215</v>
      </c>
    </row>
    <row r="62" spans="1:9" s="2994" customFormat="1" ht="15.95" customHeight="1">
      <c r="A62" s="3000" t="s">
        <v>3954</v>
      </c>
      <c r="B62" s="3001">
        <v>60</v>
      </c>
      <c r="C62" s="2941" t="s">
        <v>1377</v>
      </c>
      <c r="D62" s="2941" t="s">
        <v>3944</v>
      </c>
      <c r="E62" s="3002" t="s">
        <v>3122</v>
      </c>
      <c r="F62" s="3003">
        <v>53.47</v>
      </c>
      <c r="G62" s="3004">
        <v>52522.07</v>
      </c>
      <c r="H62" s="3005">
        <f t="shared" si="0"/>
        <v>2808355.0828999998</v>
      </c>
      <c r="I62" s="2994">
        <f t="shared" si="1"/>
        <v>39392</v>
      </c>
    </row>
    <row r="63" spans="1:9" s="2994" customFormat="1" ht="15.95" customHeight="1">
      <c r="A63" s="3000" t="s">
        <v>3954</v>
      </c>
      <c r="B63" s="3001">
        <v>61</v>
      </c>
      <c r="C63" s="2941" t="s">
        <v>1377</v>
      </c>
      <c r="D63" s="2941" t="s">
        <v>3944</v>
      </c>
      <c r="E63" s="3002" t="s">
        <v>3123</v>
      </c>
      <c r="F63" s="3003">
        <v>53.47</v>
      </c>
      <c r="G63" s="3004">
        <v>53070.94</v>
      </c>
      <c r="H63" s="3005">
        <f t="shared" si="0"/>
        <v>2837703.1617999999</v>
      </c>
      <c r="I63" s="2994">
        <f t="shared" si="1"/>
        <v>39803</v>
      </c>
    </row>
    <row r="64" spans="1:9" s="2994" customFormat="1" ht="15.95" customHeight="1">
      <c r="A64" s="3000" t="s">
        <v>3954</v>
      </c>
      <c r="B64" s="3001">
        <v>62</v>
      </c>
      <c r="C64" s="2941" t="s">
        <v>1377</v>
      </c>
      <c r="D64" s="2941" t="s">
        <v>3944</v>
      </c>
      <c r="E64" s="3002" t="s">
        <v>3124</v>
      </c>
      <c r="F64" s="3003">
        <v>53.4</v>
      </c>
      <c r="G64" s="3004">
        <v>52522.07</v>
      </c>
      <c r="H64" s="3005">
        <f t="shared" si="0"/>
        <v>2804678.5379999997</v>
      </c>
      <c r="I64" s="2994">
        <f t="shared" si="1"/>
        <v>39392</v>
      </c>
    </row>
    <row r="65" spans="1:9" s="2994" customFormat="1" ht="15.95" customHeight="1">
      <c r="A65" s="3000" t="s">
        <v>3954</v>
      </c>
      <c r="B65" s="3001">
        <v>63</v>
      </c>
      <c r="C65" s="2941" t="s">
        <v>1377</v>
      </c>
      <c r="D65" s="2941" t="s">
        <v>3944</v>
      </c>
      <c r="E65" s="3002" t="s">
        <v>3125</v>
      </c>
      <c r="F65" s="3003">
        <v>54.56</v>
      </c>
      <c r="G65" s="3004">
        <v>63377.34</v>
      </c>
      <c r="H65" s="3005">
        <f t="shared" si="0"/>
        <v>3457867.6704000002</v>
      </c>
      <c r="I65" s="2994">
        <f t="shared" si="1"/>
        <v>47533</v>
      </c>
    </row>
    <row r="66" spans="1:9" s="2994" customFormat="1" ht="15.95" customHeight="1">
      <c r="A66" s="3000" t="s">
        <v>3954</v>
      </c>
      <c r="B66" s="3001">
        <v>64</v>
      </c>
      <c r="C66" s="2941" t="s">
        <v>1377</v>
      </c>
      <c r="D66" s="2941" t="s">
        <v>3944</v>
      </c>
      <c r="E66" s="3002" t="s">
        <v>3126</v>
      </c>
      <c r="F66" s="3003">
        <v>56.29</v>
      </c>
      <c r="G66" s="3004">
        <v>61616.41</v>
      </c>
      <c r="H66" s="3005">
        <f t="shared" si="0"/>
        <v>3468387.7189000002</v>
      </c>
      <c r="I66" s="2994">
        <f t="shared" si="1"/>
        <v>46212</v>
      </c>
    </row>
    <row r="67" spans="1:9" s="2994" customFormat="1" ht="15.95" customHeight="1">
      <c r="A67" s="3000" t="s">
        <v>3954</v>
      </c>
      <c r="B67" s="3001">
        <v>65</v>
      </c>
      <c r="C67" s="2941" t="s">
        <v>1377</v>
      </c>
      <c r="D67" s="2941" t="s">
        <v>3944</v>
      </c>
      <c r="E67" s="3002" t="s">
        <v>3127</v>
      </c>
      <c r="F67" s="3003">
        <v>31.46</v>
      </c>
      <c r="G67" s="3004">
        <v>66312.23</v>
      </c>
      <c r="H67" s="3005">
        <v>2086183</v>
      </c>
      <c r="I67" s="2994">
        <f t="shared" si="1"/>
        <v>49734</v>
      </c>
    </row>
    <row r="68" spans="1:9" s="2994" customFormat="1" ht="15.95" customHeight="1">
      <c r="A68" s="3000" t="s">
        <v>3955</v>
      </c>
      <c r="B68" s="3001">
        <v>66</v>
      </c>
      <c r="C68" s="2941" t="s">
        <v>1377</v>
      </c>
      <c r="D68" s="2941" t="s">
        <v>3944</v>
      </c>
      <c r="E68" s="3002" t="s">
        <v>3128</v>
      </c>
      <c r="F68" s="3003">
        <v>59.61</v>
      </c>
      <c r="G68" s="3004">
        <v>54892.59</v>
      </c>
      <c r="H68" s="3005">
        <f t="shared" ref="H68:H87" si="5">G68*F68</f>
        <v>3272147.2898999997</v>
      </c>
      <c r="I68" s="2994">
        <f t="shared" ref="I68:I131" si="6">ROUND(G68*0.75,0)</f>
        <v>41169</v>
      </c>
    </row>
    <row r="69" spans="1:9" s="2994" customFormat="1" ht="15.95" customHeight="1">
      <c r="A69" s="3000" t="s">
        <v>3955</v>
      </c>
      <c r="B69" s="3001">
        <v>67</v>
      </c>
      <c r="C69" s="2941" t="s">
        <v>1377</v>
      </c>
      <c r="D69" s="2941" t="s">
        <v>3944</v>
      </c>
      <c r="E69" s="3002" t="s">
        <v>3129</v>
      </c>
      <c r="F69" s="3003">
        <v>59.61</v>
      </c>
      <c r="G69" s="3004">
        <v>55479.57</v>
      </c>
      <c r="H69" s="3005">
        <f t="shared" si="5"/>
        <v>3307137.1677000001</v>
      </c>
      <c r="I69" s="2994">
        <f t="shared" si="6"/>
        <v>41610</v>
      </c>
    </row>
    <row r="70" spans="1:9" s="2994" customFormat="1" ht="15.95" customHeight="1">
      <c r="A70" s="3000" t="s">
        <v>3955</v>
      </c>
      <c r="B70" s="3001">
        <v>68</v>
      </c>
      <c r="C70" s="2941" t="s">
        <v>1377</v>
      </c>
      <c r="D70" s="2941" t="s">
        <v>3944</v>
      </c>
      <c r="E70" s="3002" t="s">
        <v>3130</v>
      </c>
      <c r="F70" s="3003">
        <v>43.63</v>
      </c>
      <c r="G70" s="3004">
        <v>58414.46</v>
      </c>
      <c r="H70" s="3005">
        <f t="shared" si="5"/>
        <v>2548622.8898</v>
      </c>
      <c r="I70" s="2994">
        <f t="shared" si="6"/>
        <v>43811</v>
      </c>
    </row>
    <row r="71" spans="1:9" s="2994" customFormat="1" ht="15.95" customHeight="1">
      <c r="A71" s="3000" t="s">
        <v>3955</v>
      </c>
      <c r="B71" s="3001">
        <v>69</v>
      </c>
      <c r="C71" s="2941" t="s">
        <v>1377</v>
      </c>
      <c r="D71" s="2941" t="s">
        <v>3944</v>
      </c>
      <c r="E71" s="3002" t="s">
        <v>3131</v>
      </c>
      <c r="F71" s="3003">
        <v>49.61</v>
      </c>
      <c r="G71" s="3004">
        <v>60175.39</v>
      </c>
      <c r="H71" s="3005">
        <f t="shared" si="5"/>
        <v>2985301.0978999999</v>
      </c>
      <c r="I71" s="2994">
        <f t="shared" si="6"/>
        <v>45132</v>
      </c>
    </row>
    <row r="72" spans="1:9" s="2994" customFormat="1" ht="15.95" customHeight="1">
      <c r="A72" s="3000" t="s">
        <v>3955</v>
      </c>
      <c r="B72" s="3001">
        <v>70</v>
      </c>
      <c r="C72" s="2941" t="s">
        <v>1377</v>
      </c>
      <c r="D72" s="2941" t="s">
        <v>3944</v>
      </c>
      <c r="E72" s="3002" t="s">
        <v>3132</v>
      </c>
      <c r="F72" s="3003">
        <v>45.15</v>
      </c>
      <c r="G72" s="3004">
        <v>59588.41</v>
      </c>
      <c r="H72" s="3005">
        <f t="shared" si="5"/>
        <v>2690416.7115000002</v>
      </c>
      <c r="I72" s="2994">
        <f t="shared" si="6"/>
        <v>44691</v>
      </c>
    </row>
    <row r="73" spans="1:9" s="2994" customFormat="1" ht="15.95" customHeight="1">
      <c r="A73" s="3000" t="s">
        <v>3955</v>
      </c>
      <c r="B73" s="3001">
        <v>71</v>
      </c>
      <c r="C73" s="2941" t="s">
        <v>1377</v>
      </c>
      <c r="D73" s="2941" t="s">
        <v>3944</v>
      </c>
      <c r="E73" s="3002" t="s">
        <v>3133</v>
      </c>
      <c r="F73" s="3003">
        <v>45.15</v>
      </c>
      <c r="G73" s="3004">
        <v>59001.43</v>
      </c>
      <c r="H73" s="3005">
        <f t="shared" si="5"/>
        <v>2663914.5644999999</v>
      </c>
      <c r="I73" s="2994">
        <f t="shared" si="6"/>
        <v>44251</v>
      </c>
    </row>
    <row r="74" spans="1:9" s="2994" customFormat="1" ht="15.95" customHeight="1">
      <c r="A74" s="3000" t="s">
        <v>3955</v>
      </c>
      <c r="B74" s="3001">
        <v>72</v>
      </c>
      <c r="C74" s="2941" t="s">
        <v>1377</v>
      </c>
      <c r="D74" s="2941" t="s">
        <v>3944</v>
      </c>
      <c r="E74" s="3002" t="s">
        <v>3134</v>
      </c>
      <c r="F74" s="3003">
        <v>42.93</v>
      </c>
      <c r="G74" s="3004">
        <v>59001.43</v>
      </c>
      <c r="H74" s="3005">
        <f t="shared" si="5"/>
        <v>2532931.3898999998</v>
      </c>
      <c r="I74" s="2994">
        <f t="shared" si="6"/>
        <v>44251</v>
      </c>
    </row>
    <row r="75" spans="1:9" s="2994" customFormat="1" ht="15.95" customHeight="1">
      <c r="A75" s="3000" t="s">
        <v>3955</v>
      </c>
      <c r="B75" s="3001">
        <v>73</v>
      </c>
      <c r="C75" s="2941" t="s">
        <v>1377</v>
      </c>
      <c r="D75" s="2941" t="s">
        <v>3944</v>
      </c>
      <c r="E75" s="3002" t="s">
        <v>3135</v>
      </c>
      <c r="F75" s="3003">
        <v>42.08</v>
      </c>
      <c r="G75" s="3004">
        <v>56364.11</v>
      </c>
      <c r="H75" s="3005">
        <f t="shared" si="5"/>
        <v>2371801.7487999997</v>
      </c>
      <c r="I75" s="2994">
        <f t="shared" si="6"/>
        <v>42273</v>
      </c>
    </row>
    <row r="76" spans="1:9" s="2994" customFormat="1" ht="15.95" customHeight="1">
      <c r="A76" s="3000" t="s">
        <v>3955</v>
      </c>
      <c r="B76" s="3001">
        <v>74</v>
      </c>
      <c r="C76" s="2941" t="s">
        <v>1377</v>
      </c>
      <c r="D76" s="2941" t="s">
        <v>3944</v>
      </c>
      <c r="E76" s="3002" t="s">
        <v>3136</v>
      </c>
      <c r="F76" s="3003">
        <v>42.08</v>
      </c>
      <c r="G76" s="3004">
        <v>56912.97</v>
      </c>
      <c r="H76" s="3005">
        <f t="shared" si="5"/>
        <v>2394897.7776000001</v>
      </c>
      <c r="I76" s="2994">
        <f t="shared" si="6"/>
        <v>42685</v>
      </c>
    </row>
    <row r="77" spans="1:9" s="2994" customFormat="1" ht="15.95" customHeight="1">
      <c r="A77" s="3000" t="s">
        <v>3955</v>
      </c>
      <c r="B77" s="3001">
        <v>75</v>
      </c>
      <c r="C77" s="2941" t="s">
        <v>1377</v>
      </c>
      <c r="D77" s="2941" t="s">
        <v>3944</v>
      </c>
      <c r="E77" s="3002" t="s">
        <v>3137</v>
      </c>
      <c r="F77" s="3003">
        <v>61.36</v>
      </c>
      <c r="G77" s="3004">
        <v>54168.66</v>
      </c>
      <c r="H77" s="3005">
        <f t="shared" si="5"/>
        <v>3323788.9776000003</v>
      </c>
      <c r="I77" s="2994">
        <f t="shared" si="6"/>
        <v>40626</v>
      </c>
    </row>
    <row r="78" spans="1:9" s="2994" customFormat="1" ht="15.95" customHeight="1">
      <c r="A78" s="3000" t="s">
        <v>3955</v>
      </c>
      <c r="B78" s="3001">
        <v>76</v>
      </c>
      <c r="C78" s="2941" t="s">
        <v>1377</v>
      </c>
      <c r="D78" s="2941" t="s">
        <v>3944</v>
      </c>
      <c r="E78" s="3002" t="s">
        <v>3138</v>
      </c>
      <c r="F78" s="3003">
        <v>60.42</v>
      </c>
      <c r="G78" s="3004">
        <v>51973.21</v>
      </c>
      <c r="H78" s="3005">
        <f t="shared" si="5"/>
        <v>3140221.3481999999</v>
      </c>
      <c r="I78" s="2994">
        <f t="shared" si="6"/>
        <v>38980</v>
      </c>
    </row>
    <row r="79" spans="1:9" s="2994" customFormat="1" ht="15.95" customHeight="1">
      <c r="A79" s="3000" t="s">
        <v>3955</v>
      </c>
      <c r="B79" s="3001">
        <v>77</v>
      </c>
      <c r="C79" s="2941" t="s">
        <v>1377</v>
      </c>
      <c r="D79" s="2941" t="s">
        <v>3944</v>
      </c>
      <c r="E79" s="3002" t="s">
        <v>3139</v>
      </c>
      <c r="F79" s="3003">
        <v>60.49</v>
      </c>
      <c r="G79" s="3004">
        <v>53619.8</v>
      </c>
      <c r="H79" s="3005">
        <f t="shared" si="5"/>
        <v>3243461.7020000005</v>
      </c>
      <c r="I79" s="2994">
        <f t="shared" si="6"/>
        <v>40215</v>
      </c>
    </row>
    <row r="80" spans="1:9" s="2994" customFormat="1" ht="15.95" customHeight="1">
      <c r="A80" s="3000" t="s">
        <v>3955</v>
      </c>
      <c r="B80" s="3001">
        <v>78</v>
      </c>
      <c r="C80" s="2941" t="s">
        <v>1377</v>
      </c>
      <c r="D80" s="2941" t="s">
        <v>3944</v>
      </c>
      <c r="E80" s="3002" t="s">
        <v>3140</v>
      </c>
      <c r="F80" s="3003">
        <v>68.63</v>
      </c>
      <c r="G80" s="3004">
        <v>57461.83</v>
      </c>
      <c r="H80" s="3005">
        <f t="shared" si="5"/>
        <v>3943605.3928999999</v>
      </c>
      <c r="I80" s="2994">
        <f t="shared" si="6"/>
        <v>43096</v>
      </c>
    </row>
    <row r="81" spans="1:9" s="2994" customFormat="1" ht="15.95" customHeight="1">
      <c r="A81" s="3000" t="s">
        <v>3955</v>
      </c>
      <c r="B81" s="3001">
        <v>79</v>
      </c>
      <c r="C81" s="2941" t="s">
        <v>1377</v>
      </c>
      <c r="D81" s="2941" t="s">
        <v>3944</v>
      </c>
      <c r="E81" s="3002" t="s">
        <v>3141</v>
      </c>
      <c r="F81" s="3003">
        <v>36.03</v>
      </c>
      <c r="G81" s="3004">
        <v>61417.95</v>
      </c>
      <c r="H81" s="3005">
        <f t="shared" si="5"/>
        <v>2212888.7385</v>
      </c>
      <c r="I81" s="2994">
        <f t="shared" si="6"/>
        <v>46063</v>
      </c>
    </row>
    <row r="82" spans="1:9" s="2994" customFormat="1" ht="15.95" customHeight="1">
      <c r="A82" s="3000" t="s">
        <v>3955</v>
      </c>
      <c r="B82" s="3001">
        <v>80</v>
      </c>
      <c r="C82" s="2941" t="s">
        <v>1377</v>
      </c>
      <c r="D82" s="2941" t="s">
        <v>3944</v>
      </c>
      <c r="E82" s="3002" t="s">
        <v>3142</v>
      </c>
      <c r="F82" s="3003">
        <v>50.5</v>
      </c>
      <c r="G82" s="3004">
        <v>56844.1</v>
      </c>
      <c r="H82" s="3005">
        <f t="shared" si="5"/>
        <v>2870627.05</v>
      </c>
      <c r="I82" s="2994">
        <f t="shared" si="6"/>
        <v>42633</v>
      </c>
    </row>
    <row r="83" spans="1:9" s="2994" customFormat="1" ht="15.95" customHeight="1">
      <c r="A83" s="3000" t="s">
        <v>3955</v>
      </c>
      <c r="B83" s="3001">
        <v>81</v>
      </c>
      <c r="C83" s="2941" t="s">
        <v>1377</v>
      </c>
      <c r="D83" s="2941" t="s">
        <v>3944</v>
      </c>
      <c r="E83" s="3002" t="s">
        <v>3143</v>
      </c>
      <c r="F83" s="3003">
        <v>50.5</v>
      </c>
      <c r="G83" s="3004">
        <v>56844.1</v>
      </c>
      <c r="H83" s="3005">
        <f t="shared" si="5"/>
        <v>2870627.05</v>
      </c>
      <c r="I83" s="2994">
        <f t="shared" si="6"/>
        <v>42633</v>
      </c>
    </row>
    <row r="84" spans="1:9" s="2994" customFormat="1" ht="15.95" customHeight="1">
      <c r="A84" s="3000" t="s">
        <v>3955</v>
      </c>
      <c r="B84" s="3001">
        <v>82</v>
      </c>
      <c r="C84" s="2941" t="s">
        <v>1377</v>
      </c>
      <c r="D84" s="2941" t="s">
        <v>3944</v>
      </c>
      <c r="E84" s="3002" t="s">
        <v>3144</v>
      </c>
      <c r="F84" s="3003">
        <v>65.650000000000006</v>
      </c>
      <c r="G84" s="3004">
        <v>53413.71</v>
      </c>
      <c r="H84" s="3005">
        <f t="shared" si="5"/>
        <v>3506610.0615000003</v>
      </c>
      <c r="I84" s="2994">
        <f t="shared" si="6"/>
        <v>40060</v>
      </c>
    </row>
    <row r="85" spans="1:9" s="2994" customFormat="1" ht="15.95" customHeight="1">
      <c r="A85" s="3000" t="s">
        <v>3955</v>
      </c>
      <c r="B85" s="3001">
        <v>83</v>
      </c>
      <c r="C85" s="2941" t="s">
        <v>1377</v>
      </c>
      <c r="D85" s="2941" t="s">
        <v>3944</v>
      </c>
      <c r="E85" s="3002" t="s">
        <v>3145</v>
      </c>
      <c r="F85" s="3003">
        <v>106.77</v>
      </c>
      <c r="G85" s="3004">
        <v>54237.27</v>
      </c>
      <c r="H85" s="3005">
        <f t="shared" si="5"/>
        <v>5790913.3178999992</v>
      </c>
      <c r="I85" s="2994">
        <f t="shared" si="6"/>
        <v>40678</v>
      </c>
    </row>
    <row r="86" spans="1:9" s="2994" customFormat="1" ht="15.95" customHeight="1">
      <c r="A86" s="3000" t="s">
        <v>3955</v>
      </c>
      <c r="B86" s="3001">
        <v>84</v>
      </c>
      <c r="C86" s="2941" t="s">
        <v>1377</v>
      </c>
      <c r="D86" s="2941" t="s">
        <v>3944</v>
      </c>
      <c r="E86" s="3002" t="s">
        <v>3146</v>
      </c>
      <c r="F86" s="3003">
        <v>32.79</v>
      </c>
      <c r="G86" s="3004">
        <v>58239.39</v>
      </c>
      <c r="H86" s="3005">
        <f t="shared" si="5"/>
        <v>1909669.5980999998</v>
      </c>
      <c r="I86" s="2994">
        <f t="shared" si="6"/>
        <v>43680</v>
      </c>
    </row>
    <row r="87" spans="1:9" s="2994" customFormat="1" ht="15.95" customHeight="1">
      <c r="A87" s="3000" t="s">
        <v>3955</v>
      </c>
      <c r="B87" s="3001">
        <v>85</v>
      </c>
      <c r="C87" s="2941" t="s">
        <v>1377</v>
      </c>
      <c r="D87" s="2941" t="s">
        <v>3944</v>
      </c>
      <c r="E87" s="3002" t="s">
        <v>3147</v>
      </c>
      <c r="F87" s="3003">
        <v>102.89</v>
      </c>
      <c r="G87" s="3004">
        <v>60526.31</v>
      </c>
      <c r="H87" s="3005">
        <f t="shared" si="5"/>
        <v>6227552.0358999996</v>
      </c>
      <c r="I87" s="2994">
        <f t="shared" si="6"/>
        <v>45395</v>
      </c>
    </row>
    <row r="88" spans="1:9" s="2994" customFormat="1" ht="15.95" customHeight="1">
      <c r="A88" s="3000" t="s">
        <v>3943</v>
      </c>
      <c r="B88" s="3001">
        <v>86</v>
      </c>
      <c r="C88" s="2941" t="s">
        <v>1377</v>
      </c>
      <c r="D88" s="2941" t="s">
        <v>3956</v>
      </c>
      <c r="E88" s="3002" t="s">
        <v>3148</v>
      </c>
      <c r="F88" s="3003">
        <v>67.739999999999995</v>
      </c>
      <c r="G88" s="3004">
        <f t="shared" ref="G88:G151" si="7">ROUND(H88/F88,2)</f>
        <v>26858.74</v>
      </c>
      <c r="H88" s="3005">
        <v>1819411</v>
      </c>
      <c r="I88" s="2994">
        <f t="shared" si="6"/>
        <v>20144</v>
      </c>
    </row>
    <row r="89" spans="1:9" s="2994" customFormat="1" ht="15.95" customHeight="1">
      <c r="A89" s="3000" t="s">
        <v>3943</v>
      </c>
      <c r="B89" s="3001">
        <v>87</v>
      </c>
      <c r="C89" s="2941" t="s">
        <v>1377</v>
      </c>
      <c r="D89" s="2941" t="s">
        <v>3956</v>
      </c>
      <c r="E89" s="3002" t="s">
        <v>3149</v>
      </c>
      <c r="F89" s="3003">
        <v>53.24</v>
      </c>
      <c r="G89" s="3004">
        <f t="shared" si="7"/>
        <v>25415.82</v>
      </c>
      <c r="H89" s="3005">
        <v>1353138</v>
      </c>
      <c r="I89" s="2994">
        <f t="shared" si="6"/>
        <v>19062</v>
      </c>
    </row>
    <row r="90" spans="1:9" s="2994" customFormat="1" ht="15.95" customHeight="1">
      <c r="A90" s="3000" t="s">
        <v>3943</v>
      </c>
      <c r="B90" s="3001">
        <v>88</v>
      </c>
      <c r="C90" s="2941" t="s">
        <v>1377</v>
      </c>
      <c r="D90" s="2941" t="s">
        <v>3956</v>
      </c>
      <c r="E90" s="3002" t="s">
        <v>3150</v>
      </c>
      <c r="F90" s="3003">
        <v>105.17</v>
      </c>
      <c r="G90" s="3004">
        <f t="shared" si="7"/>
        <v>24033.41</v>
      </c>
      <c r="H90" s="3005">
        <v>2527594</v>
      </c>
      <c r="I90" s="2994">
        <f t="shared" si="6"/>
        <v>18025</v>
      </c>
    </row>
    <row r="91" spans="1:9" s="2994" customFormat="1" ht="15.95" customHeight="1">
      <c r="A91" s="3000" t="s">
        <v>3943</v>
      </c>
      <c r="B91" s="3001">
        <v>89</v>
      </c>
      <c r="C91" s="2941" t="s">
        <v>1377</v>
      </c>
      <c r="D91" s="2941" t="s">
        <v>3956</v>
      </c>
      <c r="E91" s="3002" t="s">
        <v>3151</v>
      </c>
      <c r="F91" s="3003">
        <v>98.7</v>
      </c>
      <c r="G91" s="3004">
        <f t="shared" si="7"/>
        <v>26004.45</v>
      </c>
      <c r="H91" s="3005">
        <v>2566639</v>
      </c>
      <c r="I91" s="2994">
        <f t="shared" si="6"/>
        <v>19503</v>
      </c>
    </row>
    <row r="92" spans="1:9" s="2994" customFormat="1" ht="15.95" customHeight="1">
      <c r="A92" s="3000" t="s">
        <v>3943</v>
      </c>
      <c r="B92" s="3001">
        <v>90</v>
      </c>
      <c r="C92" s="2941" t="s">
        <v>1377</v>
      </c>
      <c r="D92" s="2941" t="s">
        <v>3956</v>
      </c>
      <c r="E92" s="3002" t="s">
        <v>3152</v>
      </c>
      <c r="F92" s="3003">
        <v>130.77000000000001</v>
      </c>
      <c r="G92" s="3004">
        <f t="shared" si="7"/>
        <v>22364.02</v>
      </c>
      <c r="H92" s="3005">
        <v>2924543</v>
      </c>
      <c r="I92" s="2994">
        <f t="shared" si="6"/>
        <v>16773</v>
      </c>
    </row>
    <row r="93" spans="1:9" s="2994" customFormat="1" ht="15.95" customHeight="1">
      <c r="A93" s="3000" t="s">
        <v>3943</v>
      </c>
      <c r="B93" s="3001">
        <v>91</v>
      </c>
      <c r="C93" s="2941" t="s">
        <v>1377</v>
      </c>
      <c r="D93" s="2941" t="s">
        <v>3956</v>
      </c>
      <c r="E93" s="3002" t="s">
        <v>3153</v>
      </c>
      <c r="F93" s="3003">
        <v>61.85</v>
      </c>
      <c r="G93" s="3004">
        <f t="shared" si="7"/>
        <v>25145.89</v>
      </c>
      <c r="H93" s="3005">
        <v>1555273</v>
      </c>
      <c r="I93" s="2994">
        <f t="shared" si="6"/>
        <v>18859</v>
      </c>
    </row>
    <row r="94" spans="1:9" s="2994" customFormat="1" ht="15.95" customHeight="1">
      <c r="A94" s="3000" t="s">
        <v>3943</v>
      </c>
      <c r="B94" s="3001">
        <v>92</v>
      </c>
      <c r="C94" s="2941" t="s">
        <v>1377</v>
      </c>
      <c r="D94" s="2941" t="s">
        <v>3956</v>
      </c>
      <c r="E94" s="3002" t="s">
        <v>3154</v>
      </c>
      <c r="F94" s="3003">
        <v>55.48</v>
      </c>
      <c r="G94" s="3004">
        <f t="shared" si="7"/>
        <v>24856.6</v>
      </c>
      <c r="H94" s="3005">
        <v>1379044</v>
      </c>
      <c r="I94" s="2994">
        <f t="shared" si="6"/>
        <v>18642</v>
      </c>
    </row>
    <row r="95" spans="1:9" s="2994" customFormat="1" ht="15.95" customHeight="1">
      <c r="A95" s="3000" t="s">
        <v>3943</v>
      </c>
      <c r="B95" s="3001">
        <v>93</v>
      </c>
      <c r="C95" s="2941" t="s">
        <v>1377</v>
      </c>
      <c r="D95" s="2941" t="s">
        <v>3956</v>
      </c>
      <c r="E95" s="3002" t="s">
        <v>3155</v>
      </c>
      <c r="F95" s="3003">
        <v>49.11</v>
      </c>
      <c r="G95" s="3004">
        <f t="shared" si="7"/>
        <v>25556.2</v>
      </c>
      <c r="H95" s="3005">
        <v>1255065</v>
      </c>
      <c r="I95" s="2994">
        <f t="shared" si="6"/>
        <v>19167</v>
      </c>
    </row>
    <row r="96" spans="1:9" s="2994" customFormat="1" ht="15.95" customHeight="1">
      <c r="A96" s="3000" t="s">
        <v>3943</v>
      </c>
      <c r="B96" s="3001">
        <v>94</v>
      </c>
      <c r="C96" s="2941" t="s">
        <v>1377</v>
      </c>
      <c r="D96" s="2941" t="s">
        <v>3956</v>
      </c>
      <c r="E96" s="3002" t="s">
        <v>3156</v>
      </c>
      <c r="F96" s="3003">
        <v>96.83</v>
      </c>
      <c r="G96" s="3004">
        <f t="shared" si="7"/>
        <v>23288.1</v>
      </c>
      <c r="H96" s="3005">
        <v>2254987</v>
      </c>
      <c r="I96" s="2994">
        <f t="shared" si="6"/>
        <v>17466</v>
      </c>
    </row>
    <row r="97" spans="1:9" s="2994" customFormat="1" ht="15.95" customHeight="1">
      <c r="A97" s="3000" t="s">
        <v>3943</v>
      </c>
      <c r="B97" s="3001">
        <v>95</v>
      </c>
      <c r="C97" s="2941" t="s">
        <v>1377</v>
      </c>
      <c r="D97" s="2941" t="s">
        <v>3956</v>
      </c>
      <c r="E97" s="3002" t="s">
        <v>3157</v>
      </c>
      <c r="F97" s="3003">
        <v>96.83</v>
      </c>
      <c r="G97" s="3004">
        <f t="shared" si="7"/>
        <v>24593.83</v>
      </c>
      <c r="H97" s="3005">
        <v>2381421</v>
      </c>
      <c r="I97" s="2994">
        <f t="shared" si="6"/>
        <v>18445</v>
      </c>
    </row>
    <row r="98" spans="1:9" s="2994" customFormat="1" ht="15.95" customHeight="1">
      <c r="A98" s="3000" t="s">
        <v>3943</v>
      </c>
      <c r="B98" s="3001">
        <v>96</v>
      </c>
      <c r="C98" s="2941" t="s">
        <v>1377</v>
      </c>
      <c r="D98" s="2941" t="s">
        <v>3956</v>
      </c>
      <c r="E98" s="3002" t="s">
        <v>3158</v>
      </c>
      <c r="F98" s="3003">
        <v>95.92</v>
      </c>
      <c r="G98" s="3004">
        <f t="shared" si="7"/>
        <v>25357.46</v>
      </c>
      <c r="H98" s="3005">
        <v>2432288</v>
      </c>
      <c r="I98" s="2994">
        <f t="shared" si="6"/>
        <v>19018</v>
      </c>
    </row>
    <row r="99" spans="1:9" s="2994" customFormat="1" ht="15.95" customHeight="1">
      <c r="A99" s="3000" t="s">
        <v>3943</v>
      </c>
      <c r="B99" s="3001">
        <v>97</v>
      </c>
      <c r="C99" s="2941" t="s">
        <v>1377</v>
      </c>
      <c r="D99" s="2941" t="s">
        <v>3956</v>
      </c>
      <c r="E99" s="3002" t="s">
        <v>3159</v>
      </c>
      <c r="F99" s="3003">
        <v>96.83</v>
      </c>
      <c r="G99" s="3004">
        <f t="shared" si="7"/>
        <v>23832.16</v>
      </c>
      <c r="H99" s="3005">
        <v>2307668</v>
      </c>
      <c r="I99" s="2994">
        <f t="shared" si="6"/>
        <v>17874</v>
      </c>
    </row>
    <row r="100" spans="1:9" s="2994" customFormat="1" ht="15.95" customHeight="1">
      <c r="A100" s="3000" t="s">
        <v>3943</v>
      </c>
      <c r="B100" s="3001">
        <v>98</v>
      </c>
      <c r="C100" s="2941" t="s">
        <v>1377</v>
      </c>
      <c r="D100" s="2941" t="s">
        <v>3956</v>
      </c>
      <c r="E100" s="3002" t="s">
        <v>3160</v>
      </c>
      <c r="F100" s="3003">
        <v>96.83</v>
      </c>
      <c r="G100" s="3004">
        <f t="shared" si="7"/>
        <v>24158.6</v>
      </c>
      <c r="H100" s="3005">
        <v>2339277</v>
      </c>
      <c r="I100" s="2994">
        <f t="shared" si="6"/>
        <v>18119</v>
      </c>
    </row>
    <row r="101" spans="1:9" s="2994" customFormat="1" ht="15.95" customHeight="1">
      <c r="A101" s="3000" t="s">
        <v>3943</v>
      </c>
      <c r="B101" s="3001">
        <v>99</v>
      </c>
      <c r="C101" s="2941" t="s">
        <v>1377</v>
      </c>
      <c r="D101" s="2941" t="s">
        <v>3956</v>
      </c>
      <c r="E101" s="3002" t="s">
        <v>3161</v>
      </c>
      <c r="F101" s="3003">
        <v>96.71</v>
      </c>
      <c r="G101" s="3004">
        <f t="shared" si="7"/>
        <v>23941.25</v>
      </c>
      <c r="H101" s="3005">
        <v>2315358</v>
      </c>
      <c r="I101" s="2994">
        <f t="shared" si="6"/>
        <v>17956</v>
      </c>
    </row>
    <row r="102" spans="1:9" s="2994" customFormat="1" ht="15.95" customHeight="1">
      <c r="A102" s="3000" t="s">
        <v>3943</v>
      </c>
      <c r="B102" s="3001">
        <v>100</v>
      </c>
      <c r="C102" s="2941" t="s">
        <v>1377</v>
      </c>
      <c r="D102" s="2941" t="s">
        <v>3956</v>
      </c>
      <c r="E102" s="3002" t="s">
        <v>3162</v>
      </c>
      <c r="F102" s="3003">
        <v>96.07</v>
      </c>
      <c r="G102" s="3004">
        <f t="shared" si="7"/>
        <v>26880.48</v>
      </c>
      <c r="H102" s="3005">
        <v>2582408</v>
      </c>
      <c r="I102" s="2994">
        <f t="shared" si="6"/>
        <v>20160</v>
      </c>
    </row>
    <row r="103" spans="1:9" s="2994" customFormat="1" ht="15.95" customHeight="1">
      <c r="A103" s="3000" t="s">
        <v>3943</v>
      </c>
      <c r="B103" s="3001">
        <v>101</v>
      </c>
      <c r="C103" s="2941" t="s">
        <v>1377</v>
      </c>
      <c r="D103" s="2941" t="s">
        <v>3956</v>
      </c>
      <c r="E103" s="3002" t="s">
        <v>3163</v>
      </c>
      <c r="F103" s="3003">
        <v>64.55</v>
      </c>
      <c r="G103" s="3004">
        <f t="shared" si="7"/>
        <v>25894.04</v>
      </c>
      <c r="H103" s="3005">
        <v>1671460</v>
      </c>
      <c r="I103" s="2994">
        <f t="shared" si="6"/>
        <v>19421</v>
      </c>
    </row>
    <row r="104" spans="1:9" s="2994" customFormat="1" ht="15.95" customHeight="1">
      <c r="A104" s="3000" t="s">
        <v>3943</v>
      </c>
      <c r="B104" s="3001">
        <v>102</v>
      </c>
      <c r="C104" s="2941" t="s">
        <v>1377</v>
      </c>
      <c r="D104" s="2941" t="s">
        <v>3956</v>
      </c>
      <c r="E104" s="3002" t="s">
        <v>3164</v>
      </c>
      <c r="F104" s="3003">
        <v>64.55</v>
      </c>
      <c r="G104" s="3004">
        <f t="shared" si="7"/>
        <v>26220.48</v>
      </c>
      <c r="H104" s="3005">
        <v>1692532</v>
      </c>
      <c r="I104" s="2994">
        <f t="shared" si="6"/>
        <v>19665</v>
      </c>
    </row>
    <row r="105" spans="1:9" s="2994" customFormat="1" ht="15.95" customHeight="1">
      <c r="A105" s="3000" t="s">
        <v>3943</v>
      </c>
      <c r="B105" s="3001">
        <v>103</v>
      </c>
      <c r="C105" s="2941" t="s">
        <v>1377</v>
      </c>
      <c r="D105" s="2941" t="s">
        <v>3956</v>
      </c>
      <c r="E105" s="3002" t="s">
        <v>3165</v>
      </c>
      <c r="F105" s="3003">
        <v>31.08</v>
      </c>
      <c r="G105" s="3004">
        <f t="shared" si="7"/>
        <v>33735.620000000003</v>
      </c>
      <c r="H105" s="3005">
        <v>1048503</v>
      </c>
      <c r="I105" s="2994">
        <f t="shared" si="6"/>
        <v>25302</v>
      </c>
    </row>
    <row r="106" spans="1:9" s="2994" customFormat="1" ht="15.95" customHeight="1">
      <c r="A106" s="3000" t="s">
        <v>3943</v>
      </c>
      <c r="B106" s="3001">
        <v>104</v>
      </c>
      <c r="C106" s="2941" t="s">
        <v>1377</v>
      </c>
      <c r="D106" s="2941" t="s">
        <v>3956</v>
      </c>
      <c r="E106" s="3002" t="s">
        <v>3166</v>
      </c>
      <c r="F106" s="3003">
        <v>117.22</v>
      </c>
      <c r="G106" s="3004">
        <f t="shared" si="7"/>
        <v>24340.29</v>
      </c>
      <c r="H106" s="3005">
        <v>2853169</v>
      </c>
      <c r="I106" s="2994">
        <f t="shared" si="6"/>
        <v>18255</v>
      </c>
    </row>
    <row r="107" spans="1:9" s="2994" customFormat="1" ht="15.95" customHeight="1">
      <c r="A107" s="3000" t="s">
        <v>3943</v>
      </c>
      <c r="B107" s="3001">
        <v>105</v>
      </c>
      <c r="C107" s="2941" t="s">
        <v>1377</v>
      </c>
      <c r="D107" s="2941" t="s">
        <v>3956</v>
      </c>
      <c r="E107" s="3002" t="s">
        <v>3167</v>
      </c>
      <c r="F107" s="3003">
        <v>80.87</v>
      </c>
      <c r="G107" s="3004">
        <f t="shared" si="7"/>
        <v>26702</v>
      </c>
      <c r="H107" s="3005">
        <v>2159391</v>
      </c>
      <c r="I107" s="2994">
        <f t="shared" si="6"/>
        <v>20027</v>
      </c>
    </row>
    <row r="108" spans="1:9" s="2994" customFormat="1" ht="15.95" customHeight="1">
      <c r="A108" s="3000" t="s">
        <v>3943</v>
      </c>
      <c r="B108" s="3001">
        <v>106</v>
      </c>
      <c r="C108" s="2941" t="s">
        <v>1377</v>
      </c>
      <c r="D108" s="2941" t="s">
        <v>3956</v>
      </c>
      <c r="E108" s="3002" t="s">
        <v>3168</v>
      </c>
      <c r="F108" s="3003">
        <v>61.68</v>
      </c>
      <c r="G108" s="3004">
        <f t="shared" si="7"/>
        <v>24929.15</v>
      </c>
      <c r="H108" s="3005">
        <v>1537630</v>
      </c>
      <c r="I108" s="2994">
        <f t="shared" si="6"/>
        <v>18697</v>
      </c>
    </row>
    <row r="109" spans="1:9" s="2994" customFormat="1" ht="15.95" customHeight="1">
      <c r="A109" s="3000" t="s">
        <v>3943</v>
      </c>
      <c r="B109" s="3001">
        <v>107</v>
      </c>
      <c r="C109" s="2941" t="s">
        <v>1377</v>
      </c>
      <c r="D109" s="2941" t="s">
        <v>3956</v>
      </c>
      <c r="E109" s="3002" t="s">
        <v>3169</v>
      </c>
      <c r="F109" s="3003">
        <v>58.63</v>
      </c>
      <c r="G109" s="3004">
        <f t="shared" si="7"/>
        <v>25925.33</v>
      </c>
      <c r="H109" s="3005">
        <v>1520002</v>
      </c>
      <c r="I109" s="2994">
        <f t="shared" si="6"/>
        <v>19444</v>
      </c>
    </row>
    <row r="110" spans="1:9" s="2994" customFormat="1" ht="15.95" customHeight="1">
      <c r="A110" s="3000" t="s">
        <v>3943</v>
      </c>
      <c r="B110" s="3001">
        <v>108</v>
      </c>
      <c r="C110" s="2941" t="s">
        <v>1377</v>
      </c>
      <c r="D110" s="2941" t="s">
        <v>3956</v>
      </c>
      <c r="E110" s="3002" t="s">
        <v>3170</v>
      </c>
      <c r="F110" s="3003">
        <v>112.93</v>
      </c>
      <c r="G110" s="3004">
        <f t="shared" si="7"/>
        <v>29650.75</v>
      </c>
      <c r="H110" s="3005">
        <v>3348459</v>
      </c>
      <c r="I110" s="2994">
        <f t="shared" si="6"/>
        <v>22238</v>
      </c>
    </row>
    <row r="111" spans="1:9" s="2994" customFormat="1" ht="15.95" customHeight="1">
      <c r="A111" s="3000" t="s">
        <v>3943</v>
      </c>
      <c r="B111" s="3001">
        <v>109</v>
      </c>
      <c r="C111" s="2941" t="s">
        <v>1377</v>
      </c>
      <c r="D111" s="2941" t="s">
        <v>3956</v>
      </c>
      <c r="E111" s="3002" t="s">
        <v>3171</v>
      </c>
      <c r="F111" s="3003">
        <v>81.86</v>
      </c>
      <c r="G111" s="3004">
        <f t="shared" si="7"/>
        <v>29391.55</v>
      </c>
      <c r="H111" s="3005">
        <v>2405992</v>
      </c>
      <c r="I111" s="2994">
        <f t="shared" si="6"/>
        <v>22044</v>
      </c>
    </row>
    <row r="112" spans="1:9" s="2994" customFormat="1" ht="15.95" customHeight="1">
      <c r="A112" s="3000" t="s">
        <v>3943</v>
      </c>
      <c r="B112" s="3001">
        <v>110</v>
      </c>
      <c r="C112" s="2941" t="s">
        <v>1377</v>
      </c>
      <c r="D112" s="2941" t="s">
        <v>3956</v>
      </c>
      <c r="E112" s="3002" t="s">
        <v>3172</v>
      </c>
      <c r="F112" s="3003">
        <v>81.459999999999994</v>
      </c>
      <c r="G112" s="3004">
        <f t="shared" si="7"/>
        <v>26890.11</v>
      </c>
      <c r="H112" s="3005">
        <v>2190468</v>
      </c>
      <c r="I112" s="2994">
        <f t="shared" si="6"/>
        <v>20168</v>
      </c>
    </row>
    <row r="113" spans="1:9" s="2994" customFormat="1" ht="15.95" customHeight="1">
      <c r="A113" s="3000" t="s">
        <v>3943</v>
      </c>
      <c r="B113" s="3001">
        <v>111</v>
      </c>
      <c r="C113" s="2941" t="s">
        <v>1377</v>
      </c>
      <c r="D113" s="2941" t="s">
        <v>3956</v>
      </c>
      <c r="E113" s="3002" t="s">
        <v>3173</v>
      </c>
      <c r="F113" s="3003">
        <v>81.34</v>
      </c>
      <c r="G113" s="3004">
        <f t="shared" si="7"/>
        <v>26128.79</v>
      </c>
      <c r="H113" s="3005">
        <v>2125316</v>
      </c>
      <c r="I113" s="2994">
        <f t="shared" si="6"/>
        <v>19597</v>
      </c>
    </row>
    <row r="114" spans="1:9" s="2994" customFormat="1" ht="15.95" customHeight="1">
      <c r="A114" s="3000" t="s">
        <v>3943</v>
      </c>
      <c r="B114" s="3001">
        <v>112</v>
      </c>
      <c r="C114" s="2941" t="s">
        <v>1377</v>
      </c>
      <c r="D114" s="2941" t="s">
        <v>3956</v>
      </c>
      <c r="E114" s="3002" t="s">
        <v>3174</v>
      </c>
      <c r="F114" s="3003">
        <v>81.459999999999994</v>
      </c>
      <c r="G114" s="3004">
        <f t="shared" si="7"/>
        <v>26237.25</v>
      </c>
      <c r="H114" s="3005">
        <v>2137286</v>
      </c>
      <c r="I114" s="2994">
        <f t="shared" si="6"/>
        <v>19678</v>
      </c>
    </row>
    <row r="115" spans="1:9" s="2994" customFormat="1" ht="15.95" customHeight="1">
      <c r="A115" s="3000" t="s">
        <v>3943</v>
      </c>
      <c r="B115" s="3001">
        <v>113</v>
      </c>
      <c r="C115" s="2941" t="s">
        <v>1377</v>
      </c>
      <c r="D115" s="2941" t="s">
        <v>3956</v>
      </c>
      <c r="E115" s="3002" t="s">
        <v>3175</v>
      </c>
      <c r="F115" s="3003">
        <v>81.459999999999994</v>
      </c>
      <c r="G115" s="3004">
        <f t="shared" si="7"/>
        <v>26128.43</v>
      </c>
      <c r="H115" s="3005">
        <v>2128422</v>
      </c>
      <c r="I115" s="2994">
        <f t="shared" si="6"/>
        <v>19596</v>
      </c>
    </row>
    <row r="116" spans="1:9" s="2994" customFormat="1" ht="15.95" customHeight="1">
      <c r="A116" s="3000" t="s">
        <v>3943</v>
      </c>
      <c r="B116" s="3001">
        <v>114</v>
      </c>
      <c r="C116" s="2941" t="s">
        <v>1377</v>
      </c>
      <c r="D116" s="2941" t="s">
        <v>3956</v>
      </c>
      <c r="E116" s="3002" t="s">
        <v>3176</v>
      </c>
      <c r="F116" s="3003">
        <v>81.34</v>
      </c>
      <c r="G116" s="3004">
        <f t="shared" si="7"/>
        <v>25911.19</v>
      </c>
      <c r="H116" s="3005">
        <v>2107616</v>
      </c>
      <c r="I116" s="2994">
        <f t="shared" si="6"/>
        <v>19433</v>
      </c>
    </row>
    <row r="117" spans="1:9" s="2994" customFormat="1" ht="15.95" customHeight="1">
      <c r="A117" s="3000" t="s">
        <v>3943</v>
      </c>
      <c r="B117" s="3001">
        <v>115</v>
      </c>
      <c r="C117" s="2941" t="s">
        <v>1377</v>
      </c>
      <c r="D117" s="2941" t="s">
        <v>3956</v>
      </c>
      <c r="E117" s="3002" t="s">
        <v>3177</v>
      </c>
      <c r="F117" s="3003">
        <v>81.459999999999994</v>
      </c>
      <c r="G117" s="3004">
        <f t="shared" si="7"/>
        <v>26672.49</v>
      </c>
      <c r="H117" s="3005">
        <v>2172741</v>
      </c>
      <c r="I117" s="2994">
        <f t="shared" si="6"/>
        <v>20004</v>
      </c>
    </row>
    <row r="118" spans="1:9" s="2994" customFormat="1" ht="15.95" customHeight="1">
      <c r="A118" s="3000" t="s">
        <v>3943</v>
      </c>
      <c r="B118" s="3001">
        <v>116</v>
      </c>
      <c r="C118" s="2941" t="s">
        <v>1377</v>
      </c>
      <c r="D118" s="2941" t="s">
        <v>3956</v>
      </c>
      <c r="E118" s="3002" t="s">
        <v>3178</v>
      </c>
      <c r="F118" s="3003">
        <v>81.459999999999994</v>
      </c>
      <c r="G118" s="3004">
        <f t="shared" si="7"/>
        <v>26998.92</v>
      </c>
      <c r="H118" s="3005">
        <v>2199332</v>
      </c>
      <c r="I118" s="2994">
        <f t="shared" si="6"/>
        <v>20249</v>
      </c>
    </row>
    <row r="119" spans="1:9" s="2994" customFormat="1" ht="15.95" customHeight="1">
      <c r="A119" s="3000" t="s">
        <v>3943</v>
      </c>
      <c r="B119" s="3001">
        <v>117</v>
      </c>
      <c r="C119" s="2941" t="s">
        <v>1377</v>
      </c>
      <c r="D119" s="2941" t="s">
        <v>3956</v>
      </c>
      <c r="E119" s="3002" t="s">
        <v>3179</v>
      </c>
      <c r="F119" s="3003">
        <v>81.59</v>
      </c>
      <c r="G119" s="3004">
        <f t="shared" si="7"/>
        <v>27324.95</v>
      </c>
      <c r="H119" s="3005">
        <v>2229443</v>
      </c>
      <c r="I119" s="2994">
        <f t="shared" si="6"/>
        <v>20494</v>
      </c>
    </row>
    <row r="120" spans="1:9" s="2994" customFormat="1" ht="15.95" customHeight="1">
      <c r="A120" s="3000" t="s">
        <v>3943</v>
      </c>
      <c r="B120" s="3001">
        <v>118</v>
      </c>
      <c r="C120" s="2941" t="s">
        <v>1377</v>
      </c>
      <c r="D120" s="2941" t="s">
        <v>3956</v>
      </c>
      <c r="E120" s="3002" t="s">
        <v>3180</v>
      </c>
      <c r="F120" s="3003">
        <v>65.23</v>
      </c>
      <c r="G120" s="3004">
        <f t="shared" si="7"/>
        <v>24911.51</v>
      </c>
      <c r="H120" s="3005">
        <v>1624978</v>
      </c>
      <c r="I120" s="2994">
        <f t="shared" si="6"/>
        <v>18684</v>
      </c>
    </row>
    <row r="121" spans="1:9" s="2994" customFormat="1" ht="15.95" customHeight="1">
      <c r="A121" s="3000" t="s">
        <v>3943</v>
      </c>
      <c r="B121" s="3001">
        <v>119</v>
      </c>
      <c r="C121" s="2941" t="s">
        <v>1377</v>
      </c>
      <c r="D121" s="2941" t="s">
        <v>3956</v>
      </c>
      <c r="E121" s="3002" t="s">
        <v>3181</v>
      </c>
      <c r="F121" s="3003">
        <v>43.26</v>
      </c>
      <c r="G121" s="3004">
        <f t="shared" si="7"/>
        <v>37226.26</v>
      </c>
      <c r="H121" s="3005">
        <v>1610408</v>
      </c>
      <c r="I121" s="2994">
        <f t="shared" si="6"/>
        <v>27920</v>
      </c>
    </row>
    <row r="122" spans="1:9" s="2994" customFormat="1" ht="15.95" customHeight="1">
      <c r="A122" s="3000" t="s">
        <v>3943</v>
      </c>
      <c r="B122" s="3001">
        <v>120</v>
      </c>
      <c r="C122" s="2941" t="s">
        <v>1377</v>
      </c>
      <c r="D122" s="2941" t="s">
        <v>3956</v>
      </c>
      <c r="E122" s="3002" t="s">
        <v>3182</v>
      </c>
      <c r="F122" s="3003">
        <v>42.29</v>
      </c>
      <c r="G122" s="3004">
        <f t="shared" si="7"/>
        <v>26601.18</v>
      </c>
      <c r="H122" s="3005">
        <v>1124964</v>
      </c>
      <c r="I122" s="2994">
        <f t="shared" si="6"/>
        <v>19951</v>
      </c>
    </row>
    <row r="123" spans="1:9" s="2994" customFormat="1" ht="15.95" customHeight="1">
      <c r="A123" s="3000" t="s">
        <v>3943</v>
      </c>
      <c r="B123" s="3001">
        <v>121</v>
      </c>
      <c r="C123" s="2941" t="s">
        <v>1377</v>
      </c>
      <c r="D123" s="2941" t="s">
        <v>3956</v>
      </c>
      <c r="E123" s="3002" t="s">
        <v>3183</v>
      </c>
      <c r="F123" s="3003">
        <v>30.64</v>
      </c>
      <c r="G123" s="3004">
        <f t="shared" si="7"/>
        <v>35703.43</v>
      </c>
      <c r="H123" s="3005">
        <v>1093953</v>
      </c>
      <c r="I123" s="2994">
        <f t="shared" si="6"/>
        <v>26778</v>
      </c>
    </row>
    <row r="124" spans="1:9" s="2994" customFormat="1" ht="15.95" customHeight="1">
      <c r="A124" s="3000" t="s">
        <v>3953</v>
      </c>
      <c r="B124" s="3001">
        <v>122</v>
      </c>
      <c r="C124" s="2941" t="s">
        <v>1377</v>
      </c>
      <c r="D124" s="2941" t="s">
        <v>3956</v>
      </c>
      <c r="E124" s="3002" t="s">
        <v>3184</v>
      </c>
      <c r="F124" s="3003">
        <v>129.61000000000001</v>
      </c>
      <c r="G124" s="3004">
        <f t="shared" si="7"/>
        <v>29736.77</v>
      </c>
      <c r="H124" s="3005">
        <v>3854183</v>
      </c>
      <c r="I124" s="2994">
        <f t="shared" si="6"/>
        <v>22303</v>
      </c>
    </row>
    <row r="125" spans="1:9" s="2994" customFormat="1" ht="15.95" customHeight="1">
      <c r="A125" s="3000" t="s">
        <v>3953</v>
      </c>
      <c r="B125" s="3001">
        <v>123</v>
      </c>
      <c r="C125" s="2941" t="s">
        <v>1377</v>
      </c>
      <c r="D125" s="2941" t="s">
        <v>3956</v>
      </c>
      <c r="E125" s="3002" t="s">
        <v>3185</v>
      </c>
      <c r="F125" s="3003">
        <v>84.58</v>
      </c>
      <c r="G125" s="3004">
        <f t="shared" si="7"/>
        <v>24432.82</v>
      </c>
      <c r="H125" s="3005">
        <v>2066528</v>
      </c>
      <c r="I125" s="2994">
        <f t="shared" si="6"/>
        <v>18325</v>
      </c>
    </row>
    <row r="126" spans="1:9" s="2994" customFormat="1" ht="15.95" customHeight="1">
      <c r="A126" s="3000" t="s">
        <v>3953</v>
      </c>
      <c r="B126" s="3001">
        <v>124</v>
      </c>
      <c r="C126" s="2941" t="s">
        <v>1377</v>
      </c>
      <c r="D126" s="2941" t="s">
        <v>3956</v>
      </c>
      <c r="E126" s="3002" t="s">
        <v>3186</v>
      </c>
      <c r="F126" s="3003">
        <v>91.13</v>
      </c>
      <c r="G126" s="3004">
        <f t="shared" si="7"/>
        <v>28060.97</v>
      </c>
      <c r="H126" s="3005">
        <v>2557196</v>
      </c>
      <c r="I126" s="2994">
        <f t="shared" si="6"/>
        <v>21046</v>
      </c>
    </row>
    <row r="127" spans="1:9" s="2994" customFormat="1" ht="15.95" customHeight="1">
      <c r="A127" s="3000" t="s">
        <v>3953</v>
      </c>
      <c r="B127" s="3001">
        <v>125</v>
      </c>
      <c r="C127" s="2941" t="s">
        <v>1377</v>
      </c>
      <c r="D127" s="2941" t="s">
        <v>3956</v>
      </c>
      <c r="E127" s="3002" t="s">
        <v>3187</v>
      </c>
      <c r="F127" s="3003">
        <v>86.27</v>
      </c>
      <c r="G127" s="3004">
        <f t="shared" si="7"/>
        <v>22393.439999999999</v>
      </c>
      <c r="H127" s="3005">
        <v>1931882</v>
      </c>
      <c r="I127" s="2994">
        <f t="shared" si="6"/>
        <v>16795</v>
      </c>
    </row>
    <row r="128" spans="1:9" s="2994" customFormat="1" ht="15.95" customHeight="1">
      <c r="A128" s="3000" t="s">
        <v>3953</v>
      </c>
      <c r="B128" s="3001">
        <v>126</v>
      </c>
      <c r="C128" s="2941" t="s">
        <v>1377</v>
      </c>
      <c r="D128" s="2941" t="s">
        <v>3956</v>
      </c>
      <c r="E128" s="3002" t="s">
        <v>3188</v>
      </c>
      <c r="F128" s="3003">
        <v>81.569999999999993</v>
      </c>
      <c r="G128" s="3004">
        <f t="shared" si="7"/>
        <v>21481.91</v>
      </c>
      <c r="H128" s="3005">
        <v>1752279</v>
      </c>
      <c r="I128" s="2994">
        <f t="shared" si="6"/>
        <v>16111</v>
      </c>
    </row>
    <row r="129" spans="1:9" s="2994" customFormat="1" ht="15.95" customHeight="1">
      <c r="A129" s="3000" t="s">
        <v>3953</v>
      </c>
      <c r="B129" s="3001">
        <v>127</v>
      </c>
      <c r="C129" s="2941" t="s">
        <v>1377</v>
      </c>
      <c r="D129" s="2941" t="s">
        <v>3956</v>
      </c>
      <c r="E129" s="3002" t="s">
        <v>3189</v>
      </c>
      <c r="F129" s="3003">
        <v>92.23</v>
      </c>
      <c r="G129" s="3004">
        <f t="shared" si="7"/>
        <v>26970.25</v>
      </c>
      <c r="H129" s="3005">
        <v>2487466</v>
      </c>
      <c r="I129" s="2994">
        <f t="shared" si="6"/>
        <v>20228</v>
      </c>
    </row>
    <row r="130" spans="1:9" s="2994" customFormat="1" ht="15.95" customHeight="1">
      <c r="A130" s="3000" t="s">
        <v>3953</v>
      </c>
      <c r="B130" s="3001">
        <v>128</v>
      </c>
      <c r="C130" s="2941" t="s">
        <v>1377</v>
      </c>
      <c r="D130" s="2941" t="s">
        <v>3956</v>
      </c>
      <c r="E130" s="3002" t="s">
        <v>3190</v>
      </c>
      <c r="F130" s="3003">
        <v>96.1</v>
      </c>
      <c r="G130" s="3004">
        <f t="shared" si="7"/>
        <v>23294.61</v>
      </c>
      <c r="H130" s="3005">
        <v>2238612</v>
      </c>
      <c r="I130" s="2994">
        <f t="shared" si="6"/>
        <v>17471</v>
      </c>
    </row>
    <row r="131" spans="1:9" s="2994" customFormat="1" ht="15.95" customHeight="1">
      <c r="A131" s="3000" t="s">
        <v>3953</v>
      </c>
      <c r="B131" s="3001">
        <v>129</v>
      </c>
      <c r="C131" s="2941" t="s">
        <v>1377</v>
      </c>
      <c r="D131" s="2941" t="s">
        <v>3956</v>
      </c>
      <c r="E131" s="3002" t="s">
        <v>3191</v>
      </c>
      <c r="F131" s="3003">
        <v>91.23</v>
      </c>
      <c r="G131" s="3004">
        <f t="shared" si="7"/>
        <v>25993.32</v>
      </c>
      <c r="H131" s="3005">
        <v>2371371</v>
      </c>
      <c r="I131" s="2994">
        <f t="shared" si="6"/>
        <v>19495</v>
      </c>
    </row>
    <row r="132" spans="1:9" s="2994" customFormat="1" ht="15.95" customHeight="1">
      <c r="A132" s="3000" t="s">
        <v>3953</v>
      </c>
      <c r="B132" s="3001">
        <v>130</v>
      </c>
      <c r="C132" s="2941" t="s">
        <v>1377</v>
      </c>
      <c r="D132" s="2941" t="s">
        <v>3956</v>
      </c>
      <c r="E132" s="3002" t="s">
        <v>3192</v>
      </c>
      <c r="F132" s="3003">
        <v>109.86</v>
      </c>
      <c r="G132" s="3004">
        <f t="shared" si="7"/>
        <v>22343.66</v>
      </c>
      <c r="H132" s="3005">
        <v>2454674</v>
      </c>
      <c r="I132" s="2994">
        <f t="shared" ref="I132:I195" si="8">ROUND(G132*0.75,0)</f>
        <v>16758</v>
      </c>
    </row>
    <row r="133" spans="1:9" s="2994" customFormat="1" ht="15.95" customHeight="1">
      <c r="A133" s="3000" t="s">
        <v>3953</v>
      </c>
      <c r="B133" s="3001">
        <v>131</v>
      </c>
      <c r="C133" s="2941" t="s">
        <v>1377</v>
      </c>
      <c r="D133" s="2941" t="s">
        <v>3956</v>
      </c>
      <c r="E133" s="3002" t="s">
        <v>3193</v>
      </c>
      <c r="F133" s="3003">
        <v>99.1</v>
      </c>
      <c r="G133" s="3004">
        <f t="shared" si="7"/>
        <v>26519.97</v>
      </c>
      <c r="H133" s="3005">
        <v>2628129</v>
      </c>
      <c r="I133" s="2994">
        <f t="shared" si="8"/>
        <v>19890</v>
      </c>
    </row>
    <row r="134" spans="1:9" s="2994" customFormat="1" ht="15.95" customHeight="1">
      <c r="A134" s="3000" t="s">
        <v>3953</v>
      </c>
      <c r="B134" s="3001">
        <v>132</v>
      </c>
      <c r="C134" s="2941" t="s">
        <v>1377</v>
      </c>
      <c r="D134" s="2941" t="s">
        <v>3956</v>
      </c>
      <c r="E134" s="3002" t="s">
        <v>3194</v>
      </c>
      <c r="F134" s="3003">
        <v>80.81</v>
      </c>
      <c r="G134" s="3004">
        <f t="shared" si="7"/>
        <v>22779.06</v>
      </c>
      <c r="H134" s="3005">
        <v>1840776</v>
      </c>
      <c r="I134" s="2994">
        <f t="shared" si="8"/>
        <v>17084</v>
      </c>
    </row>
    <row r="135" spans="1:9" s="2994" customFormat="1" ht="15.95" customHeight="1">
      <c r="A135" s="3000" t="s">
        <v>3953</v>
      </c>
      <c r="B135" s="3001">
        <v>133</v>
      </c>
      <c r="C135" s="2941" t="s">
        <v>1377</v>
      </c>
      <c r="D135" s="2941" t="s">
        <v>3956</v>
      </c>
      <c r="E135" s="3002" t="s">
        <v>3195</v>
      </c>
      <c r="F135" s="3003">
        <v>88.82</v>
      </c>
      <c r="G135" s="3004">
        <f t="shared" si="7"/>
        <v>26652.14</v>
      </c>
      <c r="H135" s="3005">
        <v>2367243</v>
      </c>
      <c r="I135" s="2994">
        <f t="shared" si="8"/>
        <v>19989</v>
      </c>
    </row>
    <row r="136" spans="1:9" s="2994" customFormat="1" ht="15.95" customHeight="1">
      <c r="A136" s="3000" t="s">
        <v>3954</v>
      </c>
      <c r="B136" s="3001">
        <v>134</v>
      </c>
      <c r="C136" s="2941" t="s">
        <v>1377</v>
      </c>
      <c r="D136" s="2941" t="s">
        <v>3956</v>
      </c>
      <c r="E136" s="3002" t="s">
        <v>3196</v>
      </c>
      <c r="F136" s="3003">
        <v>69.78</v>
      </c>
      <c r="G136" s="3004">
        <f t="shared" si="7"/>
        <v>29433.85</v>
      </c>
      <c r="H136" s="3005">
        <v>2053894</v>
      </c>
      <c r="I136" s="2994">
        <f t="shared" si="8"/>
        <v>22075</v>
      </c>
    </row>
    <row r="137" spans="1:9" s="2994" customFormat="1" ht="15.95" customHeight="1">
      <c r="A137" s="3000" t="s">
        <v>3954</v>
      </c>
      <c r="B137" s="3001">
        <v>135</v>
      </c>
      <c r="C137" s="2941" t="s">
        <v>1377</v>
      </c>
      <c r="D137" s="2941" t="s">
        <v>3956</v>
      </c>
      <c r="E137" s="3002" t="s">
        <v>3197</v>
      </c>
      <c r="F137" s="3003">
        <v>54.52</v>
      </c>
      <c r="G137" s="3004">
        <f t="shared" si="7"/>
        <v>27664.27</v>
      </c>
      <c r="H137" s="3005">
        <v>1508256</v>
      </c>
      <c r="I137" s="2994">
        <f t="shared" si="8"/>
        <v>20748</v>
      </c>
    </row>
    <row r="138" spans="1:9" s="2994" customFormat="1" ht="15.95" customHeight="1">
      <c r="A138" s="3000" t="s">
        <v>3954</v>
      </c>
      <c r="B138" s="3001">
        <v>136</v>
      </c>
      <c r="C138" s="2941" t="s">
        <v>1377</v>
      </c>
      <c r="D138" s="2941" t="s">
        <v>3956</v>
      </c>
      <c r="E138" s="3002" t="s">
        <v>3198</v>
      </c>
      <c r="F138" s="3003">
        <v>55.21</v>
      </c>
      <c r="G138" s="3004">
        <f t="shared" si="7"/>
        <v>26898.03</v>
      </c>
      <c r="H138" s="3005">
        <v>1485040</v>
      </c>
      <c r="I138" s="2994">
        <f t="shared" si="8"/>
        <v>20174</v>
      </c>
    </row>
    <row r="139" spans="1:9" s="2994" customFormat="1" ht="15.95" customHeight="1">
      <c r="A139" s="3000" t="s">
        <v>3954</v>
      </c>
      <c r="B139" s="3001">
        <v>137</v>
      </c>
      <c r="C139" s="2941" t="s">
        <v>1377</v>
      </c>
      <c r="D139" s="2941" t="s">
        <v>3956</v>
      </c>
      <c r="E139" s="3002" t="s">
        <v>3199</v>
      </c>
      <c r="F139" s="3003">
        <v>55.33</v>
      </c>
      <c r="G139" s="3004">
        <f t="shared" si="7"/>
        <v>27223.68</v>
      </c>
      <c r="H139" s="3005">
        <v>1506286</v>
      </c>
      <c r="I139" s="2994">
        <f t="shared" si="8"/>
        <v>20418</v>
      </c>
    </row>
    <row r="140" spans="1:9" s="2994" customFormat="1" ht="15.95" customHeight="1">
      <c r="A140" s="3000" t="s">
        <v>3954</v>
      </c>
      <c r="B140" s="3001">
        <v>138</v>
      </c>
      <c r="C140" s="2941" t="s">
        <v>1377</v>
      </c>
      <c r="D140" s="2941" t="s">
        <v>3956</v>
      </c>
      <c r="E140" s="3002" t="s">
        <v>3200</v>
      </c>
      <c r="F140" s="3003">
        <v>55.33</v>
      </c>
      <c r="G140" s="3004">
        <f t="shared" si="7"/>
        <v>27550.1</v>
      </c>
      <c r="H140" s="3005">
        <v>1524347</v>
      </c>
      <c r="I140" s="2994">
        <f t="shared" si="8"/>
        <v>20663</v>
      </c>
    </row>
    <row r="141" spans="1:9" s="2994" customFormat="1" ht="15.95" customHeight="1">
      <c r="A141" s="3000" t="s">
        <v>3954</v>
      </c>
      <c r="B141" s="3001">
        <v>139</v>
      </c>
      <c r="C141" s="2941" t="s">
        <v>1377</v>
      </c>
      <c r="D141" s="2941" t="s">
        <v>3956</v>
      </c>
      <c r="E141" s="3002" t="s">
        <v>3201</v>
      </c>
      <c r="F141" s="3003">
        <v>55.33</v>
      </c>
      <c r="G141" s="3004">
        <f t="shared" si="7"/>
        <v>28202.959999999999</v>
      </c>
      <c r="H141" s="3005">
        <v>1560470</v>
      </c>
      <c r="I141" s="2994">
        <f t="shared" si="8"/>
        <v>21152</v>
      </c>
    </row>
    <row r="142" spans="1:9" s="2994" customFormat="1" ht="15.95" customHeight="1">
      <c r="A142" s="3000" t="s">
        <v>3954</v>
      </c>
      <c r="B142" s="3001">
        <v>140</v>
      </c>
      <c r="C142" s="2941" t="s">
        <v>1377</v>
      </c>
      <c r="D142" s="2941" t="s">
        <v>3956</v>
      </c>
      <c r="E142" s="3002" t="s">
        <v>3202</v>
      </c>
      <c r="F142" s="3003">
        <v>94.85</v>
      </c>
      <c r="G142" s="3004">
        <f t="shared" si="7"/>
        <v>35886.68</v>
      </c>
      <c r="H142" s="3005">
        <v>3403852</v>
      </c>
      <c r="I142" s="2994">
        <f t="shared" si="8"/>
        <v>26915</v>
      </c>
    </row>
    <row r="143" spans="1:9" s="2994" customFormat="1" ht="15.95" customHeight="1">
      <c r="A143" s="3000" t="s">
        <v>3954</v>
      </c>
      <c r="B143" s="3001">
        <v>141</v>
      </c>
      <c r="C143" s="2941" t="s">
        <v>1377</v>
      </c>
      <c r="D143" s="2941" t="s">
        <v>3956</v>
      </c>
      <c r="E143" s="3002" t="s">
        <v>3203</v>
      </c>
      <c r="F143" s="3003">
        <v>68.47</v>
      </c>
      <c r="G143" s="3004">
        <f t="shared" si="7"/>
        <v>29221.7</v>
      </c>
      <c r="H143" s="3005">
        <v>2000810</v>
      </c>
      <c r="I143" s="2994">
        <f t="shared" si="8"/>
        <v>21916</v>
      </c>
    </row>
    <row r="144" spans="1:9" s="2994" customFormat="1" ht="15.95" customHeight="1">
      <c r="A144" s="3000" t="s">
        <v>3954</v>
      </c>
      <c r="B144" s="3001">
        <v>142</v>
      </c>
      <c r="C144" s="2941" t="s">
        <v>1377</v>
      </c>
      <c r="D144" s="2941" t="s">
        <v>3956</v>
      </c>
      <c r="E144" s="3002" t="s">
        <v>3204</v>
      </c>
      <c r="F144" s="3003">
        <v>68.27</v>
      </c>
      <c r="G144" s="3004">
        <f t="shared" si="7"/>
        <v>26828.74</v>
      </c>
      <c r="H144" s="3005">
        <v>1831598</v>
      </c>
      <c r="I144" s="2994">
        <f t="shared" si="8"/>
        <v>20122</v>
      </c>
    </row>
    <row r="145" spans="1:9" s="2994" customFormat="1" ht="15.95" customHeight="1">
      <c r="A145" s="3000" t="s">
        <v>3954</v>
      </c>
      <c r="B145" s="3001">
        <v>143</v>
      </c>
      <c r="C145" s="2941" t="s">
        <v>1377</v>
      </c>
      <c r="D145" s="2941" t="s">
        <v>3956</v>
      </c>
      <c r="E145" s="3002" t="s">
        <v>3205</v>
      </c>
      <c r="F145" s="3003">
        <v>68.400000000000006</v>
      </c>
      <c r="G145" s="3004">
        <f t="shared" si="7"/>
        <v>27589.84</v>
      </c>
      <c r="H145" s="3005">
        <v>1887145</v>
      </c>
      <c r="I145" s="2994">
        <f t="shared" si="8"/>
        <v>20692</v>
      </c>
    </row>
    <row r="146" spans="1:9" s="2994" customFormat="1" ht="15.95" customHeight="1">
      <c r="A146" s="3000" t="s">
        <v>3954</v>
      </c>
      <c r="B146" s="3001">
        <v>144</v>
      </c>
      <c r="C146" s="2941" t="s">
        <v>1377</v>
      </c>
      <c r="D146" s="2941" t="s">
        <v>3956</v>
      </c>
      <c r="E146" s="3002" t="s">
        <v>3206</v>
      </c>
      <c r="F146" s="3003">
        <v>68.27</v>
      </c>
      <c r="G146" s="3004">
        <f t="shared" si="7"/>
        <v>27481.59</v>
      </c>
      <c r="H146" s="3005">
        <v>1876168</v>
      </c>
      <c r="I146" s="2994">
        <f t="shared" si="8"/>
        <v>20611</v>
      </c>
    </row>
    <row r="147" spans="1:9" s="2994" customFormat="1" ht="15.95" customHeight="1">
      <c r="A147" s="3000" t="s">
        <v>3954</v>
      </c>
      <c r="B147" s="3001">
        <v>145</v>
      </c>
      <c r="C147" s="2941" t="s">
        <v>1377</v>
      </c>
      <c r="D147" s="2941" t="s">
        <v>3956</v>
      </c>
      <c r="E147" s="3002" t="s">
        <v>3207</v>
      </c>
      <c r="F147" s="3003">
        <v>51.3</v>
      </c>
      <c r="G147" s="3004">
        <f t="shared" si="7"/>
        <v>31278.05</v>
      </c>
      <c r="H147" s="3005">
        <v>1604564</v>
      </c>
      <c r="I147" s="2994">
        <f t="shared" si="8"/>
        <v>23459</v>
      </c>
    </row>
    <row r="148" spans="1:9" s="2994" customFormat="1" ht="15.95" customHeight="1">
      <c r="A148" s="3000" t="s">
        <v>3955</v>
      </c>
      <c r="B148" s="3001">
        <v>146</v>
      </c>
      <c r="C148" s="2941" t="s">
        <v>1377</v>
      </c>
      <c r="D148" s="2941" t="s">
        <v>3956</v>
      </c>
      <c r="E148" s="3002" t="s">
        <v>3208</v>
      </c>
      <c r="F148" s="3003">
        <v>79.05</v>
      </c>
      <c r="G148" s="3004">
        <f t="shared" si="7"/>
        <v>26422.2</v>
      </c>
      <c r="H148" s="3005">
        <v>2088675</v>
      </c>
      <c r="I148" s="2994">
        <f t="shared" si="8"/>
        <v>19817</v>
      </c>
    </row>
    <row r="149" spans="1:9" s="2994" customFormat="1" ht="15.95" customHeight="1">
      <c r="A149" s="3000" t="s">
        <v>3955</v>
      </c>
      <c r="B149" s="3001">
        <v>147</v>
      </c>
      <c r="C149" s="2941" t="s">
        <v>1377</v>
      </c>
      <c r="D149" s="2941" t="s">
        <v>3956</v>
      </c>
      <c r="E149" s="3002" t="s">
        <v>3209</v>
      </c>
      <c r="F149" s="3003">
        <v>70.34</v>
      </c>
      <c r="G149" s="3004">
        <f t="shared" si="7"/>
        <v>26127.11</v>
      </c>
      <c r="H149" s="3005">
        <v>1837781</v>
      </c>
      <c r="I149" s="2994">
        <f t="shared" si="8"/>
        <v>19595</v>
      </c>
    </row>
    <row r="150" spans="1:9" s="2994" customFormat="1" ht="15.95" customHeight="1">
      <c r="A150" s="3000" t="s">
        <v>3955</v>
      </c>
      <c r="B150" s="3001">
        <v>148</v>
      </c>
      <c r="C150" s="2941" t="s">
        <v>1377</v>
      </c>
      <c r="D150" s="2941" t="s">
        <v>3956</v>
      </c>
      <c r="E150" s="3002" t="s">
        <v>3210</v>
      </c>
      <c r="F150" s="3003">
        <v>56.57</v>
      </c>
      <c r="G150" s="3004">
        <f t="shared" si="7"/>
        <v>26849.18</v>
      </c>
      <c r="H150" s="3005">
        <v>1518858</v>
      </c>
      <c r="I150" s="2994">
        <f t="shared" si="8"/>
        <v>20137</v>
      </c>
    </row>
    <row r="151" spans="1:9" s="2994" customFormat="1" ht="15.95" customHeight="1">
      <c r="A151" s="3000" t="s">
        <v>3955</v>
      </c>
      <c r="B151" s="3001">
        <v>149</v>
      </c>
      <c r="C151" s="2941" t="s">
        <v>1377</v>
      </c>
      <c r="D151" s="2941" t="s">
        <v>3956</v>
      </c>
      <c r="E151" s="3002" t="s">
        <v>3211</v>
      </c>
      <c r="F151" s="3003">
        <v>79.09</v>
      </c>
      <c r="G151" s="3004">
        <f t="shared" si="7"/>
        <v>27510.18</v>
      </c>
      <c r="H151" s="3005">
        <v>2175780</v>
      </c>
      <c r="I151" s="2994">
        <f t="shared" si="8"/>
        <v>20633</v>
      </c>
    </row>
    <row r="152" spans="1:9" s="2994" customFormat="1" ht="15.95" customHeight="1">
      <c r="A152" s="3000" t="s">
        <v>3955</v>
      </c>
      <c r="B152" s="3001">
        <v>150</v>
      </c>
      <c r="C152" s="2941" t="s">
        <v>1377</v>
      </c>
      <c r="D152" s="2941" t="s">
        <v>3956</v>
      </c>
      <c r="E152" s="3002" t="s">
        <v>3212</v>
      </c>
      <c r="F152" s="3003">
        <v>79.12</v>
      </c>
      <c r="G152" s="3004">
        <f t="shared" ref="G152:G215" si="9">ROUND(H152/F152,2)</f>
        <v>27618.9</v>
      </c>
      <c r="H152" s="3005">
        <v>2185207</v>
      </c>
      <c r="I152" s="2994">
        <f t="shared" si="8"/>
        <v>20714</v>
      </c>
    </row>
    <row r="153" spans="1:9" s="2994" customFormat="1" ht="15.95" customHeight="1">
      <c r="A153" s="3000" t="s">
        <v>3955</v>
      </c>
      <c r="B153" s="3001">
        <v>151</v>
      </c>
      <c r="C153" s="2941" t="s">
        <v>1377</v>
      </c>
      <c r="D153" s="2941" t="s">
        <v>3956</v>
      </c>
      <c r="E153" s="3002" t="s">
        <v>3213</v>
      </c>
      <c r="F153" s="3003">
        <v>73.77</v>
      </c>
      <c r="G153" s="3004">
        <f t="shared" si="9"/>
        <v>26698.09</v>
      </c>
      <c r="H153" s="3005">
        <v>1969518</v>
      </c>
      <c r="I153" s="2994">
        <f t="shared" si="8"/>
        <v>20024</v>
      </c>
    </row>
    <row r="154" spans="1:9" s="2994" customFormat="1" ht="15.95" customHeight="1">
      <c r="A154" s="3000" t="s">
        <v>3955</v>
      </c>
      <c r="B154" s="3001">
        <v>152</v>
      </c>
      <c r="C154" s="2941" t="s">
        <v>1377</v>
      </c>
      <c r="D154" s="2941" t="s">
        <v>3956</v>
      </c>
      <c r="E154" s="3002" t="s">
        <v>3214</v>
      </c>
      <c r="F154" s="3003">
        <v>73.77</v>
      </c>
      <c r="G154" s="3004">
        <f t="shared" si="9"/>
        <v>27459.75</v>
      </c>
      <c r="H154" s="3005">
        <v>2025706</v>
      </c>
      <c r="I154" s="2994">
        <f t="shared" si="8"/>
        <v>20595</v>
      </c>
    </row>
    <row r="155" spans="1:9" s="2994" customFormat="1" ht="15.95" customHeight="1">
      <c r="A155" s="3000" t="s">
        <v>3955</v>
      </c>
      <c r="B155" s="3001">
        <v>153</v>
      </c>
      <c r="C155" s="2941" t="s">
        <v>1377</v>
      </c>
      <c r="D155" s="2941" t="s">
        <v>3956</v>
      </c>
      <c r="E155" s="3002" t="s">
        <v>3215</v>
      </c>
      <c r="F155" s="3003">
        <v>106.11</v>
      </c>
      <c r="G155" s="3004">
        <f t="shared" si="9"/>
        <v>28574.04</v>
      </c>
      <c r="H155" s="3005">
        <v>3031991</v>
      </c>
      <c r="I155" s="2994">
        <f t="shared" si="8"/>
        <v>21431</v>
      </c>
    </row>
    <row r="156" spans="1:9" s="2994" customFormat="1" ht="15.95" customHeight="1">
      <c r="A156" s="3000" t="s">
        <v>3955</v>
      </c>
      <c r="B156" s="3001">
        <v>154</v>
      </c>
      <c r="C156" s="2941" t="s">
        <v>1377</v>
      </c>
      <c r="D156" s="2941" t="s">
        <v>3956</v>
      </c>
      <c r="E156" s="3002" t="s">
        <v>3216</v>
      </c>
      <c r="F156" s="3003">
        <v>105.93</v>
      </c>
      <c r="G156" s="3004">
        <f t="shared" si="9"/>
        <v>26289.33</v>
      </c>
      <c r="H156" s="3005">
        <v>2784829</v>
      </c>
      <c r="I156" s="2994">
        <f t="shared" si="8"/>
        <v>19717</v>
      </c>
    </row>
    <row r="157" spans="1:9" s="2994" customFormat="1" ht="15.95" customHeight="1">
      <c r="A157" s="3000" t="s">
        <v>3955</v>
      </c>
      <c r="B157" s="3001">
        <v>155</v>
      </c>
      <c r="C157" s="2941" t="s">
        <v>1377</v>
      </c>
      <c r="D157" s="2941" t="s">
        <v>3956</v>
      </c>
      <c r="E157" s="3002" t="s">
        <v>3217</v>
      </c>
      <c r="F157" s="3003">
        <v>106.05</v>
      </c>
      <c r="G157" s="3004">
        <f t="shared" si="9"/>
        <v>27050.799999999999</v>
      </c>
      <c r="H157" s="3005">
        <v>2868737</v>
      </c>
      <c r="I157" s="2994">
        <f t="shared" si="8"/>
        <v>20288</v>
      </c>
    </row>
    <row r="158" spans="1:9" s="2994" customFormat="1" ht="15.95" customHeight="1">
      <c r="A158" s="3000" t="s">
        <v>3955</v>
      </c>
      <c r="B158" s="3001">
        <v>156</v>
      </c>
      <c r="C158" s="2941" t="s">
        <v>1377</v>
      </c>
      <c r="D158" s="2941" t="s">
        <v>3956</v>
      </c>
      <c r="E158" s="3002" t="s">
        <v>3218</v>
      </c>
      <c r="F158" s="3003">
        <v>16.760000000000002</v>
      </c>
      <c r="G158" s="3004">
        <f t="shared" si="9"/>
        <v>26152.57</v>
      </c>
      <c r="H158" s="3005">
        <v>438317</v>
      </c>
      <c r="I158" s="2994">
        <f t="shared" si="8"/>
        <v>19614</v>
      </c>
    </row>
    <row r="159" spans="1:9" s="2994" customFormat="1" ht="15.95" customHeight="1">
      <c r="A159" s="3000" t="s">
        <v>3955</v>
      </c>
      <c r="B159" s="3001">
        <v>157</v>
      </c>
      <c r="C159" s="2941" t="s">
        <v>1377</v>
      </c>
      <c r="D159" s="2941" t="s">
        <v>3956</v>
      </c>
      <c r="E159" s="3002" t="s">
        <v>3219</v>
      </c>
      <c r="F159" s="3003">
        <v>66.56</v>
      </c>
      <c r="G159" s="3004">
        <f t="shared" si="9"/>
        <v>22864.69</v>
      </c>
      <c r="H159" s="3005">
        <v>1521874</v>
      </c>
      <c r="I159" s="2994">
        <f t="shared" si="8"/>
        <v>17149</v>
      </c>
    </row>
    <row r="160" spans="1:9" s="2994" customFormat="1" ht="15.95" customHeight="1">
      <c r="A160" s="3000" t="s">
        <v>3955</v>
      </c>
      <c r="B160" s="3001">
        <v>158</v>
      </c>
      <c r="C160" s="2941" t="s">
        <v>1377</v>
      </c>
      <c r="D160" s="2941" t="s">
        <v>3956</v>
      </c>
      <c r="E160" s="3002" t="s">
        <v>3220</v>
      </c>
      <c r="F160" s="3003">
        <v>122.93</v>
      </c>
      <c r="G160" s="3004">
        <f t="shared" si="9"/>
        <v>17522.62</v>
      </c>
      <c r="H160" s="3005">
        <v>2154056</v>
      </c>
      <c r="I160" s="2994">
        <f t="shared" si="8"/>
        <v>13142</v>
      </c>
    </row>
    <row r="161" spans="1:9" s="2994" customFormat="1" ht="15.95" customHeight="1">
      <c r="A161" s="3000" t="s">
        <v>3955</v>
      </c>
      <c r="B161" s="3001">
        <v>159</v>
      </c>
      <c r="C161" s="2941" t="s">
        <v>1377</v>
      </c>
      <c r="D161" s="2941" t="s">
        <v>3956</v>
      </c>
      <c r="E161" s="3002" t="s">
        <v>3221</v>
      </c>
      <c r="F161" s="3003">
        <v>63.17</v>
      </c>
      <c r="G161" s="3004">
        <f t="shared" si="9"/>
        <v>19165.060000000001</v>
      </c>
      <c r="H161" s="3005">
        <v>1210657</v>
      </c>
      <c r="I161" s="2994">
        <f t="shared" si="8"/>
        <v>14374</v>
      </c>
    </row>
    <row r="162" spans="1:9" s="2994" customFormat="1" ht="15.95" customHeight="1">
      <c r="A162" s="3000" t="s">
        <v>3955</v>
      </c>
      <c r="B162" s="3001">
        <v>160</v>
      </c>
      <c r="C162" s="2941" t="s">
        <v>1377</v>
      </c>
      <c r="D162" s="2941" t="s">
        <v>3956</v>
      </c>
      <c r="E162" s="3002" t="s">
        <v>3222</v>
      </c>
      <c r="F162" s="3003">
        <v>63.17</v>
      </c>
      <c r="G162" s="3004">
        <f t="shared" si="9"/>
        <v>19400.080000000002</v>
      </c>
      <c r="H162" s="3005">
        <v>1225503</v>
      </c>
      <c r="I162" s="2994">
        <f t="shared" si="8"/>
        <v>14550</v>
      </c>
    </row>
    <row r="163" spans="1:9" s="2994" customFormat="1" ht="15.95" customHeight="1">
      <c r="A163" s="3000" t="s">
        <v>3955</v>
      </c>
      <c r="B163" s="3001">
        <v>161</v>
      </c>
      <c r="C163" s="2941" t="s">
        <v>1377</v>
      </c>
      <c r="D163" s="2941" t="s">
        <v>3956</v>
      </c>
      <c r="E163" s="3002" t="s">
        <v>3223</v>
      </c>
      <c r="F163" s="3003">
        <v>63.17</v>
      </c>
      <c r="G163" s="3004">
        <f t="shared" si="9"/>
        <v>19635.11</v>
      </c>
      <c r="H163" s="3005">
        <v>1240350</v>
      </c>
      <c r="I163" s="2994">
        <f t="shared" si="8"/>
        <v>14726</v>
      </c>
    </row>
    <row r="164" spans="1:9" s="2994" customFormat="1" ht="15.95" customHeight="1">
      <c r="A164" s="3000" t="s">
        <v>3955</v>
      </c>
      <c r="B164" s="3001">
        <v>162</v>
      </c>
      <c r="C164" s="2941" t="s">
        <v>1377</v>
      </c>
      <c r="D164" s="2941" t="s">
        <v>3956</v>
      </c>
      <c r="E164" s="3002" t="s">
        <v>3224</v>
      </c>
      <c r="F164" s="3003">
        <v>63.17</v>
      </c>
      <c r="G164" s="3004">
        <f t="shared" si="9"/>
        <v>19791.8</v>
      </c>
      <c r="H164" s="3005">
        <v>1250248</v>
      </c>
      <c r="I164" s="2994">
        <f t="shared" si="8"/>
        <v>14844</v>
      </c>
    </row>
    <row r="165" spans="1:9" s="2994" customFormat="1" ht="15.95" customHeight="1">
      <c r="A165" s="3000" t="s">
        <v>3955</v>
      </c>
      <c r="B165" s="3001">
        <v>163</v>
      </c>
      <c r="C165" s="2941" t="s">
        <v>1377</v>
      </c>
      <c r="D165" s="2941" t="s">
        <v>3956</v>
      </c>
      <c r="E165" s="3002" t="s">
        <v>3225</v>
      </c>
      <c r="F165" s="3003">
        <v>63.17</v>
      </c>
      <c r="G165" s="3004">
        <f t="shared" si="9"/>
        <v>19870.16</v>
      </c>
      <c r="H165" s="3005">
        <v>1255198</v>
      </c>
      <c r="I165" s="2994">
        <f t="shared" si="8"/>
        <v>14903</v>
      </c>
    </row>
    <row r="166" spans="1:9" s="2994" customFormat="1" ht="15.95" customHeight="1">
      <c r="A166" s="3000" t="s">
        <v>3955</v>
      </c>
      <c r="B166" s="3001">
        <v>164</v>
      </c>
      <c r="C166" s="2941" t="s">
        <v>1377</v>
      </c>
      <c r="D166" s="2941" t="s">
        <v>3956</v>
      </c>
      <c r="E166" s="3002" t="s">
        <v>3226</v>
      </c>
      <c r="F166" s="3003">
        <v>63.17</v>
      </c>
      <c r="G166" s="3004">
        <f t="shared" si="9"/>
        <v>19948.490000000002</v>
      </c>
      <c r="H166" s="3005">
        <v>1260146</v>
      </c>
      <c r="I166" s="2994">
        <f t="shared" si="8"/>
        <v>14961</v>
      </c>
    </row>
    <row r="167" spans="1:9" s="2994" customFormat="1" ht="15.95" customHeight="1">
      <c r="A167" s="3000" t="s">
        <v>3955</v>
      </c>
      <c r="B167" s="3001">
        <v>165</v>
      </c>
      <c r="C167" s="2941" t="s">
        <v>1377</v>
      </c>
      <c r="D167" s="2941" t="s">
        <v>3956</v>
      </c>
      <c r="E167" s="3002" t="s">
        <v>3227</v>
      </c>
      <c r="F167" s="3003">
        <v>63.17</v>
      </c>
      <c r="G167" s="3004">
        <f t="shared" si="9"/>
        <v>20026.830000000002</v>
      </c>
      <c r="H167" s="3005">
        <v>1265095</v>
      </c>
      <c r="I167" s="2994">
        <f t="shared" si="8"/>
        <v>15020</v>
      </c>
    </row>
    <row r="168" spans="1:9" s="2994" customFormat="1" ht="15.95" customHeight="1">
      <c r="A168" s="3000" t="s">
        <v>3955</v>
      </c>
      <c r="B168" s="3001">
        <v>166</v>
      </c>
      <c r="C168" s="2941" t="s">
        <v>1377</v>
      </c>
      <c r="D168" s="2941" t="s">
        <v>3956</v>
      </c>
      <c r="E168" s="3002" t="s">
        <v>3228</v>
      </c>
      <c r="F168" s="3003">
        <v>59.6</v>
      </c>
      <c r="G168" s="3004">
        <f t="shared" si="9"/>
        <v>20124.14</v>
      </c>
      <c r="H168" s="3005">
        <v>1199399</v>
      </c>
      <c r="I168" s="2994">
        <f t="shared" si="8"/>
        <v>15093</v>
      </c>
    </row>
    <row r="169" spans="1:9" s="2994" customFormat="1" ht="15.95" customHeight="1">
      <c r="A169" s="3000" t="s">
        <v>3955</v>
      </c>
      <c r="B169" s="3001">
        <v>167</v>
      </c>
      <c r="C169" s="2941" t="s">
        <v>1377</v>
      </c>
      <c r="D169" s="2941" t="s">
        <v>3956</v>
      </c>
      <c r="E169" s="3002" t="s">
        <v>3229</v>
      </c>
      <c r="F169" s="3003">
        <v>54.57</v>
      </c>
      <c r="G169" s="3004">
        <f t="shared" si="9"/>
        <v>20890.53</v>
      </c>
      <c r="H169" s="3005">
        <v>1139996</v>
      </c>
      <c r="I169" s="2994">
        <f t="shared" si="8"/>
        <v>15668</v>
      </c>
    </row>
    <row r="170" spans="1:9" s="2994" customFormat="1" ht="15.95" customHeight="1">
      <c r="A170" s="3000" t="s">
        <v>3955</v>
      </c>
      <c r="B170" s="3001">
        <v>168</v>
      </c>
      <c r="C170" s="2941" t="s">
        <v>1377</v>
      </c>
      <c r="D170" s="2941" t="s">
        <v>3956</v>
      </c>
      <c r="E170" s="3002" t="s">
        <v>3230</v>
      </c>
      <c r="F170" s="3003">
        <v>58.6</v>
      </c>
      <c r="G170" s="3004">
        <f t="shared" si="9"/>
        <v>21273.34</v>
      </c>
      <c r="H170" s="3005">
        <v>1246618</v>
      </c>
      <c r="I170" s="2994">
        <f t="shared" si="8"/>
        <v>15955</v>
      </c>
    </row>
    <row r="171" spans="1:9" s="2994" customFormat="1" ht="15.95" customHeight="1">
      <c r="A171" s="3000" t="s">
        <v>3955</v>
      </c>
      <c r="B171" s="3001">
        <v>169</v>
      </c>
      <c r="C171" s="2941" t="s">
        <v>1377</v>
      </c>
      <c r="D171" s="2941" t="s">
        <v>3956</v>
      </c>
      <c r="E171" s="3002" t="s">
        <v>3231</v>
      </c>
      <c r="F171" s="3003">
        <v>50.67</v>
      </c>
      <c r="G171" s="3004">
        <f t="shared" si="9"/>
        <v>24101.4</v>
      </c>
      <c r="H171" s="3005">
        <v>1221218</v>
      </c>
      <c r="I171" s="2994">
        <f t="shared" si="8"/>
        <v>18076</v>
      </c>
    </row>
    <row r="172" spans="1:9" s="2994" customFormat="1" ht="15.95" customHeight="1">
      <c r="A172" s="3000" t="s">
        <v>3955</v>
      </c>
      <c r="B172" s="3001">
        <v>170</v>
      </c>
      <c r="C172" s="2941" t="s">
        <v>1377</v>
      </c>
      <c r="D172" s="2941" t="s">
        <v>3956</v>
      </c>
      <c r="E172" s="3002" t="s">
        <v>3232</v>
      </c>
      <c r="F172" s="3003">
        <v>53.91</v>
      </c>
      <c r="G172" s="3004">
        <f t="shared" si="9"/>
        <v>21711.09</v>
      </c>
      <c r="H172" s="3005">
        <v>1170445</v>
      </c>
      <c r="I172" s="2994">
        <f t="shared" si="8"/>
        <v>16283</v>
      </c>
    </row>
    <row r="173" spans="1:9" s="2994" customFormat="1" ht="15.95" customHeight="1">
      <c r="A173" s="3000" t="s">
        <v>3955</v>
      </c>
      <c r="B173" s="3001">
        <v>171</v>
      </c>
      <c r="C173" s="2941" t="s">
        <v>1377</v>
      </c>
      <c r="D173" s="2941" t="s">
        <v>3956</v>
      </c>
      <c r="E173" s="3002" t="s">
        <v>3233</v>
      </c>
      <c r="F173" s="3003">
        <v>54.45</v>
      </c>
      <c r="G173" s="3004">
        <f t="shared" si="9"/>
        <v>21544.19</v>
      </c>
      <c r="H173" s="3005">
        <v>1173081</v>
      </c>
      <c r="I173" s="2994">
        <f t="shared" si="8"/>
        <v>16158</v>
      </c>
    </row>
    <row r="174" spans="1:9" s="2994" customFormat="1" ht="15.95" customHeight="1">
      <c r="A174" s="3000" t="s">
        <v>3943</v>
      </c>
      <c r="B174" s="3001">
        <v>172</v>
      </c>
      <c r="C174" s="2941" t="s">
        <v>1377</v>
      </c>
      <c r="D174" s="2941" t="s">
        <v>3957</v>
      </c>
      <c r="E174" s="3002" t="s">
        <v>3234</v>
      </c>
      <c r="F174" s="3003">
        <v>119.54</v>
      </c>
      <c r="G174" s="3004">
        <f t="shared" si="9"/>
        <v>23315.89</v>
      </c>
      <c r="H174" s="3005">
        <v>2787181</v>
      </c>
      <c r="I174" s="2994">
        <f t="shared" si="8"/>
        <v>17487</v>
      </c>
    </row>
    <row r="175" spans="1:9" s="2994" customFormat="1" ht="15.95" customHeight="1">
      <c r="A175" s="3000" t="s">
        <v>3943</v>
      </c>
      <c r="B175" s="3001">
        <v>173</v>
      </c>
      <c r="C175" s="2941" t="s">
        <v>1377</v>
      </c>
      <c r="D175" s="2941" t="s">
        <v>3957</v>
      </c>
      <c r="E175" s="3002" t="s">
        <v>3235</v>
      </c>
      <c r="F175" s="3003">
        <v>103.92</v>
      </c>
      <c r="G175" s="3004">
        <f t="shared" si="9"/>
        <v>21720.14</v>
      </c>
      <c r="H175" s="3005">
        <v>2257157</v>
      </c>
      <c r="I175" s="2994">
        <f t="shared" si="8"/>
        <v>16290</v>
      </c>
    </row>
    <row r="176" spans="1:9" s="2994" customFormat="1" ht="15.95" customHeight="1">
      <c r="A176" s="3000" t="s">
        <v>3943</v>
      </c>
      <c r="B176" s="3001">
        <v>174</v>
      </c>
      <c r="C176" s="2941" t="s">
        <v>1377</v>
      </c>
      <c r="D176" s="2941" t="s">
        <v>3957</v>
      </c>
      <c r="E176" s="3002" t="s">
        <v>3236</v>
      </c>
      <c r="F176" s="3003">
        <v>96.76</v>
      </c>
      <c r="G176" s="3004">
        <f t="shared" si="9"/>
        <v>21464.23</v>
      </c>
      <c r="H176" s="3005">
        <v>2076879</v>
      </c>
      <c r="I176" s="2994">
        <f t="shared" si="8"/>
        <v>16098</v>
      </c>
    </row>
    <row r="177" spans="1:9" s="2994" customFormat="1" ht="15.95" customHeight="1">
      <c r="A177" s="3000" t="s">
        <v>3943</v>
      </c>
      <c r="B177" s="3001">
        <v>175</v>
      </c>
      <c r="C177" s="2941" t="s">
        <v>1377</v>
      </c>
      <c r="D177" s="2941" t="s">
        <v>3957</v>
      </c>
      <c r="E177" s="3002" t="s">
        <v>3237</v>
      </c>
      <c r="F177" s="3003">
        <v>129.21</v>
      </c>
      <c r="G177" s="3004">
        <f t="shared" si="9"/>
        <v>22132.71</v>
      </c>
      <c r="H177" s="3005">
        <v>2859767</v>
      </c>
      <c r="I177" s="2994">
        <f t="shared" si="8"/>
        <v>16600</v>
      </c>
    </row>
    <row r="178" spans="1:9" s="2994" customFormat="1" ht="15.95" customHeight="1">
      <c r="A178" s="3000" t="s">
        <v>3943</v>
      </c>
      <c r="B178" s="3001">
        <v>176</v>
      </c>
      <c r="C178" s="2941" t="s">
        <v>1377</v>
      </c>
      <c r="D178" s="2941" t="s">
        <v>3957</v>
      </c>
      <c r="E178" s="3002" t="s">
        <v>3238</v>
      </c>
      <c r="F178" s="3003">
        <v>61.12</v>
      </c>
      <c r="G178" s="3004">
        <f t="shared" si="9"/>
        <v>22215.1</v>
      </c>
      <c r="H178" s="3005">
        <v>1357787</v>
      </c>
      <c r="I178" s="2994">
        <f t="shared" si="8"/>
        <v>16661</v>
      </c>
    </row>
    <row r="179" spans="1:9" s="2994" customFormat="1" ht="15.95" customHeight="1">
      <c r="A179" s="3000" t="s">
        <v>3943</v>
      </c>
      <c r="B179" s="3001">
        <v>177</v>
      </c>
      <c r="C179" s="2941" t="s">
        <v>1377</v>
      </c>
      <c r="D179" s="2941" t="s">
        <v>3957</v>
      </c>
      <c r="E179" s="3002" t="s">
        <v>3239</v>
      </c>
      <c r="F179" s="3003">
        <v>54.82</v>
      </c>
      <c r="G179" s="3004">
        <f t="shared" si="9"/>
        <v>22072.6</v>
      </c>
      <c r="H179" s="3005">
        <v>1210020</v>
      </c>
      <c r="I179" s="2994">
        <f t="shared" si="8"/>
        <v>16554</v>
      </c>
    </row>
    <row r="180" spans="1:9" s="2994" customFormat="1" ht="15.95" customHeight="1">
      <c r="A180" s="3000" t="s">
        <v>3943</v>
      </c>
      <c r="B180" s="3001">
        <v>178</v>
      </c>
      <c r="C180" s="2941" t="s">
        <v>1377</v>
      </c>
      <c r="D180" s="2941" t="s">
        <v>3957</v>
      </c>
      <c r="E180" s="3002" t="s">
        <v>3240</v>
      </c>
      <c r="F180" s="3003">
        <v>48.52</v>
      </c>
      <c r="G180" s="3004">
        <f t="shared" si="9"/>
        <v>22570.240000000002</v>
      </c>
      <c r="H180" s="3005">
        <v>1095108</v>
      </c>
      <c r="I180" s="2994">
        <f t="shared" si="8"/>
        <v>16928</v>
      </c>
    </row>
    <row r="181" spans="1:9" s="2994" customFormat="1" ht="15.95" customHeight="1">
      <c r="A181" s="3000" t="s">
        <v>3943</v>
      </c>
      <c r="B181" s="3001">
        <v>179</v>
      </c>
      <c r="C181" s="2941" t="s">
        <v>1377</v>
      </c>
      <c r="D181" s="2941" t="s">
        <v>3957</v>
      </c>
      <c r="E181" s="3002" t="s">
        <v>3241</v>
      </c>
      <c r="F181" s="3003">
        <v>95.67</v>
      </c>
      <c r="G181" s="3004">
        <f t="shared" si="9"/>
        <v>20746.189999999999</v>
      </c>
      <c r="H181" s="3005">
        <v>1984788</v>
      </c>
      <c r="I181" s="2994">
        <f t="shared" si="8"/>
        <v>15560</v>
      </c>
    </row>
    <row r="182" spans="1:9" s="2994" customFormat="1" ht="15.95" customHeight="1">
      <c r="A182" s="3000" t="s">
        <v>3943</v>
      </c>
      <c r="B182" s="3001">
        <v>180</v>
      </c>
      <c r="C182" s="2941" t="s">
        <v>1377</v>
      </c>
      <c r="D182" s="2941" t="s">
        <v>3957</v>
      </c>
      <c r="E182" s="3002" t="s">
        <v>3242</v>
      </c>
      <c r="F182" s="3003">
        <v>95.67</v>
      </c>
      <c r="G182" s="3004">
        <f t="shared" si="9"/>
        <v>20476.04</v>
      </c>
      <c r="H182" s="3005">
        <v>1958943</v>
      </c>
      <c r="I182" s="2994">
        <f t="shared" si="8"/>
        <v>15357</v>
      </c>
    </row>
    <row r="183" spans="1:9" s="2994" customFormat="1" ht="15.95" customHeight="1">
      <c r="A183" s="3000" t="s">
        <v>3943</v>
      </c>
      <c r="B183" s="3001">
        <v>181</v>
      </c>
      <c r="C183" s="2941" t="s">
        <v>1377</v>
      </c>
      <c r="D183" s="2941" t="s">
        <v>3957</v>
      </c>
      <c r="E183" s="3002" t="s">
        <v>3243</v>
      </c>
      <c r="F183" s="3003">
        <v>94.04</v>
      </c>
      <c r="G183" s="3004">
        <f t="shared" si="9"/>
        <v>21740.36</v>
      </c>
      <c r="H183" s="3005">
        <v>2044463</v>
      </c>
      <c r="I183" s="2994">
        <f t="shared" si="8"/>
        <v>16305</v>
      </c>
    </row>
    <row r="184" spans="1:9" s="2994" customFormat="1" ht="15.95" customHeight="1">
      <c r="A184" s="3000" t="s">
        <v>3943</v>
      </c>
      <c r="B184" s="3001">
        <v>182</v>
      </c>
      <c r="C184" s="2941" t="s">
        <v>1377</v>
      </c>
      <c r="D184" s="2941" t="s">
        <v>3957</v>
      </c>
      <c r="E184" s="3002" t="s">
        <v>3244</v>
      </c>
      <c r="F184" s="3003">
        <v>95.67</v>
      </c>
      <c r="G184" s="3004">
        <f t="shared" si="9"/>
        <v>20566.09</v>
      </c>
      <c r="H184" s="3005">
        <v>1967558</v>
      </c>
      <c r="I184" s="2994">
        <f t="shared" si="8"/>
        <v>15425</v>
      </c>
    </row>
    <row r="185" spans="1:9" s="2994" customFormat="1" ht="15.95" customHeight="1">
      <c r="A185" s="3000" t="s">
        <v>3943</v>
      </c>
      <c r="B185" s="3001">
        <v>183</v>
      </c>
      <c r="C185" s="2941" t="s">
        <v>1377</v>
      </c>
      <c r="D185" s="2941" t="s">
        <v>3957</v>
      </c>
      <c r="E185" s="3002" t="s">
        <v>3245</v>
      </c>
      <c r="F185" s="3003">
        <v>95.67</v>
      </c>
      <c r="G185" s="3004">
        <f t="shared" si="9"/>
        <v>20746.189999999999</v>
      </c>
      <c r="H185" s="3005">
        <v>1984788</v>
      </c>
      <c r="I185" s="2994">
        <f t="shared" si="8"/>
        <v>15560</v>
      </c>
    </row>
    <row r="186" spans="1:9" s="2994" customFormat="1" ht="15.95" customHeight="1">
      <c r="A186" s="3000" t="s">
        <v>3943</v>
      </c>
      <c r="B186" s="3001">
        <v>184</v>
      </c>
      <c r="C186" s="2941" t="s">
        <v>1377</v>
      </c>
      <c r="D186" s="2941" t="s">
        <v>3957</v>
      </c>
      <c r="E186" s="3002" t="s">
        <v>3246</v>
      </c>
      <c r="F186" s="3003">
        <v>95.56</v>
      </c>
      <c r="G186" s="3004">
        <f t="shared" si="9"/>
        <v>20656.37</v>
      </c>
      <c r="H186" s="3005">
        <v>1973923</v>
      </c>
      <c r="I186" s="2994">
        <f t="shared" si="8"/>
        <v>15492</v>
      </c>
    </row>
    <row r="187" spans="1:9" s="2994" customFormat="1" ht="15.95" customHeight="1">
      <c r="A187" s="3000" t="s">
        <v>3943</v>
      </c>
      <c r="B187" s="3001">
        <v>185</v>
      </c>
      <c r="C187" s="2941" t="s">
        <v>1377</v>
      </c>
      <c r="D187" s="2941" t="s">
        <v>3957</v>
      </c>
      <c r="E187" s="3002" t="s">
        <v>3247</v>
      </c>
      <c r="F187" s="3003">
        <v>94.18</v>
      </c>
      <c r="G187" s="3004">
        <f t="shared" si="9"/>
        <v>23000.74</v>
      </c>
      <c r="H187" s="3005">
        <v>2166210</v>
      </c>
      <c r="I187" s="2994">
        <f t="shared" si="8"/>
        <v>17251</v>
      </c>
    </row>
    <row r="188" spans="1:9" s="2994" customFormat="1" ht="15.95" customHeight="1">
      <c r="A188" s="3000" t="s">
        <v>3943</v>
      </c>
      <c r="B188" s="3001">
        <v>186</v>
      </c>
      <c r="C188" s="2941" t="s">
        <v>1377</v>
      </c>
      <c r="D188" s="2941" t="s">
        <v>3957</v>
      </c>
      <c r="E188" s="3002" t="s">
        <v>3248</v>
      </c>
      <c r="F188" s="3003">
        <v>63.78</v>
      </c>
      <c r="G188" s="3004">
        <f t="shared" si="9"/>
        <v>22291.5</v>
      </c>
      <c r="H188" s="3005">
        <v>1421752</v>
      </c>
      <c r="I188" s="2994">
        <f t="shared" si="8"/>
        <v>16719</v>
      </c>
    </row>
    <row r="189" spans="1:9" s="2994" customFormat="1" ht="15.95" customHeight="1">
      <c r="A189" s="3000" t="s">
        <v>3943</v>
      </c>
      <c r="B189" s="3001">
        <v>187</v>
      </c>
      <c r="C189" s="2941" t="s">
        <v>1377</v>
      </c>
      <c r="D189" s="2941" t="s">
        <v>3957</v>
      </c>
      <c r="E189" s="3002" t="s">
        <v>3249</v>
      </c>
      <c r="F189" s="3003">
        <v>63.78</v>
      </c>
      <c r="G189" s="3004">
        <f t="shared" si="9"/>
        <v>22471.61</v>
      </c>
      <c r="H189" s="3005">
        <v>1433239</v>
      </c>
      <c r="I189" s="2994">
        <f t="shared" si="8"/>
        <v>16854</v>
      </c>
    </row>
    <row r="190" spans="1:9" s="2994" customFormat="1" ht="15.95" customHeight="1">
      <c r="A190" s="3000" t="s">
        <v>3943</v>
      </c>
      <c r="B190" s="3001">
        <v>188</v>
      </c>
      <c r="C190" s="2941" t="s">
        <v>1377</v>
      </c>
      <c r="D190" s="2941" t="s">
        <v>3957</v>
      </c>
      <c r="E190" s="3002" t="s">
        <v>3250</v>
      </c>
      <c r="F190" s="3003">
        <v>61.3</v>
      </c>
      <c r="G190" s="3004">
        <f t="shared" si="9"/>
        <v>22394.240000000002</v>
      </c>
      <c r="H190" s="3005">
        <v>1372767</v>
      </c>
      <c r="I190" s="2994">
        <f t="shared" si="8"/>
        <v>16796</v>
      </c>
    </row>
    <row r="191" spans="1:9" s="2994" customFormat="1" ht="15.95" customHeight="1">
      <c r="A191" s="3000" t="s">
        <v>3943</v>
      </c>
      <c r="B191" s="3001">
        <v>189</v>
      </c>
      <c r="C191" s="2941" t="s">
        <v>1377</v>
      </c>
      <c r="D191" s="2941" t="s">
        <v>3957</v>
      </c>
      <c r="E191" s="3002" t="s">
        <v>3251</v>
      </c>
      <c r="F191" s="3003">
        <v>115.83</v>
      </c>
      <c r="G191" s="3004">
        <f t="shared" si="9"/>
        <v>20799.849999999999</v>
      </c>
      <c r="H191" s="3005">
        <v>2409247</v>
      </c>
      <c r="I191" s="2994">
        <f t="shared" si="8"/>
        <v>15600</v>
      </c>
    </row>
    <row r="192" spans="1:9" s="2994" customFormat="1" ht="15.95" customHeight="1">
      <c r="A192" s="3000" t="s">
        <v>3943</v>
      </c>
      <c r="B192" s="3001">
        <v>190</v>
      </c>
      <c r="C192" s="2941" t="s">
        <v>1377</v>
      </c>
      <c r="D192" s="2941" t="s">
        <v>3957</v>
      </c>
      <c r="E192" s="3002" t="s">
        <v>3252</v>
      </c>
      <c r="F192" s="3003">
        <v>78.86</v>
      </c>
      <c r="G192" s="3004">
        <f t="shared" si="9"/>
        <v>21691.25</v>
      </c>
      <c r="H192" s="3005">
        <v>1710572</v>
      </c>
      <c r="I192" s="2994">
        <f t="shared" si="8"/>
        <v>16268</v>
      </c>
    </row>
    <row r="193" spans="1:9" s="2994" customFormat="1" ht="15.95" customHeight="1">
      <c r="A193" s="3000" t="s">
        <v>3943</v>
      </c>
      <c r="B193" s="3001">
        <v>191</v>
      </c>
      <c r="C193" s="2941" t="s">
        <v>1377</v>
      </c>
      <c r="D193" s="2941" t="s">
        <v>3957</v>
      </c>
      <c r="E193" s="3002" t="s">
        <v>3253</v>
      </c>
      <c r="F193" s="3003">
        <v>60.95</v>
      </c>
      <c r="G193" s="3004">
        <f t="shared" si="9"/>
        <v>23836.92</v>
      </c>
      <c r="H193" s="3005">
        <v>1452860</v>
      </c>
      <c r="I193" s="2994">
        <f t="shared" si="8"/>
        <v>17878</v>
      </c>
    </row>
    <row r="194" spans="1:9" s="2994" customFormat="1" ht="15.95" customHeight="1">
      <c r="A194" s="3000" t="s">
        <v>3943</v>
      </c>
      <c r="B194" s="3001">
        <v>192</v>
      </c>
      <c r="C194" s="2941" t="s">
        <v>1377</v>
      </c>
      <c r="D194" s="2941" t="s">
        <v>3957</v>
      </c>
      <c r="E194" s="3002" t="s">
        <v>3254</v>
      </c>
      <c r="F194" s="3003">
        <v>169.17</v>
      </c>
      <c r="G194" s="3004">
        <f t="shared" si="9"/>
        <v>24527.49</v>
      </c>
      <c r="H194" s="3005">
        <v>4149315</v>
      </c>
      <c r="I194" s="2994">
        <f t="shared" si="8"/>
        <v>18396</v>
      </c>
    </row>
    <row r="195" spans="1:9" s="2994" customFormat="1" ht="15.95" customHeight="1">
      <c r="A195" s="3000" t="s">
        <v>3943</v>
      </c>
      <c r="B195" s="3001">
        <v>193</v>
      </c>
      <c r="C195" s="2941" t="s">
        <v>1377</v>
      </c>
      <c r="D195" s="2941" t="s">
        <v>3957</v>
      </c>
      <c r="E195" s="3002" t="s">
        <v>3255</v>
      </c>
      <c r="F195" s="3003">
        <v>41.98</v>
      </c>
      <c r="G195" s="3004">
        <f t="shared" si="9"/>
        <v>24975.73</v>
      </c>
      <c r="H195" s="3005">
        <v>1048481</v>
      </c>
      <c r="I195" s="2994">
        <f t="shared" si="8"/>
        <v>18732</v>
      </c>
    </row>
    <row r="196" spans="1:9" s="2994" customFormat="1" ht="15.95" customHeight="1">
      <c r="A196" s="3000" t="s">
        <v>3943</v>
      </c>
      <c r="B196" s="3001">
        <v>194</v>
      </c>
      <c r="C196" s="2941" t="s">
        <v>1377</v>
      </c>
      <c r="D196" s="2941" t="s">
        <v>3957</v>
      </c>
      <c r="E196" s="3002" t="s">
        <v>3256</v>
      </c>
      <c r="F196" s="3003">
        <v>109.8</v>
      </c>
      <c r="G196" s="3004">
        <f t="shared" si="9"/>
        <v>23330.73</v>
      </c>
      <c r="H196" s="3005">
        <v>2561714</v>
      </c>
      <c r="I196" s="2994">
        <f t="shared" ref="I196:I251" si="10">ROUND(G196*0.75,0)</f>
        <v>17498</v>
      </c>
    </row>
    <row r="197" spans="1:9" s="2994" customFormat="1" ht="15.95" customHeight="1">
      <c r="A197" s="3000" t="s">
        <v>3943</v>
      </c>
      <c r="B197" s="3001">
        <v>195</v>
      </c>
      <c r="C197" s="2941" t="s">
        <v>1377</v>
      </c>
      <c r="D197" s="2941" t="s">
        <v>3957</v>
      </c>
      <c r="E197" s="3002" t="s">
        <v>3257</v>
      </c>
      <c r="F197" s="3003">
        <v>80.08</v>
      </c>
      <c r="G197" s="3004">
        <f t="shared" si="9"/>
        <v>25559.53</v>
      </c>
      <c r="H197" s="3005">
        <v>2046807</v>
      </c>
      <c r="I197" s="2994">
        <f t="shared" si="10"/>
        <v>19170</v>
      </c>
    </row>
    <row r="198" spans="1:9" s="2994" customFormat="1" ht="15.95" customHeight="1">
      <c r="A198" s="3000" t="s">
        <v>3943</v>
      </c>
      <c r="B198" s="3001">
        <v>196</v>
      </c>
      <c r="C198" s="2941" t="s">
        <v>1377</v>
      </c>
      <c r="D198" s="2941" t="s">
        <v>3957</v>
      </c>
      <c r="E198" s="3002" t="s">
        <v>3258</v>
      </c>
      <c r="F198" s="3003">
        <v>80.48</v>
      </c>
      <c r="G198" s="3004">
        <f t="shared" si="9"/>
        <v>23216.99</v>
      </c>
      <c r="H198" s="3005">
        <v>1868503</v>
      </c>
      <c r="I198" s="2994">
        <f t="shared" si="10"/>
        <v>17413</v>
      </c>
    </row>
    <row r="199" spans="1:9" s="2994" customFormat="1" ht="15.95" customHeight="1">
      <c r="A199" s="3000" t="s">
        <v>3943</v>
      </c>
      <c r="B199" s="3001">
        <v>197</v>
      </c>
      <c r="C199" s="2941" t="s">
        <v>1377</v>
      </c>
      <c r="D199" s="2941" t="s">
        <v>3957</v>
      </c>
      <c r="E199" s="3002" t="s">
        <v>3259</v>
      </c>
      <c r="F199" s="3003">
        <v>80.37</v>
      </c>
      <c r="G199" s="3004">
        <f t="shared" si="9"/>
        <v>22586.99</v>
      </c>
      <c r="H199" s="3005">
        <v>1815316</v>
      </c>
      <c r="I199" s="2994">
        <f t="shared" si="10"/>
        <v>16940</v>
      </c>
    </row>
    <row r="200" spans="1:9" s="2994" customFormat="1" ht="15.95" customHeight="1">
      <c r="A200" s="3000" t="s">
        <v>3943</v>
      </c>
      <c r="B200" s="3001">
        <v>198</v>
      </c>
      <c r="C200" s="2941" t="s">
        <v>1377</v>
      </c>
      <c r="D200" s="2941" t="s">
        <v>3957</v>
      </c>
      <c r="E200" s="3002" t="s">
        <v>3260</v>
      </c>
      <c r="F200" s="3003">
        <v>80.48</v>
      </c>
      <c r="G200" s="3004">
        <f t="shared" si="9"/>
        <v>22676.7</v>
      </c>
      <c r="H200" s="3005">
        <v>1825021</v>
      </c>
      <c r="I200" s="2994">
        <f t="shared" si="10"/>
        <v>17008</v>
      </c>
    </row>
    <row r="201" spans="1:9" s="2994" customFormat="1" ht="15.95" customHeight="1">
      <c r="A201" s="3000" t="s">
        <v>3943</v>
      </c>
      <c r="B201" s="3001">
        <v>199</v>
      </c>
      <c r="C201" s="2941" t="s">
        <v>1377</v>
      </c>
      <c r="D201" s="2941" t="s">
        <v>3957</v>
      </c>
      <c r="E201" s="3002" t="s">
        <v>3261</v>
      </c>
      <c r="F201" s="3003">
        <v>80.48</v>
      </c>
      <c r="G201" s="3004">
        <f t="shared" si="9"/>
        <v>22586.639999999999</v>
      </c>
      <c r="H201" s="3005">
        <v>1817773</v>
      </c>
      <c r="I201" s="2994">
        <f t="shared" si="10"/>
        <v>16940</v>
      </c>
    </row>
    <row r="202" spans="1:9" s="2994" customFormat="1" ht="15.95" customHeight="1">
      <c r="A202" s="3000" t="s">
        <v>3943</v>
      </c>
      <c r="B202" s="3001">
        <v>200</v>
      </c>
      <c r="C202" s="2941" t="s">
        <v>1377</v>
      </c>
      <c r="D202" s="2941" t="s">
        <v>3957</v>
      </c>
      <c r="E202" s="3002" t="s">
        <v>3262</v>
      </c>
      <c r="F202" s="3003">
        <v>80.37</v>
      </c>
      <c r="G202" s="3004">
        <f t="shared" si="9"/>
        <v>22316.83</v>
      </c>
      <c r="H202" s="3005">
        <v>1793604</v>
      </c>
      <c r="I202" s="2994">
        <f t="shared" si="10"/>
        <v>16738</v>
      </c>
    </row>
    <row r="203" spans="1:9" s="2994" customFormat="1" ht="15.95" customHeight="1">
      <c r="A203" s="3000" t="s">
        <v>3943</v>
      </c>
      <c r="B203" s="3001">
        <v>201</v>
      </c>
      <c r="C203" s="2941" t="s">
        <v>1377</v>
      </c>
      <c r="D203" s="2941" t="s">
        <v>3957</v>
      </c>
      <c r="E203" s="3002" t="s">
        <v>3263</v>
      </c>
      <c r="F203" s="3003">
        <v>80.48</v>
      </c>
      <c r="G203" s="3004">
        <f t="shared" si="9"/>
        <v>22856.78</v>
      </c>
      <c r="H203" s="3005">
        <v>1839514</v>
      </c>
      <c r="I203" s="2994">
        <f t="shared" si="10"/>
        <v>17143</v>
      </c>
    </row>
    <row r="204" spans="1:9" s="2994" customFormat="1" ht="15.95" customHeight="1">
      <c r="A204" s="3000" t="s">
        <v>3943</v>
      </c>
      <c r="B204" s="3001">
        <v>202</v>
      </c>
      <c r="C204" s="2941" t="s">
        <v>1377</v>
      </c>
      <c r="D204" s="2941" t="s">
        <v>3957</v>
      </c>
      <c r="E204" s="3002" t="s">
        <v>3264</v>
      </c>
      <c r="F204" s="3003">
        <v>80.48</v>
      </c>
      <c r="G204" s="3004">
        <f t="shared" si="9"/>
        <v>23126.95</v>
      </c>
      <c r="H204" s="3005">
        <v>1861257</v>
      </c>
      <c r="I204" s="2994">
        <f t="shared" si="10"/>
        <v>17345</v>
      </c>
    </row>
    <row r="205" spans="1:9" s="2994" customFormat="1" ht="15.95" customHeight="1">
      <c r="A205" s="3000" t="s">
        <v>3943</v>
      </c>
      <c r="B205" s="3001">
        <v>203</v>
      </c>
      <c r="C205" s="2941" t="s">
        <v>1377</v>
      </c>
      <c r="D205" s="2941" t="s">
        <v>3957</v>
      </c>
      <c r="E205" s="3002" t="s">
        <v>3265</v>
      </c>
      <c r="F205" s="3003">
        <v>80.61</v>
      </c>
      <c r="G205" s="3004">
        <f t="shared" si="9"/>
        <v>23396.69</v>
      </c>
      <c r="H205" s="3005">
        <v>1886007</v>
      </c>
      <c r="I205" s="2994">
        <f t="shared" si="10"/>
        <v>17548</v>
      </c>
    </row>
    <row r="206" spans="1:9" s="2994" customFormat="1" ht="15.95" customHeight="1">
      <c r="A206" s="3000" t="s">
        <v>3943</v>
      </c>
      <c r="B206" s="3001">
        <v>204</v>
      </c>
      <c r="C206" s="2941" t="s">
        <v>1377</v>
      </c>
      <c r="D206" s="2941" t="s">
        <v>3957</v>
      </c>
      <c r="E206" s="3002" t="s">
        <v>3266</v>
      </c>
      <c r="F206" s="3003">
        <v>64.459999999999994</v>
      </c>
      <c r="G206" s="3004">
        <f t="shared" si="9"/>
        <v>22288.19</v>
      </c>
      <c r="H206" s="3005">
        <v>1436697</v>
      </c>
      <c r="I206" s="2994">
        <f t="shared" si="10"/>
        <v>16716</v>
      </c>
    </row>
    <row r="207" spans="1:9" s="2994" customFormat="1" ht="15.95" customHeight="1">
      <c r="A207" s="3000" t="s">
        <v>3943</v>
      </c>
      <c r="B207" s="3001">
        <v>205</v>
      </c>
      <c r="C207" s="2941" t="s">
        <v>1377</v>
      </c>
      <c r="D207" s="2941" t="s">
        <v>3957</v>
      </c>
      <c r="E207" s="3002" t="s">
        <v>3267</v>
      </c>
      <c r="F207" s="3003">
        <v>41.79</v>
      </c>
      <c r="G207" s="3004">
        <f t="shared" si="9"/>
        <v>23447.07</v>
      </c>
      <c r="H207" s="3005">
        <v>979853</v>
      </c>
      <c r="I207" s="2994">
        <f t="shared" si="10"/>
        <v>17585</v>
      </c>
    </row>
    <row r="208" spans="1:9" s="2994" customFormat="1" ht="15.95" customHeight="1">
      <c r="A208" s="3000" t="s">
        <v>3943</v>
      </c>
      <c r="B208" s="3001">
        <v>206</v>
      </c>
      <c r="C208" s="2941" t="s">
        <v>1377</v>
      </c>
      <c r="D208" s="2941" t="s">
        <v>3957</v>
      </c>
      <c r="E208" s="3002" t="s">
        <v>3268</v>
      </c>
      <c r="F208" s="3003">
        <v>30.28</v>
      </c>
      <c r="G208" s="3004">
        <f t="shared" si="9"/>
        <v>30652.87</v>
      </c>
      <c r="H208" s="3005">
        <v>928169</v>
      </c>
      <c r="I208" s="2994">
        <f t="shared" si="10"/>
        <v>22990</v>
      </c>
    </row>
    <row r="209" spans="1:9" s="2994" customFormat="1" ht="15.95" customHeight="1">
      <c r="A209" s="3000" t="s">
        <v>3953</v>
      </c>
      <c r="B209" s="3001">
        <v>207</v>
      </c>
      <c r="C209" s="2941" t="s">
        <v>1377</v>
      </c>
      <c r="D209" s="2941" t="s">
        <v>3957</v>
      </c>
      <c r="E209" s="3002" t="s">
        <v>3269</v>
      </c>
      <c r="F209" s="3003">
        <v>128.06</v>
      </c>
      <c r="G209" s="3004">
        <f t="shared" si="9"/>
        <v>23196.69</v>
      </c>
      <c r="H209" s="3005">
        <v>2970568</v>
      </c>
      <c r="I209" s="2994">
        <f t="shared" si="10"/>
        <v>17398</v>
      </c>
    </row>
    <row r="210" spans="1:9" s="2994" customFormat="1" ht="15.95" customHeight="1">
      <c r="A210" s="3000" t="s">
        <v>3953</v>
      </c>
      <c r="B210" s="3001">
        <v>208</v>
      </c>
      <c r="C210" s="2941" t="s">
        <v>1377</v>
      </c>
      <c r="D210" s="2941" t="s">
        <v>3957</v>
      </c>
      <c r="E210" s="3002" t="s">
        <v>3270</v>
      </c>
      <c r="F210" s="3003">
        <v>82.58</v>
      </c>
      <c r="G210" s="3004">
        <f t="shared" si="9"/>
        <v>20527.169999999998</v>
      </c>
      <c r="H210" s="3005">
        <v>1695134</v>
      </c>
      <c r="I210" s="2994">
        <f t="shared" si="10"/>
        <v>15395</v>
      </c>
    </row>
    <row r="211" spans="1:9" s="2994" customFormat="1" ht="15.95" customHeight="1">
      <c r="A211" s="3000" t="s">
        <v>3953</v>
      </c>
      <c r="B211" s="3001">
        <v>209</v>
      </c>
      <c r="C211" s="2941" t="s">
        <v>1377</v>
      </c>
      <c r="D211" s="2941" t="s">
        <v>3957</v>
      </c>
      <c r="E211" s="3002" t="s">
        <v>3271</v>
      </c>
      <c r="F211" s="3003">
        <v>90.04</v>
      </c>
      <c r="G211" s="3004">
        <f t="shared" si="9"/>
        <v>19894.77</v>
      </c>
      <c r="H211" s="3005">
        <v>1791325</v>
      </c>
      <c r="I211" s="2994">
        <f t="shared" si="10"/>
        <v>14921</v>
      </c>
    </row>
    <row r="212" spans="1:9" s="2994" customFormat="1" ht="15.95" customHeight="1">
      <c r="A212" s="3000" t="s">
        <v>3953</v>
      </c>
      <c r="B212" s="3001">
        <v>210</v>
      </c>
      <c r="C212" s="2941" t="s">
        <v>1377</v>
      </c>
      <c r="D212" s="2941" t="s">
        <v>3957</v>
      </c>
      <c r="E212" s="3002" t="s">
        <v>3272</v>
      </c>
      <c r="F212" s="3003">
        <v>85.25</v>
      </c>
      <c r="G212" s="3004">
        <f t="shared" si="9"/>
        <v>18835.669999999998</v>
      </c>
      <c r="H212" s="3005">
        <v>1605741</v>
      </c>
      <c r="I212" s="2994">
        <f t="shared" si="10"/>
        <v>14127</v>
      </c>
    </row>
    <row r="213" spans="1:9" s="2994" customFormat="1" ht="15.95" customHeight="1">
      <c r="A213" s="3000" t="s">
        <v>3953</v>
      </c>
      <c r="B213" s="3001">
        <v>211</v>
      </c>
      <c r="C213" s="2941" t="s">
        <v>1377</v>
      </c>
      <c r="D213" s="2941" t="s">
        <v>3957</v>
      </c>
      <c r="E213" s="3002" t="s">
        <v>3273</v>
      </c>
      <c r="F213" s="3003">
        <v>80.59</v>
      </c>
      <c r="G213" s="3004">
        <f t="shared" si="9"/>
        <v>18543.060000000001</v>
      </c>
      <c r="H213" s="3005">
        <v>1494385</v>
      </c>
      <c r="I213" s="2994">
        <f t="shared" si="10"/>
        <v>13907</v>
      </c>
    </row>
    <row r="214" spans="1:9" s="2994" customFormat="1" ht="15.95" customHeight="1">
      <c r="A214" s="3000" t="s">
        <v>3953</v>
      </c>
      <c r="B214" s="3001">
        <v>212</v>
      </c>
      <c r="C214" s="2941" t="s">
        <v>1377</v>
      </c>
      <c r="D214" s="2941" t="s">
        <v>3957</v>
      </c>
      <c r="E214" s="3002" t="s">
        <v>3274</v>
      </c>
      <c r="F214" s="3003">
        <v>94.2</v>
      </c>
      <c r="G214" s="3004">
        <f t="shared" si="9"/>
        <v>19578.810000000001</v>
      </c>
      <c r="H214" s="3005">
        <v>1844324</v>
      </c>
      <c r="I214" s="2994">
        <f t="shared" si="10"/>
        <v>14684</v>
      </c>
    </row>
    <row r="215" spans="1:9" s="2994" customFormat="1" ht="15.95" customHeight="1">
      <c r="A215" s="3000" t="s">
        <v>3953</v>
      </c>
      <c r="B215" s="3001">
        <v>213</v>
      </c>
      <c r="C215" s="2941" t="s">
        <v>1377</v>
      </c>
      <c r="D215" s="2941" t="s">
        <v>3957</v>
      </c>
      <c r="E215" s="3002" t="s">
        <v>3275</v>
      </c>
      <c r="F215" s="3003">
        <v>90.14</v>
      </c>
      <c r="G215" s="3004">
        <f t="shared" si="9"/>
        <v>19205.66</v>
      </c>
      <c r="H215" s="3005">
        <v>1731198</v>
      </c>
      <c r="I215" s="2994">
        <f t="shared" si="10"/>
        <v>14404</v>
      </c>
    </row>
    <row r="216" spans="1:9" s="2994" customFormat="1" ht="15.95" customHeight="1">
      <c r="A216" s="3000" t="s">
        <v>3953</v>
      </c>
      <c r="B216" s="3001">
        <v>214</v>
      </c>
      <c r="C216" s="2941" t="s">
        <v>1377</v>
      </c>
      <c r="D216" s="2941" t="s">
        <v>3957</v>
      </c>
      <c r="E216" s="3002" t="s">
        <v>3276</v>
      </c>
      <c r="F216" s="3003">
        <v>107.81</v>
      </c>
      <c r="G216" s="3004">
        <f t="shared" ref="G216:G264" si="11">ROUND(H216/F216,2)</f>
        <v>19092.740000000002</v>
      </c>
      <c r="H216" s="3005">
        <v>2058388</v>
      </c>
      <c r="I216" s="2994">
        <f t="shared" si="10"/>
        <v>14320</v>
      </c>
    </row>
    <row r="217" spans="1:9" s="2994" customFormat="1" ht="15.95" customHeight="1">
      <c r="A217" s="3000" t="s">
        <v>3953</v>
      </c>
      <c r="B217" s="3001">
        <v>215</v>
      </c>
      <c r="C217" s="2941" t="s">
        <v>1377</v>
      </c>
      <c r="D217" s="2941" t="s">
        <v>3957</v>
      </c>
      <c r="E217" s="3002" t="s">
        <v>3277</v>
      </c>
      <c r="F217" s="3003">
        <v>97.92</v>
      </c>
      <c r="G217" s="3004">
        <f t="shared" si="11"/>
        <v>22632.43</v>
      </c>
      <c r="H217" s="3005">
        <v>2216168</v>
      </c>
      <c r="I217" s="2994">
        <f t="shared" si="10"/>
        <v>16974</v>
      </c>
    </row>
    <row r="218" spans="1:9" s="2994" customFormat="1" ht="15.95" customHeight="1">
      <c r="A218" s="3000" t="s">
        <v>3953</v>
      </c>
      <c r="B218" s="3001">
        <v>216</v>
      </c>
      <c r="C218" s="2941" t="s">
        <v>1377</v>
      </c>
      <c r="D218" s="2941" t="s">
        <v>3957</v>
      </c>
      <c r="E218" s="3002" t="s">
        <v>3278</v>
      </c>
      <c r="F218" s="3003">
        <v>79.849999999999994</v>
      </c>
      <c r="G218" s="3004">
        <f t="shared" si="11"/>
        <v>19463.87</v>
      </c>
      <c r="H218" s="3005">
        <v>1554190</v>
      </c>
      <c r="I218" s="2994">
        <f t="shared" si="10"/>
        <v>14598</v>
      </c>
    </row>
    <row r="219" spans="1:9" s="3009" customFormat="1" ht="15.95" customHeight="1">
      <c r="A219" s="3000" t="s">
        <v>3953</v>
      </c>
      <c r="B219" s="3001">
        <v>217</v>
      </c>
      <c r="C219" s="2941" t="s">
        <v>1377</v>
      </c>
      <c r="D219" s="2941" t="s">
        <v>3957</v>
      </c>
      <c r="E219" s="3002" t="s">
        <v>3279</v>
      </c>
      <c r="F219" s="3003">
        <v>87.76</v>
      </c>
      <c r="G219" s="3004">
        <f t="shared" si="11"/>
        <v>22385.93</v>
      </c>
      <c r="H219" s="3005">
        <v>1964589</v>
      </c>
      <c r="I219" s="2994">
        <f t="shared" si="10"/>
        <v>16789</v>
      </c>
    </row>
    <row r="220" spans="1:9" s="3009" customFormat="1" ht="15.95" customHeight="1">
      <c r="A220" s="3000" t="s">
        <v>3954</v>
      </c>
      <c r="B220" s="3001">
        <v>218</v>
      </c>
      <c r="C220" s="2941" t="s">
        <v>1377</v>
      </c>
      <c r="D220" s="2941" t="s">
        <v>3957</v>
      </c>
      <c r="E220" s="3002" t="s">
        <v>3280</v>
      </c>
      <c r="F220" s="3003">
        <v>53.87</v>
      </c>
      <c r="G220" s="3004">
        <f t="shared" si="11"/>
        <v>25050.7</v>
      </c>
      <c r="H220" s="3005">
        <v>1349481</v>
      </c>
      <c r="I220" s="2994">
        <f t="shared" si="10"/>
        <v>18788</v>
      </c>
    </row>
    <row r="221" spans="1:9" s="3009" customFormat="1" ht="15.95" customHeight="1">
      <c r="A221" s="3000" t="s">
        <v>3954</v>
      </c>
      <c r="B221" s="3001">
        <v>219</v>
      </c>
      <c r="C221" s="2941" t="s">
        <v>1377</v>
      </c>
      <c r="D221" s="2941" t="s">
        <v>3957</v>
      </c>
      <c r="E221" s="3002" t="s">
        <v>3281</v>
      </c>
      <c r="F221" s="3003">
        <v>68.209999999999994</v>
      </c>
      <c r="G221" s="3004">
        <f t="shared" si="11"/>
        <v>24522.39</v>
      </c>
      <c r="H221" s="3005">
        <v>1672672</v>
      </c>
      <c r="I221" s="2994">
        <f t="shared" si="10"/>
        <v>18392</v>
      </c>
    </row>
    <row r="222" spans="1:9" s="2994" customFormat="1" ht="15.95" customHeight="1">
      <c r="A222" s="3000" t="s">
        <v>3954</v>
      </c>
      <c r="B222" s="3001">
        <v>220</v>
      </c>
      <c r="C222" s="2941" t="s">
        <v>1377</v>
      </c>
      <c r="D222" s="2941" t="s">
        <v>3957</v>
      </c>
      <c r="E222" s="3002" t="s">
        <v>3282</v>
      </c>
      <c r="F222" s="3003">
        <v>93.72</v>
      </c>
      <c r="G222" s="3004">
        <f t="shared" si="11"/>
        <v>30385.86</v>
      </c>
      <c r="H222" s="3005">
        <v>2847763</v>
      </c>
      <c r="I222" s="2994">
        <f t="shared" si="10"/>
        <v>22789</v>
      </c>
    </row>
    <row r="223" spans="1:9" s="2994" customFormat="1" ht="15.95" customHeight="1">
      <c r="A223" s="3000" t="s">
        <v>3954</v>
      </c>
      <c r="B223" s="3001">
        <v>221</v>
      </c>
      <c r="C223" s="2941" t="s">
        <v>1377</v>
      </c>
      <c r="D223" s="2941" t="s">
        <v>3957</v>
      </c>
      <c r="E223" s="3002" t="s">
        <v>3283</v>
      </c>
      <c r="F223" s="3003">
        <v>66.92</v>
      </c>
      <c r="G223" s="3004">
        <f t="shared" si="11"/>
        <v>24347.94</v>
      </c>
      <c r="H223" s="3005">
        <v>1629364</v>
      </c>
      <c r="I223" s="2994">
        <f t="shared" si="10"/>
        <v>18261</v>
      </c>
    </row>
    <row r="224" spans="1:9" s="2994" customFormat="1" ht="15.95" customHeight="1">
      <c r="A224" s="3000" t="s">
        <v>3954</v>
      </c>
      <c r="B224" s="3001">
        <v>222</v>
      </c>
      <c r="C224" s="2941" t="s">
        <v>1377</v>
      </c>
      <c r="D224" s="2941" t="s">
        <v>3957</v>
      </c>
      <c r="E224" s="3002" t="s">
        <v>3284</v>
      </c>
      <c r="F224" s="3003">
        <v>67.459999999999994</v>
      </c>
      <c r="G224" s="3004">
        <f t="shared" si="11"/>
        <v>22364.45</v>
      </c>
      <c r="H224" s="3005">
        <v>1508706</v>
      </c>
      <c r="I224" s="2994">
        <f t="shared" si="10"/>
        <v>16773</v>
      </c>
    </row>
    <row r="225" spans="1:9" s="2994" customFormat="1" ht="15.95" customHeight="1">
      <c r="A225" s="3000" t="s">
        <v>3954</v>
      </c>
      <c r="B225" s="3001">
        <v>223</v>
      </c>
      <c r="C225" s="2941" t="s">
        <v>1377</v>
      </c>
      <c r="D225" s="2941" t="s">
        <v>3957</v>
      </c>
      <c r="E225" s="3002" t="s">
        <v>3285</v>
      </c>
      <c r="F225" s="3003">
        <v>67.459999999999994</v>
      </c>
      <c r="G225" s="3004">
        <f t="shared" si="11"/>
        <v>22904.74</v>
      </c>
      <c r="H225" s="3005">
        <v>1545154</v>
      </c>
      <c r="I225" s="2994">
        <f t="shared" si="10"/>
        <v>17179</v>
      </c>
    </row>
    <row r="226" spans="1:9" s="2994" customFormat="1" ht="15.95" customHeight="1">
      <c r="A226" s="3000" t="s">
        <v>3954</v>
      </c>
      <c r="B226" s="3001">
        <v>224</v>
      </c>
      <c r="C226" s="2941" t="s">
        <v>1377</v>
      </c>
      <c r="D226" s="2941" t="s">
        <v>3957</v>
      </c>
      <c r="E226" s="3002" t="s">
        <v>3286</v>
      </c>
      <c r="F226" s="3003">
        <v>50.69</v>
      </c>
      <c r="G226" s="3004">
        <f t="shared" si="11"/>
        <v>26784.91</v>
      </c>
      <c r="H226" s="3005">
        <v>1357727</v>
      </c>
      <c r="I226" s="2994">
        <f t="shared" si="10"/>
        <v>20089</v>
      </c>
    </row>
    <row r="227" spans="1:9" s="2994" customFormat="1" ht="15.95" customHeight="1">
      <c r="A227" s="3000" t="s">
        <v>3955</v>
      </c>
      <c r="B227" s="3001">
        <v>225</v>
      </c>
      <c r="C227" s="2941" t="s">
        <v>1377</v>
      </c>
      <c r="D227" s="2941" t="s">
        <v>3957</v>
      </c>
      <c r="E227" s="3002" t="s">
        <v>3287</v>
      </c>
      <c r="F227" s="3003">
        <v>78.11</v>
      </c>
      <c r="G227" s="3004">
        <f t="shared" si="11"/>
        <v>22250.12</v>
      </c>
      <c r="H227" s="3005">
        <v>1737957</v>
      </c>
      <c r="I227" s="2994">
        <f t="shared" si="10"/>
        <v>16688</v>
      </c>
    </row>
    <row r="228" spans="1:9" s="2994" customFormat="1" ht="15.95" customHeight="1">
      <c r="A228" s="3000" t="s">
        <v>3955</v>
      </c>
      <c r="B228" s="3001">
        <v>226</v>
      </c>
      <c r="C228" s="2941" t="s">
        <v>1377</v>
      </c>
      <c r="D228" s="2941" t="s">
        <v>3957</v>
      </c>
      <c r="E228" s="3002" t="s">
        <v>3288</v>
      </c>
      <c r="F228" s="3003">
        <v>92.43</v>
      </c>
      <c r="G228" s="3004">
        <f t="shared" si="11"/>
        <v>22300.5</v>
      </c>
      <c r="H228" s="3005">
        <v>2061235</v>
      </c>
      <c r="I228" s="2994">
        <f t="shared" si="10"/>
        <v>16725</v>
      </c>
    </row>
    <row r="229" spans="1:9" s="2994" customFormat="1" ht="15.95" customHeight="1">
      <c r="A229" s="3000" t="s">
        <v>3955</v>
      </c>
      <c r="B229" s="3001">
        <v>227</v>
      </c>
      <c r="C229" s="2941" t="s">
        <v>1377</v>
      </c>
      <c r="D229" s="2941" t="s">
        <v>3957</v>
      </c>
      <c r="E229" s="3002" t="s">
        <v>3289</v>
      </c>
      <c r="F229" s="3003">
        <v>79.19</v>
      </c>
      <c r="G229" s="3004">
        <f t="shared" si="11"/>
        <v>22967.03</v>
      </c>
      <c r="H229" s="3005">
        <v>1818759</v>
      </c>
      <c r="I229" s="2994">
        <f t="shared" si="10"/>
        <v>17225</v>
      </c>
    </row>
    <row r="230" spans="1:9" s="2994" customFormat="1" ht="15.95" customHeight="1">
      <c r="A230" s="3000" t="s">
        <v>3955</v>
      </c>
      <c r="B230" s="3001">
        <v>228</v>
      </c>
      <c r="C230" s="2941" t="s">
        <v>1377</v>
      </c>
      <c r="D230" s="2941" t="s">
        <v>3957</v>
      </c>
      <c r="E230" s="3002" t="s">
        <v>3290</v>
      </c>
      <c r="F230" s="3003">
        <v>78.14</v>
      </c>
      <c r="G230" s="3004">
        <f t="shared" si="11"/>
        <v>23060.47</v>
      </c>
      <c r="H230" s="3005">
        <v>1801945</v>
      </c>
      <c r="I230" s="2994">
        <f t="shared" si="10"/>
        <v>17295</v>
      </c>
    </row>
    <row r="231" spans="1:9" s="2994" customFormat="1" ht="15.95" customHeight="1">
      <c r="A231" s="3000" t="s">
        <v>3955</v>
      </c>
      <c r="B231" s="3001">
        <v>229</v>
      </c>
      <c r="C231" s="2941" t="s">
        <v>1377</v>
      </c>
      <c r="D231" s="2941" t="s">
        <v>3957</v>
      </c>
      <c r="E231" s="3002" t="s">
        <v>3291</v>
      </c>
      <c r="F231" s="3003">
        <v>104.11</v>
      </c>
      <c r="G231" s="3004">
        <f t="shared" si="11"/>
        <v>23520.79</v>
      </c>
      <c r="H231" s="3005">
        <v>2448749</v>
      </c>
      <c r="I231" s="2994">
        <f t="shared" si="10"/>
        <v>17641</v>
      </c>
    </row>
    <row r="232" spans="1:9" s="2994" customFormat="1" ht="15.95" customHeight="1">
      <c r="A232" s="3000" t="s">
        <v>3955</v>
      </c>
      <c r="B232" s="3001">
        <v>230</v>
      </c>
      <c r="C232" s="2941" t="s">
        <v>1377</v>
      </c>
      <c r="D232" s="2941" t="s">
        <v>3957</v>
      </c>
      <c r="E232" s="3002" t="s">
        <v>3292</v>
      </c>
      <c r="F232" s="3003">
        <v>104.67</v>
      </c>
      <c r="G232" s="3004">
        <f t="shared" si="11"/>
        <v>21628.71</v>
      </c>
      <c r="H232" s="3005">
        <v>2263877</v>
      </c>
      <c r="I232" s="2994">
        <f t="shared" si="10"/>
        <v>16222</v>
      </c>
    </row>
    <row r="233" spans="1:9" s="2994" customFormat="1" ht="15.95" customHeight="1">
      <c r="A233" s="3000" t="s">
        <v>3955</v>
      </c>
      <c r="B233" s="3001">
        <v>231</v>
      </c>
      <c r="C233" s="2941" t="s">
        <v>1377</v>
      </c>
      <c r="D233" s="2941" t="s">
        <v>3957</v>
      </c>
      <c r="E233" s="3002" t="s">
        <v>3293</v>
      </c>
      <c r="F233" s="3003">
        <v>104.78</v>
      </c>
      <c r="G233" s="3004">
        <f t="shared" si="11"/>
        <v>22258.86</v>
      </c>
      <c r="H233" s="3005">
        <v>2332283</v>
      </c>
      <c r="I233" s="2994">
        <f t="shared" si="10"/>
        <v>16694</v>
      </c>
    </row>
    <row r="234" spans="1:9" s="2994" customFormat="1" ht="15.95" customHeight="1">
      <c r="A234" s="3000" t="s">
        <v>3955</v>
      </c>
      <c r="B234" s="3001">
        <v>232</v>
      </c>
      <c r="C234" s="2941" t="s">
        <v>1377</v>
      </c>
      <c r="D234" s="2941" t="s">
        <v>3957</v>
      </c>
      <c r="E234" s="3002" t="s">
        <v>3294</v>
      </c>
      <c r="F234" s="3003">
        <v>65.77</v>
      </c>
      <c r="G234" s="3004">
        <f t="shared" si="11"/>
        <v>19355.41</v>
      </c>
      <c r="H234" s="3005">
        <v>1273005</v>
      </c>
      <c r="I234" s="2994">
        <f t="shared" si="10"/>
        <v>14517</v>
      </c>
    </row>
    <row r="235" spans="1:9" s="2994" customFormat="1" ht="15.95" customHeight="1">
      <c r="A235" s="3000" t="s">
        <v>3955</v>
      </c>
      <c r="B235" s="3001">
        <v>233</v>
      </c>
      <c r="C235" s="2941" t="s">
        <v>1377</v>
      </c>
      <c r="D235" s="2941" t="s">
        <v>3957</v>
      </c>
      <c r="E235" s="3002" t="s">
        <v>3295</v>
      </c>
      <c r="F235" s="3003">
        <v>62.41</v>
      </c>
      <c r="G235" s="3004">
        <f t="shared" si="11"/>
        <v>16724.23</v>
      </c>
      <c r="H235" s="3005">
        <v>1043759</v>
      </c>
      <c r="I235" s="2994">
        <f t="shared" si="10"/>
        <v>12543</v>
      </c>
    </row>
    <row r="236" spans="1:9" s="2994" customFormat="1" ht="15.95" customHeight="1">
      <c r="A236" s="3000" t="s">
        <v>3955</v>
      </c>
      <c r="B236" s="3001">
        <v>234</v>
      </c>
      <c r="C236" s="2941" t="s">
        <v>1377</v>
      </c>
      <c r="D236" s="2941" t="s">
        <v>3957</v>
      </c>
      <c r="E236" s="3002" t="s">
        <v>3296</v>
      </c>
      <c r="F236" s="3003">
        <v>62.41</v>
      </c>
      <c r="G236" s="3004">
        <f t="shared" si="11"/>
        <v>16983.59</v>
      </c>
      <c r="H236" s="3005">
        <v>1059946</v>
      </c>
      <c r="I236" s="2994">
        <f t="shared" si="10"/>
        <v>12738</v>
      </c>
    </row>
    <row r="237" spans="1:9" s="2994" customFormat="1" ht="15.95" customHeight="1">
      <c r="A237" s="3000" t="s">
        <v>3955</v>
      </c>
      <c r="B237" s="3001">
        <v>235</v>
      </c>
      <c r="C237" s="2941" t="s">
        <v>1377</v>
      </c>
      <c r="D237" s="2941" t="s">
        <v>3957</v>
      </c>
      <c r="E237" s="3002" t="s">
        <v>3297</v>
      </c>
      <c r="F237" s="3003">
        <v>62.41</v>
      </c>
      <c r="G237" s="3004">
        <f t="shared" si="11"/>
        <v>17048.419999999998</v>
      </c>
      <c r="H237" s="3005">
        <v>1063992</v>
      </c>
      <c r="I237" s="2994">
        <f t="shared" si="10"/>
        <v>12786</v>
      </c>
    </row>
    <row r="238" spans="1:9" s="2994" customFormat="1" ht="15.95" customHeight="1">
      <c r="A238" s="3000" t="s">
        <v>3955</v>
      </c>
      <c r="B238" s="3001">
        <v>236</v>
      </c>
      <c r="C238" s="2941" t="s">
        <v>1377</v>
      </c>
      <c r="D238" s="2941" t="s">
        <v>3957</v>
      </c>
      <c r="E238" s="3002" t="s">
        <v>3298</v>
      </c>
      <c r="F238" s="3003">
        <v>62.41</v>
      </c>
      <c r="G238" s="3004">
        <f t="shared" si="11"/>
        <v>17113.25</v>
      </c>
      <c r="H238" s="3005">
        <v>1068038</v>
      </c>
      <c r="I238" s="2994">
        <f t="shared" si="10"/>
        <v>12835</v>
      </c>
    </row>
    <row r="239" spans="1:9" s="2994" customFormat="1" ht="15.95" customHeight="1">
      <c r="A239" s="3000" t="s">
        <v>3955</v>
      </c>
      <c r="B239" s="3001">
        <v>237</v>
      </c>
      <c r="C239" s="2941" t="s">
        <v>1377</v>
      </c>
      <c r="D239" s="2941" t="s">
        <v>3957</v>
      </c>
      <c r="E239" s="3002" t="s">
        <v>3299</v>
      </c>
      <c r="F239" s="3003">
        <v>62.41</v>
      </c>
      <c r="G239" s="3004">
        <f t="shared" si="11"/>
        <v>17178.099999999999</v>
      </c>
      <c r="H239" s="3005">
        <v>1072085</v>
      </c>
      <c r="I239" s="2994">
        <f t="shared" si="10"/>
        <v>12884</v>
      </c>
    </row>
    <row r="240" spans="1:9" s="2994" customFormat="1" ht="15.95" customHeight="1">
      <c r="A240" s="3000" t="s">
        <v>3955</v>
      </c>
      <c r="B240" s="3001">
        <v>238</v>
      </c>
      <c r="C240" s="2941" t="s">
        <v>1377</v>
      </c>
      <c r="D240" s="2941" t="s">
        <v>3957</v>
      </c>
      <c r="E240" s="3002" t="s">
        <v>3300</v>
      </c>
      <c r="F240" s="3003">
        <v>53.91</v>
      </c>
      <c r="G240" s="3004">
        <f t="shared" si="11"/>
        <v>17598.79</v>
      </c>
      <c r="H240" s="3005">
        <v>948751</v>
      </c>
      <c r="I240" s="2994">
        <f t="shared" si="10"/>
        <v>13199</v>
      </c>
    </row>
    <row r="241" spans="1:9" s="2994" customFormat="1" ht="15.95" customHeight="1">
      <c r="A241" s="3000" t="s">
        <v>3943</v>
      </c>
      <c r="B241" s="3001">
        <v>239</v>
      </c>
      <c r="C241" s="2941" t="s">
        <v>1377</v>
      </c>
      <c r="D241" s="2941" t="s">
        <v>3958</v>
      </c>
      <c r="E241" s="3002" t="s">
        <v>3303</v>
      </c>
      <c r="F241" s="3003">
        <v>98.39</v>
      </c>
      <c r="G241" s="3004">
        <f t="shared" si="11"/>
        <v>21041.85</v>
      </c>
      <c r="H241" s="3005">
        <v>2070308</v>
      </c>
      <c r="I241" s="2994">
        <f t="shared" si="10"/>
        <v>15781</v>
      </c>
    </row>
    <row r="242" spans="1:9" ht="15.95" customHeight="1">
      <c r="A242" s="3000" t="s">
        <v>3943</v>
      </c>
      <c r="B242" s="3001">
        <v>240</v>
      </c>
      <c r="C242" s="2941" t="s">
        <v>1377</v>
      </c>
      <c r="D242" s="2941" t="s">
        <v>3958</v>
      </c>
      <c r="E242" s="3002" t="s">
        <v>3304</v>
      </c>
      <c r="F242" s="3003">
        <v>108.8</v>
      </c>
      <c r="G242" s="3004">
        <f t="shared" si="11"/>
        <v>19323.71</v>
      </c>
      <c r="H242" s="3005">
        <v>2102420</v>
      </c>
      <c r="I242" s="2994">
        <f t="shared" si="10"/>
        <v>14493</v>
      </c>
    </row>
    <row r="243" spans="1:9" s="3010" customFormat="1" ht="15.95" customHeight="1">
      <c r="A243" s="3000" t="s">
        <v>3943</v>
      </c>
      <c r="B243" s="3001">
        <v>241</v>
      </c>
      <c r="C243" s="2941" t="s">
        <v>1377</v>
      </c>
      <c r="D243" s="2941" t="s">
        <v>3958</v>
      </c>
      <c r="E243" s="3002" t="s">
        <v>3305</v>
      </c>
      <c r="F243" s="3003">
        <v>107.36</v>
      </c>
      <c r="G243" s="3004">
        <f t="shared" si="11"/>
        <v>20345.39</v>
      </c>
      <c r="H243" s="3005">
        <v>2184281</v>
      </c>
      <c r="I243" s="2994">
        <f t="shared" si="10"/>
        <v>15259</v>
      </c>
    </row>
    <row r="244" spans="1:9" s="2994" customFormat="1" ht="15.95" customHeight="1">
      <c r="A244" s="3000" t="s">
        <v>3943</v>
      </c>
      <c r="B244" s="3001">
        <v>242</v>
      </c>
      <c r="C244" s="2941" t="s">
        <v>1377</v>
      </c>
      <c r="D244" s="2941" t="s">
        <v>3958</v>
      </c>
      <c r="E244" s="3002" t="s">
        <v>3306</v>
      </c>
      <c r="F244" s="3003">
        <v>109.55</v>
      </c>
      <c r="G244" s="3004">
        <f t="shared" si="11"/>
        <v>20001.939999999999</v>
      </c>
      <c r="H244" s="3005">
        <v>2191213</v>
      </c>
      <c r="I244" s="2994">
        <f t="shared" si="10"/>
        <v>15001</v>
      </c>
    </row>
    <row r="245" spans="1:9" s="2994" customFormat="1" ht="15.95" customHeight="1">
      <c r="A245" s="3000" t="s">
        <v>3943</v>
      </c>
      <c r="B245" s="3001">
        <v>243</v>
      </c>
      <c r="C245" s="2941" t="s">
        <v>1377</v>
      </c>
      <c r="D245" s="2941" t="s">
        <v>3958</v>
      </c>
      <c r="E245" s="3002" t="s">
        <v>3308</v>
      </c>
      <c r="F245" s="3003">
        <v>147.88999999999999</v>
      </c>
      <c r="G245" s="3004">
        <f t="shared" si="11"/>
        <v>16535.87</v>
      </c>
      <c r="H245" s="3005">
        <v>2445490</v>
      </c>
      <c r="I245" s="2994">
        <f t="shared" si="10"/>
        <v>12402</v>
      </c>
    </row>
    <row r="246" spans="1:9" ht="15.95" customHeight="1">
      <c r="A246" s="3000" t="s">
        <v>3943</v>
      </c>
      <c r="B246" s="3001">
        <v>244</v>
      </c>
      <c r="C246" s="2941" t="s">
        <v>1377</v>
      </c>
      <c r="D246" s="2941" t="s">
        <v>3958</v>
      </c>
      <c r="E246" s="3002" t="s">
        <v>3307</v>
      </c>
      <c r="F246" s="3003">
        <v>109.55</v>
      </c>
      <c r="G246" s="3004">
        <f t="shared" si="11"/>
        <v>20171.8</v>
      </c>
      <c r="H246" s="3005">
        <v>2209821</v>
      </c>
      <c r="I246" s="2994">
        <f t="shared" si="10"/>
        <v>15129</v>
      </c>
    </row>
    <row r="247" spans="1:9" ht="15.95" customHeight="1">
      <c r="A247" s="3000" t="s">
        <v>3954</v>
      </c>
      <c r="B247" s="3001">
        <v>245</v>
      </c>
      <c r="C247" s="2941" t="s">
        <v>1377</v>
      </c>
      <c r="D247" s="2941" t="s">
        <v>3958</v>
      </c>
      <c r="E247" s="3002" t="s">
        <v>3309</v>
      </c>
      <c r="F247" s="3003">
        <v>148.49</v>
      </c>
      <c r="G247" s="3004">
        <f t="shared" si="11"/>
        <v>21009.51</v>
      </c>
      <c r="H247" s="3005">
        <v>3119702</v>
      </c>
      <c r="I247" s="2994">
        <f t="shared" si="10"/>
        <v>15757</v>
      </c>
    </row>
    <row r="248" spans="1:9">
      <c r="A248" s="3000" t="s">
        <v>3954</v>
      </c>
      <c r="B248" s="3001">
        <v>246</v>
      </c>
      <c r="C248" s="2941" t="s">
        <v>1377</v>
      </c>
      <c r="D248" s="2941" t="s">
        <v>3958</v>
      </c>
      <c r="E248" s="3002" t="s">
        <v>3310</v>
      </c>
      <c r="F248" s="3003">
        <v>107.2</v>
      </c>
      <c r="G248" s="3004">
        <f t="shared" si="11"/>
        <v>21437.38</v>
      </c>
      <c r="H248" s="3005">
        <v>2298087</v>
      </c>
      <c r="I248" s="2994">
        <f t="shared" si="10"/>
        <v>16078</v>
      </c>
    </row>
    <row r="249" spans="1:9">
      <c r="A249" s="3000" t="s">
        <v>3954</v>
      </c>
      <c r="B249" s="3001">
        <v>247</v>
      </c>
      <c r="C249" s="2941" t="s">
        <v>1377</v>
      </c>
      <c r="D249" s="2941" t="s">
        <v>3958</v>
      </c>
      <c r="E249" s="3002" t="s">
        <v>3311</v>
      </c>
      <c r="F249" s="3003">
        <v>140.35</v>
      </c>
      <c r="G249" s="3004">
        <f t="shared" si="11"/>
        <v>22582.38</v>
      </c>
      <c r="H249" s="3005">
        <v>3169437</v>
      </c>
      <c r="I249" s="2994">
        <f t="shared" si="10"/>
        <v>16937</v>
      </c>
    </row>
    <row r="250" spans="1:9">
      <c r="A250" s="2941" t="s">
        <v>3955</v>
      </c>
      <c r="B250" s="3001">
        <v>248</v>
      </c>
      <c r="C250" s="2941" t="s">
        <v>1377</v>
      </c>
      <c r="D250" s="2941" t="s">
        <v>3958</v>
      </c>
      <c r="E250" s="3002" t="s">
        <v>3312</v>
      </c>
      <c r="F250" s="3003">
        <v>244.72</v>
      </c>
      <c r="G250" s="3004">
        <f t="shared" si="11"/>
        <v>14761.89</v>
      </c>
      <c r="H250" s="3005">
        <v>3612530</v>
      </c>
      <c r="I250" s="2994">
        <f t="shared" si="10"/>
        <v>11071</v>
      </c>
    </row>
    <row r="251" spans="1:9">
      <c r="A251" s="2941" t="s">
        <v>3955</v>
      </c>
      <c r="B251" s="3001">
        <v>249</v>
      </c>
      <c r="C251" s="2941" t="s">
        <v>1377</v>
      </c>
      <c r="D251" s="2941" t="s">
        <v>3958</v>
      </c>
      <c r="E251" s="3002" t="s">
        <v>3313</v>
      </c>
      <c r="F251" s="3003">
        <v>199.52</v>
      </c>
      <c r="G251" s="3004">
        <f t="shared" si="11"/>
        <v>14903.19</v>
      </c>
      <c r="H251" s="3005">
        <v>2973484</v>
      </c>
      <c r="I251" s="2994">
        <f t="shared" si="10"/>
        <v>11177</v>
      </c>
    </row>
    <row r="252" spans="1:9">
      <c r="A252" s="2941" t="s">
        <v>3959</v>
      </c>
      <c r="B252" s="3001">
        <v>250</v>
      </c>
      <c r="C252" s="2941" t="s">
        <v>27</v>
      </c>
      <c r="D252" s="2941"/>
      <c r="E252" s="3002" t="s">
        <v>3960</v>
      </c>
      <c r="F252" s="3011">
        <v>224.3</v>
      </c>
      <c r="G252" s="3004">
        <f t="shared" si="11"/>
        <v>12545.22</v>
      </c>
      <c r="H252" s="1305">
        <v>2813893</v>
      </c>
    </row>
    <row r="253" spans="1:9">
      <c r="A253" s="2941"/>
      <c r="B253" s="3001">
        <v>251</v>
      </c>
      <c r="C253" s="2941" t="s">
        <v>27</v>
      </c>
      <c r="D253" s="2941"/>
      <c r="E253" s="3002" t="s">
        <v>3961</v>
      </c>
      <c r="F253" s="3011">
        <v>288.37</v>
      </c>
      <c r="G253" s="3004">
        <f t="shared" si="11"/>
        <v>12494.35</v>
      </c>
      <c r="H253" s="1305">
        <v>3602996</v>
      </c>
    </row>
    <row r="254" spans="1:9">
      <c r="A254" s="2941"/>
      <c r="B254" s="3001">
        <v>252</v>
      </c>
      <c r="C254" s="2941" t="s">
        <v>27</v>
      </c>
      <c r="D254" s="2941"/>
      <c r="E254" s="3002" t="s">
        <v>3962</v>
      </c>
      <c r="F254" s="3011">
        <v>239.37</v>
      </c>
      <c r="G254" s="3004">
        <f t="shared" si="11"/>
        <v>13460.79</v>
      </c>
      <c r="H254" s="1305">
        <v>3222109</v>
      </c>
    </row>
    <row r="255" spans="1:9">
      <c r="A255" s="2941"/>
      <c r="B255" s="3001">
        <v>253</v>
      </c>
      <c r="C255" s="2941" t="s">
        <v>27</v>
      </c>
      <c r="D255" s="2941"/>
      <c r="E255" s="3002" t="s">
        <v>3963</v>
      </c>
      <c r="F255" s="3011">
        <v>255.87</v>
      </c>
      <c r="G255" s="3004">
        <f t="shared" si="11"/>
        <v>13613.38</v>
      </c>
      <c r="H255" s="1305">
        <v>3483256</v>
      </c>
    </row>
    <row r="256" spans="1:9">
      <c r="A256" s="2941"/>
      <c r="B256" s="3001">
        <v>254</v>
      </c>
      <c r="C256" s="2941" t="s">
        <v>27</v>
      </c>
      <c r="D256" s="2941"/>
      <c r="E256" s="3002" t="s">
        <v>3964</v>
      </c>
      <c r="F256" s="3011">
        <v>222.21</v>
      </c>
      <c r="G256" s="3004">
        <f t="shared" si="11"/>
        <v>14020.3</v>
      </c>
      <c r="H256" s="1305">
        <v>3115451</v>
      </c>
    </row>
    <row r="257" spans="1:243">
      <c r="A257" s="2941"/>
      <c r="B257" s="3001">
        <v>255</v>
      </c>
      <c r="C257" s="2941" t="s">
        <v>27</v>
      </c>
      <c r="D257" s="2941"/>
      <c r="E257" s="3002" t="s">
        <v>3965</v>
      </c>
      <c r="F257" s="3011">
        <v>222.21</v>
      </c>
      <c r="G257" s="3004">
        <f t="shared" si="11"/>
        <v>14020.3</v>
      </c>
      <c r="H257" s="1305">
        <v>3115451</v>
      </c>
    </row>
    <row r="258" spans="1:243">
      <c r="A258" s="2941"/>
      <c r="B258" s="3001">
        <v>256</v>
      </c>
      <c r="C258" s="2941" t="s">
        <v>27</v>
      </c>
      <c r="D258" s="2941"/>
      <c r="E258" s="3002" t="s">
        <v>3966</v>
      </c>
      <c r="F258" s="3011">
        <v>224.3</v>
      </c>
      <c r="G258" s="3004">
        <f t="shared" si="11"/>
        <v>12403</v>
      </c>
      <c r="H258" s="1305">
        <v>2781993</v>
      </c>
    </row>
    <row r="259" spans="1:243">
      <c r="A259" s="2941"/>
      <c r="B259" s="3001">
        <v>257</v>
      </c>
      <c r="C259" s="2941" t="s">
        <v>27</v>
      </c>
      <c r="D259" s="2941"/>
      <c r="E259" s="3002" t="s">
        <v>3967</v>
      </c>
      <c r="F259" s="3011">
        <v>255.87</v>
      </c>
      <c r="G259" s="3004">
        <f t="shared" si="11"/>
        <v>13420.3</v>
      </c>
      <c r="H259" s="1305">
        <v>3433852</v>
      </c>
    </row>
    <row r="260" spans="1:243">
      <c r="A260" s="2941"/>
      <c r="B260" s="3001">
        <v>258</v>
      </c>
      <c r="C260" s="2941" t="s">
        <v>27</v>
      </c>
      <c r="D260" s="2941"/>
      <c r="E260" s="3002" t="s">
        <v>3968</v>
      </c>
      <c r="F260" s="3011">
        <v>224.3</v>
      </c>
      <c r="G260" s="3004">
        <f t="shared" si="11"/>
        <v>12606.46</v>
      </c>
      <c r="H260" s="1305">
        <v>2827629</v>
      </c>
    </row>
    <row r="261" spans="1:243">
      <c r="A261" s="2941"/>
      <c r="B261" s="3001">
        <v>259</v>
      </c>
      <c r="C261" s="2941" t="s">
        <v>27</v>
      </c>
      <c r="D261" s="2941"/>
      <c r="E261" s="3002" t="s">
        <v>3969</v>
      </c>
      <c r="F261" s="3011">
        <v>239.37</v>
      </c>
      <c r="G261" s="3004">
        <f t="shared" si="11"/>
        <v>13522.03</v>
      </c>
      <c r="H261" s="1305">
        <v>3236768</v>
      </c>
    </row>
    <row r="262" spans="1:243">
      <c r="A262" s="2941"/>
      <c r="B262" s="3001">
        <v>260</v>
      </c>
      <c r="C262" s="2941" t="s">
        <v>27</v>
      </c>
      <c r="D262" s="2941"/>
      <c r="E262" s="3002" t="s">
        <v>3970</v>
      </c>
      <c r="F262" s="3011">
        <v>255.87</v>
      </c>
      <c r="G262" s="3004">
        <f t="shared" si="11"/>
        <v>13623.76</v>
      </c>
      <c r="H262" s="1305">
        <v>3485911</v>
      </c>
    </row>
    <row r="263" spans="1:243">
      <c r="A263" s="2941"/>
      <c r="B263" s="3001">
        <v>261</v>
      </c>
      <c r="C263" s="2941" t="s">
        <v>27</v>
      </c>
      <c r="D263" s="2941"/>
      <c r="E263" s="3002" t="s">
        <v>3971</v>
      </c>
      <c r="F263" s="3011">
        <v>224.3</v>
      </c>
      <c r="G263" s="3004">
        <f t="shared" si="11"/>
        <v>12809.92</v>
      </c>
      <c r="H263" s="1305">
        <v>2873265</v>
      </c>
    </row>
    <row r="264" spans="1:243">
      <c r="A264" s="2941"/>
      <c r="B264" s="3001">
        <v>262</v>
      </c>
      <c r="C264" s="2941" t="s">
        <v>27</v>
      </c>
      <c r="D264" s="2941"/>
      <c r="E264" s="3002" t="s">
        <v>3972</v>
      </c>
      <c r="F264" s="3011">
        <v>255.87</v>
      </c>
      <c r="G264" s="3004">
        <f t="shared" si="11"/>
        <v>13827.22</v>
      </c>
      <c r="H264" s="1305">
        <v>3537971</v>
      </c>
    </row>
    <row r="265" spans="1:243" s="3017" customFormat="1" ht="26.1" customHeight="1">
      <c r="A265" s="3357" t="s">
        <v>3973</v>
      </c>
      <c r="B265" s="3357"/>
      <c r="C265" s="3012"/>
      <c r="D265" s="3012"/>
      <c r="E265" s="3012"/>
      <c r="F265" s="3013">
        <f>SUM(F3:F264)</f>
        <v>21491.689999999995</v>
      </c>
      <c r="G265" s="3014"/>
      <c r="H265" s="3015">
        <f>SUM(H3:H264)</f>
        <v>658689133.27130008</v>
      </c>
      <c r="I265" s="3016"/>
      <c r="J265" s="3016"/>
      <c r="K265" s="3016"/>
      <c r="L265" s="3016"/>
      <c r="M265" s="3016"/>
      <c r="N265" s="3016"/>
      <c r="O265" s="3016"/>
      <c r="P265" s="3016"/>
      <c r="Q265" s="3016"/>
      <c r="R265" s="3016"/>
      <c r="S265" s="3016"/>
      <c r="T265" s="3016"/>
      <c r="U265" s="3016"/>
      <c r="V265" s="3016"/>
      <c r="W265" s="3016"/>
      <c r="X265" s="3016"/>
      <c r="Y265" s="3016"/>
      <c r="Z265" s="3016"/>
      <c r="AA265" s="3016"/>
      <c r="AB265" s="3016"/>
      <c r="AC265" s="3016"/>
      <c r="AD265" s="3016"/>
      <c r="AE265" s="3016"/>
      <c r="AF265" s="3016"/>
      <c r="AG265" s="3016"/>
      <c r="AH265" s="3016"/>
      <c r="AI265" s="3016"/>
      <c r="AJ265" s="3016"/>
      <c r="AK265" s="3016"/>
      <c r="AL265" s="3016"/>
      <c r="AM265" s="3016"/>
      <c r="AN265" s="3016"/>
      <c r="AO265" s="3016"/>
      <c r="AP265" s="3016"/>
      <c r="AQ265" s="3016"/>
      <c r="AR265" s="3016"/>
      <c r="AS265" s="3016"/>
      <c r="AT265" s="3016"/>
      <c r="AU265" s="3016"/>
      <c r="AV265" s="3016"/>
      <c r="AW265" s="3016"/>
      <c r="AX265" s="3016"/>
      <c r="AY265" s="3016"/>
      <c r="AZ265" s="3016"/>
      <c r="BA265" s="3016"/>
      <c r="BB265" s="3016"/>
      <c r="BC265" s="3016"/>
      <c r="BD265" s="3016"/>
      <c r="BE265" s="3016"/>
      <c r="BF265" s="3016"/>
      <c r="BG265" s="3016"/>
      <c r="BH265" s="3016"/>
      <c r="BI265" s="3016"/>
      <c r="BJ265" s="3016"/>
      <c r="BK265" s="3016"/>
      <c r="BL265" s="3016"/>
      <c r="BM265" s="3016"/>
      <c r="BN265" s="3016"/>
      <c r="BO265" s="3016"/>
      <c r="BP265" s="3016"/>
      <c r="BQ265" s="3016"/>
      <c r="BR265" s="3016"/>
      <c r="BS265" s="3016"/>
      <c r="BT265" s="3016"/>
      <c r="BU265" s="3016"/>
      <c r="BV265" s="3016"/>
      <c r="BW265" s="3016"/>
      <c r="BX265" s="3016"/>
      <c r="BY265" s="3016"/>
      <c r="BZ265" s="3016"/>
      <c r="CA265" s="3016"/>
      <c r="CB265" s="3016"/>
      <c r="CC265" s="3016"/>
      <c r="CD265" s="3016"/>
      <c r="CE265" s="3016"/>
      <c r="CF265" s="3016"/>
      <c r="CG265" s="3016"/>
      <c r="CH265" s="3016"/>
      <c r="CI265" s="3016"/>
      <c r="CJ265" s="3016"/>
      <c r="CK265" s="3016"/>
      <c r="CL265" s="3016"/>
      <c r="CM265" s="3016"/>
      <c r="CN265" s="3016"/>
      <c r="CO265" s="3016"/>
      <c r="CP265" s="3016"/>
      <c r="CQ265" s="3016"/>
      <c r="CR265" s="3016"/>
      <c r="CS265" s="3016"/>
      <c r="CT265" s="3016"/>
      <c r="CU265" s="3016"/>
      <c r="CV265" s="3016"/>
      <c r="CW265" s="3016"/>
      <c r="CX265" s="3016"/>
      <c r="CY265" s="3016"/>
      <c r="CZ265" s="3016"/>
      <c r="DA265" s="3016"/>
      <c r="DB265" s="3016"/>
      <c r="DC265" s="3016"/>
      <c r="DD265" s="3016"/>
      <c r="DE265" s="3016"/>
      <c r="DF265" s="3016"/>
      <c r="DG265" s="3016"/>
      <c r="DH265" s="3016"/>
      <c r="DI265" s="3016"/>
      <c r="DJ265" s="3016"/>
      <c r="DK265" s="3016"/>
      <c r="DL265" s="3016"/>
      <c r="DM265" s="3016"/>
      <c r="DN265" s="3016"/>
      <c r="DO265" s="3016"/>
      <c r="DP265" s="3016"/>
      <c r="DQ265" s="3016"/>
      <c r="DR265" s="3016"/>
      <c r="DS265" s="3016"/>
      <c r="DT265" s="3016"/>
      <c r="DU265" s="3016"/>
      <c r="DV265" s="3016"/>
      <c r="DW265" s="3016"/>
      <c r="DX265" s="3016"/>
      <c r="DY265" s="3016"/>
      <c r="DZ265" s="3016"/>
      <c r="EA265" s="3016"/>
      <c r="EB265" s="3016"/>
      <c r="EC265" s="3016"/>
      <c r="ED265" s="3016"/>
      <c r="EE265" s="3016"/>
      <c r="EF265" s="3016"/>
      <c r="EG265" s="3016"/>
      <c r="EH265" s="3016"/>
      <c r="EI265" s="3016"/>
      <c r="EJ265" s="3016"/>
      <c r="EK265" s="3016"/>
      <c r="EL265" s="3016"/>
      <c r="EM265" s="3016"/>
      <c r="EN265" s="3016"/>
      <c r="EO265" s="3016"/>
      <c r="EP265" s="3016"/>
      <c r="EQ265" s="3016"/>
      <c r="ER265" s="3016"/>
      <c r="ES265" s="3016"/>
      <c r="ET265" s="3016"/>
      <c r="EU265" s="3016"/>
      <c r="EV265" s="3016"/>
      <c r="EW265" s="3016"/>
      <c r="EX265" s="3016"/>
      <c r="EY265" s="3016"/>
      <c r="EZ265" s="3016"/>
      <c r="FA265" s="3016"/>
      <c r="FB265" s="3016"/>
      <c r="FC265" s="3016"/>
      <c r="FD265" s="3016"/>
      <c r="FE265" s="3016"/>
      <c r="FF265" s="3016"/>
      <c r="FG265" s="3016"/>
      <c r="FH265" s="3016"/>
      <c r="FI265" s="3016"/>
      <c r="FJ265" s="3016"/>
      <c r="FK265" s="3016"/>
      <c r="FL265" s="3016"/>
      <c r="FM265" s="3016"/>
      <c r="FN265" s="3016"/>
      <c r="FO265" s="3016"/>
      <c r="FP265" s="3016"/>
      <c r="FQ265" s="3016"/>
      <c r="FR265" s="3016"/>
      <c r="FS265" s="3016"/>
      <c r="FT265" s="3016"/>
      <c r="FU265" s="3016"/>
      <c r="FV265" s="3016"/>
      <c r="FW265" s="3016"/>
      <c r="FX265" s="3016"/>
      <c r="FY265" s="3016"/>
      <c r="FZ265" s="3016"/>
      <c r="GA265" s="3016"/>
      <c r="GB265" s="3016"/>
      <c r="GC265" s="3016"/>
      <c r="GD265" s="3016"/>
      <c r="GE265" s="3016"/>
      <c r="GF265" s="3016"/>
      <c r="GG265" s="3016"/>
      <c r="GH265" s="3016"/>
      <c r="GI265" s="3016"/>
      <c r="GJ265" s="3016"/>
      <c r="GK265" s="3016"/>
      <c r="GL265" s="3016"/>
      <c r="GM265" s="3016"/>
      <c r="GN265" s="3016"/>
      <c r="GO265" s="3016"/>
      <c r="GP265" s="3016"/>
      <c r="GQ265" s="3016"/>
      <c r="GR265" s="3016"/>
      <c r="GS265" s="3016"/>
      <c r="GT265" s="3016"/>
      <c r="GU265" s="3016"/>
      <c r="GV265" s="3016"/>
      <c r="GW265" s="3016"/>
      <c r="GX265" s="3016"/>
      <c r="GY265" s="3016"/>
      <c r="GZ265" s="3016"/>
      <c r="HA265" s="3016"/>
      <c r="HB265" s="3016"/>
      <c r="HC265" s="3016"/>
      <c r="HD265" s="3016"/>
      <c r="HE265" s="3016"/>
      <c r="HF265" s="3016"/>
      <c r="HG265" s="3016"/>
      <c r="HH265" s="3016"/>
      <c r="HI265" s="3016"/>
      <c r="HJ265" s="3016"/>
      <c r="HK265" s="3016"/>
      <c r="HL265" s="3016"/>
      <c r="HM265" s="3016"/>
      <c r="HN265" s="3016"/>
      <c r="HO265" s="3016"/>
      <c r="HP265" s="3016"/>
      <c r="HQ265" s="3016"/>
      <c r="HR265" s="3016"/>
      <c r="HS265" s="3016"/>
      <c r="HT265" s="3016"/>
      <c r="HU265" s="3016"/>
      <c r="HV265" s="3016"/>
      <c r="HW265" s="3016"/>
      <c r="HX265" s="3016"/>
      <c r="HY265" s="3016"/>
      <c r="HZ265" s="3016"/>
      <c r="IA265" s="3016"/>
      <c r="IB265" s="3016"/>
      <c r="IC265" s="3016"/>
      <c r="ID265" s="3016"/>
      <c r="IE265" s="3016"/>
      <c r="IF265" s="3016"/>
      <c r="IG265" s="3016"/>
      <c r="IH265" s="3016"/>
      <c r="II265" s="3016"/>
    </row>
  </sheetData>
  <mergeCells count="2">
    <mergeCell ref="B1:H1"/>
    <mergeCell ref="A265:B265"/>
  </mergeCells>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2"/>
  <sheetViews>
    <sheetView workbookViewId="0">
      <selection activeCell="G22" sqref="G22"/>
    </sheetView>
  </sheetViews>
  <sheetFormatPr defaultColWidth="9" defaultRowHeight="17.25"/>
  <cols>
    <col min="1" max="1" width="6" style="2969" bestFit="1" customWidth="1"/>
    <col min="2" max="2" width="6.5" style="2969" bestFit="1" customWidth="1"/>
    <col min="3" max="3" width="37.875" style="2971" customWidth="1"/>
    <col min="4" max="4" width="50.5" style="2971" customWidth="1"/>
    <col min="5" max="5" width="14.875" style="2955" customWidth="1"/>
    <col min="6" max="6" width="14.75" style="2955" customWidth="1"/>
    <col min="7" max="16384" width="9" style="2955"/>
  </cols>
  <sheetData>
    <row r="1" spans="1:8" ht="32.25">
      <c r="A1" s="3353" t="s">
        <v>4001</v>
      </c>
      <c r="B1" s="3353"/>
      <c r="C1" s="3353"/>
      <c r="D1" s="3353"/>
      <c r="E1" s="3353"/>
      <c r="F1" s="3358"/>
    </row>
    <row r="2" spans="1:8" s="2960" customFormat="1" ht="18" customHeight="1">
      <c r="A2" s="2956" t="s">
        <v>3317</v>
      </c>
      <c r="B2" s="2956" t="s">
        <v>3320</v>
      </c>
      <c r="C2" s="2957" t="s">
        <v>3999</v>
      </c>
      <c r="D2" s="2958" t="s">
        <v>4000</v>
      </c>
      <c r="E2" s="2959" t="s">
        <v>4003</v>
      </c>
      <c r="F2" s="2972" t="s">
        <v>4004</v>
      </c>
    </row>
    <row r="3" spans="1:8" s="2968" customFormat="1" ht="18" customHeight="1">
      <c r="A3" s="2961">
        <v>1</v>
      </c>
      <c r="B3" s="2964" t="s">
        <v>3065</v>
      </c>
      <c r="C3" s="2965" t="s">
        <v>3737</v>
      </c>
      <c r="D3" s="2966" t="s">
        <v>3323</v>
      </c>
      <c r="E3" s="2967">
        <v>140.88999999999999</v>
      </c>
      <c r="F3" s="2967">
        <v>25.01</v>
      </c>
    </row>
    <row r="4" spans="1:8" s="2968" customFormat="1" ht="18" customHeight="1">
      <c r="A4" s="2961">
        <v>2</v>
      </c>
      <c r="B4" s="2964" t="s">
        <v>3066</v>
      </c>
      <c r="C4" s="2965" t="s">
        <v>3738</v>
      </c>
      <c r="D4" s="2966" t="s">
        <v>3324</v>
      </c>
      <c r="E4" s="2967">
        <v>134.55000000000001</v>
      </c>
      <c r="F4" s="2967">
        <v>23.89</v>
      </c>
    </row>
    <row r="5" spans="1:8" s="2968" customFormat="1" ht="18" customHeight="1">
      <c r="A5" s="2961">
        <v>3</v>
      </c>
      <c r="B5" s="2964" t="s">
        <v>3067</v>
      </c>
      <c r="C5" s="2965" t="s">
        <v>3739</v>
      </c>
      <c r="D5" s="2966" t="s">
        <v>3325</v>
      </c>
      <c r="E5" s="2967">
        <v>129.5</v>
      </c>
      <c r="F5" s="2967">
        <v>22.99</v>
      </c>
    </row>
    <row r="6" spans="1:8" s="2968" customFormat="1" ht="18" customHeight="1">
      <c r="A6" s="2961">
        <v>4</v>
      </c>
      <c r="B6" s="2964" t="s">
        <v>3068</v>
      </c>
      <c r="C6" s="2965" t="s">
        <v>3740</v>
      </c>
      <c r="D6" s="2966" t="s">
        <v>3741</v>
      </c>
      <c r="E6" s="2967">
        <v>124.61</v>
      </c>
      <c r="F6" s="2967">
        <v>22.12</v>
      </c>
    </row>
    <row r="7" spans="1:8" s="2968" customFormat="1" ht="18" customHeight="1">
      <c r="A7" s="2961">
        <v>5</v>
      </c>
      <c r="B7" s="2964" t="s">
        <v>3069</v>
      </c>
      <c r="C7" s="2965" t="s">
        <v>3742</v>
      </c>
      <c r="D7" s="2966" t="s">
        <v>3326</v>
      </c>
      <c r="E7" s="2967">
        <v>121.4</v>
      </c>
      <c r="F7" s="2967">
        <v>21.55</v>
      </c>
    </row>
    <row r="8" spans="1:8" s="2968" customFormat="1" ht="18" customHeight="1">
      <c r="A8" s="2961">
        <v>6</v>
      </c>
      <c r="B8" s="2964" t="s">
        <v>3070</v>
      </c>
      <c r="C8" s="2965" t="s">
        <v>3743</v>
      </c>
      <c r="D8" s="2966" t="s">
        <v>3327</v>
      </c>
      <c r="E8" s="2967">
        <v>114.68</v>
      </c>
      <c r="F8" s="2967">
        <v>20.36</v>
      </c>
    </row>
    <row r="9" spans="1:8" s="2968" customFormat="1" ht="18" customHeight="1">
      <c r="A9" s="2961">
        <v>7</v>
      </c>
      <c r="B9" s="2964" t="s">
        <v>3071</v>
      </c>
      <c r="C9" s="2965" t="s">
        <v>3744</v>
      </c>
      <c r="D9" s="2966" t="s">
        <v>3328</v>
      </c>
      <c r="E9" s="2967">
        <v>111.38</v>
      </c>
      <c r="F9" s="2967">
        <v>19.77</v>
      </c>
    </row>
    <row r="10" spans="1:8" s="2968" customFormat="1" ht="18" customHeight="1">
      <c r="A10" s="2961">
        <v>8</v>
      </c>
      <c r="B10" s="2964" t="s">
        <v>3072</v>
      </c>
      <c r="C10" s="2965" t="s">
        <v>3745</v>
      </c>
      <c r="D10" s="2966" t="s">
        <v>3329</v>
      </c>
      <c r="E10" s="2967">
        <v>99.71</v>
      </c>
      <c r="F10" s="2967">
        <v>17.7</v>
      </c>
    </row>
    <row r="11" spans="1:8" s="2968" customFormat="1" ht="18" customHeight="1">
      <c r="A11" s="2961">
        <v>9</v>
      </c>
      <c r="B11" s="2964" t="s">
        <v>3073</v>
      </c>
      <c r="C11" s="2965" t="s">
        <v>3746</v>
      </c>
      <c r="D11" s="2966" t="s">
        <v>3330</v>
      </c>
      <c r="E11" s="2967">
        <v>62.41</v>
      </c>
      <c r="F11" s="2967">
        <v>11.08</v>
      </c>
    </row>
    <row r="12" spans="1:8" s="2968" customFormat="1" ht="18" customHeight="1">
      <c r="A12" s="2961">
        <v>10</v>
      </c>
      <c r="B12" s="2964" t="s">
        <v>3074</v>
      </c>
      <c r="C12" s="2965" t="s">
        <v>3747</v>
      </c>
      <c r="D12" s="2966" t="s">
        <v>3331</v>
      </c>
      <c r="E12" s="2967">
        <v>33.15</v>
      </c>
      <c r="F12" s="2967">
        <v>5.89</v>
      </c>
      <c r="H12" s="2968" t="s">
        <v>3748</v>
      </c>
    </row>
    <row r="13" spans="1:8" s="2968" customFormat="1" ht="18" customHeight="1">
      <c r="A13" s="2961">
        <v>11</v>
      </c>
      <c r="B13" s="2964" t="s">
        <v>3075</v>
      </c>
      <c r="C13" s="2965" t="s">
        <v>3749</v>
      </c>
      <c r="D13" s="2966" t="s">
        <v>3332</v>
      </c>
      <c r="E13" s="2967">
        <v>65.2</v>
      </c>
      <c r="F13" s="2967">
        <v>11.58</v>
      </c>
    </row>
    <row r="14" spans="1:8" s="2968" customFormat="1" ht="18" customHeight="1">
      <c r="A14" s="2961">
        <v>12</v>
      </c>
      <c r="B14" s="2964" t="s">
        <v>3076</v>
      </c>
      <c r="C14" s="2965" t="s">
        <v>3750</v>
      </c>
      <c r="D14" s="2966" t="s">
        <v>3333</v>
      </c>
      <c r="E14" s="2967">
        <v>36</v>
      </c>
      <c r="F14" s="2967">
        <v>6.39</v>
      </c>
    </row>
    <row r="15" spans="1:8" s="2968" customFormat="1" ht="18" customHeight="1">
      <c r="A15" s="2961">
        <v>13</v>
      </c>
      <c r="B15" s="2964" t="s">
        <v>3077</v>
      </c>
      <c r="C15" s="2965" t="s">
        <v>3751</v>
      </c>
      <c r="D15" s="2966" t="s">
        <v>3334</v>
      </c>
      <c r="E15" s="2967">
        <v>52.73</v>
      </c>
      <c r="F15" s="2967">
        <v>9.36</v>
      </c>
    </row>
    <row r="16" spans="1:8" s="2968" customFormat="1" ht="18" customHeight="1">
      <c r="A16" s="2961">
        <v>14</v>
      </c>
      <c r="B16" s="2964" t="s">
        <v>3078</v>
      </c>
      <c r="C16" s="2965" t="s">
        <v>3752</v>
      </c>
      <c r="D16" s="2966" t="s">
        <v>3335</v>
      </c>
      <c r="E16" s="2967">
        <v>17.78</v>
      </c>
      <c r="F16" s="2967">
        <v>3.16</v>
      </c>
    </row>
    <row r="17" spans="1:6" s="2968" customFormat="1" ht="18" customHeight="1">
      <c r="A17" s="2961">
        <v>15</v>
      </c>
      <c r="B17" s="2964" t="s">
        <v>3079</v>
      </c>
      <c r="C17" s="2965" t="s">
        <v>3753</v>
      </c>
      <c r="D17" s="2966" t="s">
        <v>3336</v>
      </c>
      <c r="E17" s="2967">
        <v>64.87</v>
      </c>
      <c r="F17" s="2967">
        <v>11.52</v>
      </c>
    </row>
    <row r="18" spans="1:6" s="2968" customFormat="1" ht="18" customHeight="1">
      <c r="A18" s="2961">
        <v>16</v>
      </c>
      <c r="B18" s="2964" t="s">
        <v>3080</v>
      </c>
      <c r="C18" s="2965" t="s">
        <v>3754</v>
      </c>
      <c r="D18" s="2966" t="s">
        <v>3337</v>
      </c>
      <c r="E18" s="2967">
        <v>64.87</v>
      </c>
      <c r="F18" s="2967">
        <v>11.52</v>
      </c>
    </row>
    <row r="19" spans="1:6" s="2968" customFormat="1" ht="18" customHeight="1">
      <c r="A19" s="2961">
        <v>17</v>
      </c>
      <c r="B19" s="2964" t="s">
        <v>3081</v>
      </c>
      <c r="C19" s="2965" t="s">
        <v>3755</v>
      </c>
      <c r="D19" s="2966" t="s">
        <v>3338</v>
      </c>
      <c r="E19" s="2967">
        <v>64.81</v>
      </c>
      <c r="F19" s="2967">
        <v>11.51</v>
      </c>
    </row>
    <row r="20" spans="1:6" s="2968" customFormat="1" ht="18" customHeight="1">
      <c r="A20" s="2961">
        <v>18</v>
      </c>
      <c r="B20" s="2964" t="s">
        <v>3082</v>
      </c>
      <c r="C20" s="2965" t="s">
        <v>3756</v>
      </c>
      <c r="D20" s="2966" t="s">
        <v>3339</v>
      </c>
      <c r="E20" s="2967">
        <v>64.87</v>
      </c>
      <c r="F20" s="2967">
        <v>11.52</v>
      </c>
    </row>
    <row r="21" spans="1:6" s="2968" customFormat="1" ht="18" customHeight="1">
      <c r="A21" s="2961">
        <v>19</v>
      </c>
      <c r="B21" s="2964" t="s">
        <v>3083</v>
      </c>
      <c r="C21" s="2965" t="s">
        <v>3757</v>
      </c>
      <c r="D21" s="2966" t="s">
        <v>3340</v>
      </c>
      <c r="E21" s="2967">
        <v>65.86</v>
      </c>
      <c r="F21" s="2967">
        <v>11.69</v>
      </c>
    </row>
    <row r="22" spans="1:6" s="2968" customFormat="1" ht="18" customHeight="1">
      <c r="A22" s="2961">
        <v>20</v>
      </c>
      <c r="B22" s="2964" t="s">
        <v>3084</v>
      </c>
      <c r="C22" s="2965" t="s">
        <v>3758</v>
      </c>
      <c r="D22" s="2966" t="s">
        <v>3341</v>
      </c>
      <c r="E22" s="2967">
        <v>64.87</v>
      </c>
      <c r="F22" s="2967">
        <v>11.52</v>
      </c>
    </row>
    <row r="23" spans="1:6" s="2968" customFormat="1" ht="18" customHeight="1">
      <c r="A23" s="2961">
        <v>21</v>
      </c>
      <c r="B23" s="2964" t="s">
        <v>3085</v>
      </c>
      <c r="C23" s="2965" t="s">
        <v>3759</v>
      </c>
      <c r="D23" s="2966" t="s">
        <v>3342</v>
      </c>
      <c r="E23" s="2967">
        <v>64.87</v>
      </c>
      <c r="F23" s="2967">
        <v>11.52</v>
      </c>
    </row>
    <row r="24" spans="1:6" s="2968" customFormat="1" ht="18" customHeight="1">
      <c r="A24" s="2961">
        <v>22</v>
      </c>
      <c r="B24" s="2964" t="s">
        <v>3086</v>
      </c>
      <c r="C24" s="2965" t="s">
        <v>3760</v>
      </c>
      <c r="D24" s="2966" t="s">
        <v>3343</v>
      </c>
      <c r="E24" s="2967">
        <v>64.81</v>
      </c>
      <c r="F24" s="2967">
        <v>11.51</v>
      </c>
    </row>
    <row r="25" spans="1:6" s="2968" customFormat="1" ht="18" customHeight="1">
      <c r="A25" s="2961">
        <v>23</v>
      </c>
      <c r="B25" s="2964" t="s">
        <v>3087</v>
      </c>
      <c r="C25" s="2965" t="s">
        <v>3761</v>
      </c>
      <c r="D25" s="2966" t="s">
        <v>3344</v>
      </c>
      <c r="E25" s="2967">
        <v>65.900000000000006</v>
      </c>
      <c r="F25" s="2967">
        <v>11.7</v>
      </c>
    </row>
    <row r="26" spans="1:6" s="2968" customFormat="1" ht="18" customHeight="1">
      <c r="A26" s="2961">
        <v>24</v>
      </c>
      <c r="B26" s="2964" t="s">
        <v>3088</v>
      </c>
      <c r="C26" s="2965" t="s">
        <v>3762</v>
      </c>
      <c r="D26" s="2966" t="s">
        <v>3345</v>
      </c>
      <c r="E26" s="2967">
        <v>95.26</v>
      </c>
      <c r="F26" s="2967">
        <v>16.91</v>
      </c>
    </row>
    <row r="27" spans="1:6" s="2968" customFormat="1" ht="18" customHeight="1">
      <c r="A27" s="2961">
        <v>25</v>
      </c>
      <c r="B27" s="2964" t="s">
        <v>3089</v>
      </c>
      <c r="C27" s="2965" t="s">
        <v>3763</v>
      </c>
      <c r="D27" s="2966" t="s">
        <v>3346</v>
      </c>
      <c r="E27" s="2967">
        <v>24.68</v>
      </c>
      <c r="F27" s="2967">
        <v>4.38</v>
      </c>
    </row>
    <row r="28" spans="1:6" s="2968" customFormat="1" ht="18" customHeight="1">
      <c r="A28" s="2961">
        <v>26</v>
      </c>
      <c r="B28" s="2964" t="s">
        <v>3090</v>
      </c>
      <c r="C28" s="2965" t="s">
        <v>3764</v>
      </c>
      <c r="D28" s="2966" t="s">
        <v>3347</v>
      </c>
      <c r="E28" s="2967">
        <v>38.4</v>
      </c>
      <c r="F28" s="2967">
        <v>6.82</v>
      </c>
    </row>
    <row r="29" spans="1:6" s="2968" customFormat="1" ht="18" customHeight="1">
      <c r="A29" s="2961">
        <v>27</v>
      </c>
      <c r="B29" s="2964" t="s">
        <v>3091</v>
      </c>
      <c r="C29" s="2965" t="s">
        <v>3765</v>
      </c>
      <c r="D29" s="2966" t="s">
        <v>3348</v>
      </c>
      <c r="E29" s="2967">
        <v>93.74</v>
      </c>
      <c r="F29" s="2967">
        <v>16.64</v>
      </c>
    </row>
    <row r="30" spans="1:6" s="2968" customFormat="1" ht="18" customHeight="1">
      <c r="A30" s="2961">
        <v>28</v>
      </c>
      <c r="B30" s="2964" t="s">
        <v>3092</v>
      </c>
      <c r="C30" s="2965" t="s">
        <v>3766</v>
      </c>
      <c r="D30" s="2966" t="s">
        <v>3349</v>
      </c>
      <c r="E30" s="2967">
        <v>44.99</v>
      </c>
      <c r="F30" s="2967">
        <v>7.99</v>
      </c>
    </row>
    <row r="31" spans="1:6" s="2968" customFormat="1" ht="18" customHeight="1">
      <c r="A31" s="2961">
        <v>29</v>
      </c>
      <c r="B31" s="2964" t="s">
        <v>3093</v>
      </c>
      <c r="C31" s="2965" t="s">
        <v>3767</v>
      </c>
      <c r="D31" s="2966" t="s">
        <v>3350</v>
      </c>
      <c r="E31" s="2967">
        <v>42.22</v>
      </c>
      <c r="F31" s="2967">
        <v>7.5</v>
      </c>
    </row>
    <row r="32" spans="1:6" s="2968" customFormat="1" ht="18" customHeight="1">
      <c r="A32" s="2961">
        <v>30</v>
      </c>
      <c r="B32" s="2964" t="s">
        <v>3094</v>
      </c>
      <c r="C32" s="2965" t="s">
        <v>3768</v>
      </c>
      <c r="D32" s="2966" t="s">
        <v>3351</v>
      </c>
      <c r="E32" s="2967">
        <v>67.77</v>
      </c>
      <c r="F32" s="2967">
        <v>12.03</v>
      </c>
    </row>
    <row r="33" spans="1:6" s="2968" customFormat="1" ht="18" customHeight="1">
      <c r="A33" s="2961">
        <v>31</v>
      </c>
      <c r="B33" s="2964" t="s">
        <v>3095</v>
      </c>
      <c r="C33" s="2965" t="s">
        <v>3769</v>
      </c>
      <c r="D33" s="2966" t="s">
        <v>3352</v>
      </c>
      <c r="E33" s="2967">
        <v>29.05</v>
      </c>
      <c r="F33" s="2967">
        <v>5.16</v>
      </c>
    </row>
    <row r="34" spans="1:6" s="2968" customFormat="1" ht="18" customHeight="1">
      <c r="A34" s="2961">
        <v>32</v>
      </c>
      <c r="B34" s="2964" t="s">
        <v>3096</v>
      </c>
      <c r="C34" s="2965" t="s">
        <v>3770</v>
      </c>
      <c r="D34" s="2966" t="s">
        <v>3353</v>
      </c>
      <c r="E34" s="2967">
        <v>16.77</v>
      </c>
      <c r="F34" s="2967">
        <v>2.98</v>
      </c>
    </row>
    <row r="35" spans="1:6" s="2968" customFormat="1" ht="18" customHeight="1">
      <c r="A35" s="2961">
        <v>33</v>
      </c>
      <c r="B35" s="2964" t="s">
        <v>3097</v>
      </c>
      <c r="C35" s="2965" t="s">
        <v>3771</v>
      </c>
      <c r="D35" s="2966" t="s">
        <v>3354</v>
      </c>
      <c r="E35" s="2967">
        <v>63.9</v>
      </c>
      <c r="F35" s="2967">
        <v>11.34</v>
      </c>
    </row>
    <row r="36" spans="1:6" s="2968" customFormat="1" ht="18" customHeight="1">
      <c r="A36" s="2961">
        <v>34</v>
      </c>
      <c r="B36" s="2964" t="s">
        <v>3098</v>
      </c>
      <c r="C36" s="2965" t="s">
        <v>3772</v>
      </c>
      <c r="D36" s="2966" t="s">
        <v>3355</v>
      </c>
      <c r="E36" s="2967">
        <v>36.72</v>
      </c>
      <c r="F36" s="2967">
        <v>6.52</v>
      </c>
    </row>
    <row r="37" spans="1:6" s="2968" customFormat="1" ht="18" customHeight="1">
      <c r="A37" s="2961">
        <v>35</v>
      </c>
      <c r="B37" s="2964" t="s">
        <v>3099</v>
      </c>
      <c r="C37" s="2965" t="s">
        <v>3773</v>
      </c>
      <c r="D37" s="2966" t="s">
        <v>3356</v>
      </c>
      <c r="E37" s="2967">
        <v>75.8</v>
      </c>
      <c r="F37" s="2967">
        <v>13.46</v>
      </c>
    </row>
    <row r="38" spans="1:6" s="2968" customFormat="1" ht="18" customHeight="1">
      <c r="A38" s="2961">
        <v>36</v>
      </c>
      <c r="B38" s="2964" t="s">
        <v>3100</v>
      </c>
      <c r="C38" s="2965" t="s">
        <v>3774</v>
      </c>
      <c r="D38" s="2966" t="s">
        <v>3357</v>
      </c>
      <c r="E38" s="2967">
        <v>40.96</v>
      </c>
      <c r="F38" s="2967">
        <v>7.27</v>
      </c>
    </row>
    <row r="39" spans="1:6" s="2968" customFormat="1" ht="18" customHeight="1">
      <c r="A39" s="2961">
        <v>37</v>
      </c>
      <c r="B39" s="2964" t="s">
        <v>3101</v>
      </c>
      <c r="C39" s="2965" t="s">
        <v>3775</v>
      </c>
      <c r="D39" s="2966" t="s">
        <v>3358</v>
      </c>
      <c r="E39" s="2967">
        <v>26.86</v>
      </c>
      <c r="F39" s="2967">
        <v>4.7699999999999996</v>
      </c>
    </row>
    <row r="40" spans="1:6" s="2968" customFormat="1" ht="18" customHeight="1">
      <c r="A40" s="2961">
        <v>38</v>
      </c>
      <c r="B40" s="2964" t="s">
        <v>3102</v>
      </c>
      <c r="C40" s="2965" t="s">
        <v>3776</v>
      </c>
      <c r="D40" s="2966" t="s">
        <v>3359</v>
      </c>
      <c r="E40" s="2967">
        <v>41.41</v>
      </c>
      <c r="F40" s="2967">
        <v>7.35</v>
      </c>
    </row>
    <row r="41" spans="1:6" s="2968" customFormat="1" ht="18" customHeight="1">
      <c r="A41" s="2961">
        <v>39</v>
      </c>
      <c r="B41" s="2964" t="s">
        <v>3103</v>
      </c>
      <c r="C41" s="2965" t="s">
        <v>3777</v>
      </c>
      <c r="D41" s="2966" t="s">
        <v>3360</v>
      </c>
      <c r="E41" s="2967">
        <v>40.770000000000003</v>
      </c>
      <c r="F41" s="2967">
        <v>7.24</v>
      </c>
    </row>
    <row r="42" spans="1:6" s="2968" customFormat="1" ht="18" customHeight="1">
      <c r="A42" s="2961">
        <v>40</v>
      </c>
      <c r="B42" s="2964" t="s">
        <v>3104</v>
      </c>
      <c r="C42" s="2965" t="s">
        <v>3778</v>
      </c>
      <c r="D42" s="2966" t="s">
        <v>3361</v>
      </c>
      <c r="E42" s="2967">
        <v>39.549999999999997</v>
      </c>
      <c r="F42" s="2967">
        <v>7.02</v>
      </c>
    </row>
    <row r="43" spans="1:6" s="2968" customFormat="1" ht="18" customHeight="1">
      <c r="A43" s="2961">
        <v>41</v>
      </c>
      <c r="B43" s="2964" t="s">
        <v>3105</v>
      </c>
      <c r="C43" s="2965" t="s">
        <v>3779</v>
      </c>
      <c r="D43" s="2966" t="s">
        <v>3362</v>
      </c>
      <c r="E43" s="2967">
        <v>24.01</v>
      </c>
      <c r="F43" s="2967">
        <v>4.26</v>
      </c>
    </row>
    <row r="44" spans="1:6" s="2968" customFormat="1" ht="18" customHeight="1">
      <c r="A44" s="2961">
        <v>42</v>
      </c>
      <c r="B44" s="2964" t="s">
        <v>3106</v>
      </c>
      <c r="C44" s="2965" t="s">
        <v>3780</v>
      </c>
      <c r="D44" s="2966" t="s">
        <v>3363</v>
      </c>
      <c r="E44" s="2967">
        <v>23.94</v>
      </c>
      <c r="F44" s="2967">
        <v>4.25</v>
      </c>
    </row>
    <row r="45" spans="1:6" s="2968" customFormat="1" ht="18" customHeight="1">
      <c r="A45" s="2961">
        <v>43</v>
      </c>
      <c r="B45" s="2964" t="s">
        <v>3107</v>
      </c>
      <c r="C45" s="2965" t="s">
        <v>3781</v>
      </c>
      <c r="D45" s="2966" t="s">
        <v>3365</v>
      </c>
      <c r="E45" s="2967">
        <v>45.95</v>
      </c>
      <c r="F45" s="2967">
        <v>8.16</v>
      </c>
    </row>
    <row r="46" spans="1:6" s="2968" customFormat="1" ht="18" customHeight="1">
      <c r="A46" s="2961">
        <v>44</v>
      </c>
      <c r="B46" s="2964" t="s">
        <v>3108</v>
      </c>
      <c r="C46" s="2965" t="s">
        <v>3782</v>
      </c>
      <c r="D46" s="2966" t="s">
        <v>3366</v>
      </c>
      <c r="E46" s="2967">
        <v>47.14</v>
      </c>
      <c r="F46" s="2967">
        <v>8.3699999999999992</v>
      </c>
    </row>
    <row r="47" spans="1:6" s="2968" customFormat="1" ht="18" customHeight="1">
      <c r="A47" s="2961">
        <v>45</v>
      </c>
      <c r="B47" s="2964" t="s">
        <v>3109</v>
      </c>
      <c r="C47" s="2965" t="s">
        <v>3783</v>
      </c>
      <c r="D47" s="2966" t="s">
        <v>3367</v>
      </c>
      <c r="E47" s="2967">
        <v>46.03</v>
      </c>
      <c r="F47" s="2967">
        <v>8.17</v>
      </c>
    </row>
    <row r="48" spans="1:6" s="2968" customFormat="1" ht="18" customHeight="1">
      <c r="A48" s="2961">
        <v>46</v>
      </c>
      <c r="B48" s="2964" t="s">
        <v>3110</v>
      </c>
      <c r="C48" s="2965" t="s">
        <v>3784</v>
      </c>
      <c r="D48" s="2966" t="s">
        <v>3368</v>
      </c>
      <c r="E48" s="2967">
        <v>46.03</v>
      </c>
      <c r="F48" s="2967">
        <v>8.17</v>
      </c>
    </row>
    <row r="49" spans="1:6" s="2968" customFormat="1" ht="18" customHeight="1">
      <c r="A49" s="2961">
        <v>47</v>
      </c>
      <c r="B49" s="2964" t="s">
        <v>3111</v>
      </c>
      <c r="C49" s="2965" t="s">
        <v>3785</v>
      </c>
      <c r="D49" s="2966" t="s">
        <v>3369</v>
      </c>
      <c r="E49" s="2967">
        <v>46.03</v>
      </c>
      <c r="F49" s="2967">
        <v>8.17</v>
      </c>
    </row>
    <row r="50" spans="1:6" s="2968" customFormat="1" ht="18" customHeight="1">
      <c r="A50" s="2961">
        <v>48</v>
      </c>
      <c r="B50" s="2964" t="s">
        <v>3112</v>
      </c>
      <c r="C50" s="2965" t="s">
        <v>3786</v>
      </c>
      <c r="D50" s="2966" t="s">
        <v>3370</v>
      </c>
      <c r="E50" s="2967">
        <v>45.95</v>
      </c>
      <c r="F50" s="2967">
        <v>8.16</v>
      </c>
    </row>
    <row r="51" spans="1:6" s="2968" customFormat="1" ht="18" customHeight="1">
      <c r="A51" s="2961">
        <v>49</v>
      </c>
      <c r="B51" s="2964" t="s">
        <v>3113</v>
      </c>
      <c r="C51" s="2965" t="s">
        <v>3787</v>
      </c>
      <c r="D51" s="2966" t="s">
        <v>3371</v>
      </c>
      <c r="E51" s="2967">
        <v>46.51</v>
      </c>
      <c r="F51" s="2967">
        <v>8.26</v>
      </c>
    </row>
    <row r="52" spans="1:6" s="2968" customFormat="1" ht="18" customHeight="1">
      <c r="A52" s="2961">
        <v>50</v>
      </c>
      <c r="B52" s="2964" t="s">
        <v>3114</v>
      </c>
      <c r="C52" s="2965" t="s">
        <v>3788</v>
      </c>
      <c r="D52" s="2966" t="s">
        <v>3372</v>
      </c>
      <c r="E52" s="2967">
        <v>46.03</v>
      </c>
      <c r="F52" s="2967">
        <v>8.17</v>
      </c>
    </row>
    <row r="53" spans="1:6" s="2968" customFormat="1" ht="18" customHeight="1">
      <c r="A53" s="2961">
        <v>51</v>
      </c>
      <c r="B53" s="2964" t="s">
        <v>3115</v>
      </c>
      <c r="C53" s="2965" t="s">
        <v>3789</v>
      </c>
      <c r="D53" s="2966" t="s">
        <v>3373</v>
      </c>
      <c r="E53" s="2967">
        <v>40.32</v>
      </c>
      <c r="F53" s="2967">
        <v>7.16</v>
      </c>
    </row>
    <row r="54" spans="1:6" s="2968" customFormat="1" ht="18" customHeight="1">
      <c r="A54" s="2961">
        <v>52</v>
      </c>
      <c r="B54" s="2964" t="s">
        <v>3116</v>
      </c>
      <c r="C54" s="2965" t="s">
        <v>3790</v>
      </c>
      <c r="D54" s="2966" t="s">
        <v>3374</v>
      </c>
      <c r="E54" s="2967">
        <v>39.33</v>
      </c>
      <c r="F54" s="2967">
        <v>6.98</v>
      </c>
    </row>
    <row r="55" spans="1:6" s="2968" customFormat="1" ht="18" customHeight="1">
      <c r="A55" s="2961">
        <v>53</v>
      </c>
      <c r="B55" s="2964" t="s">
        <v>3117</v>
      </c>
      <c r="C55" s="2965" t="s">
        <v>3791</v>
      </c>
      <c r="D55" s="2966" t="s">
        <v>3375</v>
      </c>
      <c r="E55" s="2967">
        <v>54.13</v>
      </c>
      <c r="F55" s="2967">
        <v>9.61</v>
      </c>
    </row>
    <row r="56" spans="1:6" s="2968" customFormat="1" ht="18" customHeight="1">
      <c r="A56" s="2961">
        <v>54</v>
      </c>
      <c r="B56" s="2964" t="s">
        <v>3118</v>
      </c>
      <c r="C56" s="2965" t="s">
        <v>3792</v>
      </c>
      <c r="D56" s="2966" t="s">
        <v>3376</v>
      </c>
      <c r="E56" s="2967">
        <v>53.4</v>
      </c>
      <c r="F56" s="2967">
        <v>9.48</v>
      </c>
    </row>
    <row r="57" spans="1:6" s="2968" customFormat="1" ht="18" customHeight="1">
      <c r="A57" s="2961">
        <v>55</v>
      </c>
      <c r="B57" s="2964" t="s">
        <v>3119</v>
      </c>
      <c r="C57" s="2965" t="s">
        <v>3793</v>
      </c>
      <c r="D57" s="2966" t="s">
        <v>3377</v>
      </c>
      <c r="E57" s="2967">
        <v>54.53</v>
      </c>
      <c r="F57" s="2967">
        <v>9.68</v>
      </c>
    </row>
    <row r="58" spans="1:6" s="2968" customFormat="1" ht="18" customHeight="1">
      <c r="A58" s="2961">
        <v>56</v>
      </c>
      <c r="B58" s="2964" t="s">
        <v>3120</v>
      </c>
      <c r="C58" s="2965" t="s">
        <v>3794</v>
      </c>
      <c r="D58" s="2966" t="s">
        <v>3378</v>
      </c>
      <c r="E58" s="2967">
        <v>17.5</v>
      </c>
      <c r="F58" s="2967">
        <v>3.11</v>
      </c>
    </row>
    <row r="59" spans="1:6" s="2968" customFormat="1" ht="18" customHeight="1">
      <c r="A59" s="2961">
        <v>57</v>
      </c>
      <c r="B59" s="2964" t="s">
        <v>3121</v>
      </c>
      <c r="C59" s="2965" t="s">
        <v>3795</v>
      </c>
      <c r="D59" s="2966" t="s">
        <v>3379</v>
      </c>
      <c r="E59" s="2967">
        <v>54.54</v>
      </c>
      <c r="F59" s="2967">
        <v>9.68</v>
      </c>
    </row>
    <row r="60" spans="1:6" s="2968" customFormat="1" ht="18" customHeight="1">
      <c r="A60" s="2961">
        <v>58</v>
      </c>
      <c r="B60" s="2964" t="s">
        <v>3122</v>
      </c>
      <c r="C60" s="2965" t="s">
        <v>3796</v>
      </c>
      <c r="D60" s="2966" t="s">
        <v>3380</v>
      </c>
      <c r="E60" s="2967">
        <v>53.47</v>
      </c>
      <c r="F60" s="2967">
        <v>9.49</v>
      </c>
    </row>
    <row r="61" spans="1:6" s="2968" customFormat="1" ht="18" customHeight="1">
      <c r="A61" s="2961">
        <v>59</v>
      </c>
      <c r="B61" s="2964" t="s">
        <v>3123</v>
      </c>
      <c r="C61" s="2965" t="s">
        <v>3797</v>
      </c>
      <c r="D61" s="2966" t="s">
        <v>3381</v>
      </c>
      <c r="E61" s="2967">
        <v>53.47</v>
      </c>
      <c r="F61" s="2967">
        <v>9.49</v>
      </c>
    </row>
    <row r="62" spans="1:6" s="2968" customFormat="1" ht="18" customHeight="1">
      <c r="A62" s="2961">
        <v>60</v>
      </c>
      <c r="B62" s="2964" t="s">
        <v>3124</v>
      </c>
      <c r="C62" s="2965" t="s">
        <v>3798</v>
      </c>
      <c r="D62" s="2966" t="s">
        <v>3382</v>
      </c>
      <c r="E62" s="2967">
        <v>53.4</v>
      </c>
      <c r="F62" s="2967">
        <v>9.48</v>
      </c>
    </row>
    <row r="63" spans="1:6" s="2968" customFormat="1" ht="18" customHeight="1">
      <c r="A63" s="2961">
        <v>61</v>
      </c>
      <c r="B63" s="2964" t="s">
        <v>3125</v>
      </c>
      <c r="C63" s="2965" t="s">
        <v>3799</v>
      </c>
      <c r="D63" s="2966" t="s">
        <v>3383</v>
      </c>
      <c r="E63" s="2967">
        <v>54.56</v>
      </c>
      <c r="F63" s="2967">
        <v>9.69</v>
      </c>
    </row>
    <row r="64" spans="1:6" s="2968" customFormat="1" ht="18" customHeight="1">
      <c r="A64" s="2961">
        <v>62</v>
      </c>
      <c r="B64" s="2964" t="s">
        <v>3126</v>
      </c>
      <c r="C64" s="2965" t="s">
        <v>3800</v>
      </c>
      <c r="D64" s="2966" t="s">
        <v>3384</v>
      </c>
      <c r="E64" s="2967">
        <v>56.29</v>
      </c>
      <c r="F64" s="2967">
        <v>9.99</v>
      </c>
    </row>
    <row r="65" spans="1:6" s="2968" customFormat="1" ht="18" customHeight="1">
      <c r="A65" s="2961">
        <v>63</v>
      </c>
      <c r="B65" s="2964" t="s">
        <v>3127</v>
      </c>
      <c r="C65" s="2965" t="s">
        <v>3801</v>
      </c>
      <c r="D65" s="2966" t="s">
        <v>3385</v>
      </c>
      <c r="E65" s="2967">
        <v>31.46</v>
      </c>
      <c r="F65" s="2967">
        <v>5.59</v>
      </c>
    </row>
    <row r="66" spans="1:6" s="2968" customFormat="1" ht="18" customHeight="1">
      <c r="A66" s="2961">
        <v>64</v>
      </c>
      <c r="B66" s="2964" t="s">
        <v>3128</v>
      </c>
      <c r="C66" s="2965" t="s">
        <v>3802</v>
      </c>
      <c r="D66" s="2966" t="s">
        <v>3386</v>
      </c>
      <c r="E66" s="2967">
        <v>59.61</v>
      </c>
      <c r="F66" s="2967">
        <v>10.58</v>
      </c>
    </row>
    <row r="67" spans="1:6" s="2968" customFormat="1" ht="18" customHeight="1">
      <c r="A67" s="2961">
        <v>65</v>
      </c>
      <c r="B67" s="2964" t="s">
        <v>3129</v>
      </c>
      <c r="C67" s="2965" t="s">
        <v>3803</v>
      </c>
      <c r="D67" s="2966" t="s">
        <v>3387</v>
      </c>
      <c r="E67" s="2967">
        <v>59.61</v>
      </c>
      <c r="F67" s="2967">
        <v>10.58</v>
      </c>
    </row>
    <row r="68" spans="1:6" s="2968" customFormat="1" ht="18" customHeight="1">
      <c r="A68" s="2961">
        <v>66</v>
      </c>
      <c r="B68" s="2964" t="s">
        <v>3130</v>
      </c>
      <c r="C68" s="2965" t="s">
        <v>3804</v>
      </c>
      <c r="D68" s="2966" t="s">
        <v>3388</v>
      </c>
      <c r="E68" s="2967">
        <v>43.63</v>
      </c>
      <c r="F68" s="2967">
        <v>7.75</v>
      </c>
    </row>
    <row r="69" spans="1:6" s="2968" customFormat="1" ht="18" customHeight="1">
      <c r="A69" s="2961">
        <v>67</v>
      </c>
      <c r="B69" s="2964" t="s">
        <v>3131</v>
      </c>
      <c r="C69" s="2965" t="s">
        <v>3805</v>
      </c>
      <c r="D69" s="2966" t="s">
        <v>3389</v>
      </c>
      <c r="E69" s="2967">
        <v>49.61</v>
      </c>
      <c r="F69" s="2967">
        <v>8.81</v>
      </c>
    </row>
    <row r="70" spans="1:6" s="2968" customFormat="1" ht="18" customHeight="1">
      <c r="A70" s="2961">
        <v>68</v>
      </c>
      <c r="B70" s="2964" t="s">
        <v>3132</v>
      </c>
      <c r="C70" s="2965" t="s">
        <v>3806</v>
      </c>
      <c r="D70" s="2966" t="s">
        <v>3390</v>
      </c>
      <c r="E70" s="2967">
        <v>45.15</v>
      </c>
      <c r="F70" s="2967">
        <v>8.02</v>
      </c>
    </row>
    <row r="71" spans="1:6" s="2968" customFormat="1" ht="18" customHeight="1">
      <c r="A71" s="2961">
        <v>69</v>
      </c>
      <c r="B71" s="2964" t="s">
        <v>3133</v>
      </c>
      <c r="C71" s="2965" t="s">
        <v>3807</v>
      </c>
      <c r="D71" s="2966" t="s">
        <v>3391</v>
      </c>
      <c r="E71" s="2967">
        <v>45.15</v>
      </c>
      <c r="F71" s="2967">
        <v>8.02</v>
      </c>
    </row>
    <row r="72" spans="1:6" s="2968" customFormat="1" ht="18" customHeight="1">
      <c r="A72" s="2961">
        <v>70</v>
      </c>
      <c r="B72" s="2964" t="s">
        <v>3134</v>
      </c>
      <c r="C72" s="2965" t="s">
        <v>3808</v>
      </c>
      <c r="D72" s="2966" t="s">
        <v>3392</v>
      </c>
      <c r="E72" s="2967">
        <v>42.93</v>
      </c>
      <c r="F72" s="2967">
        <v>7.62</v>
      </c>
    </row>
    <row r="73" spans="1:6" s="2968" customFormat="1" ht="18" customHeight="1">
      <c r="A73" s="2961">
        <v>71</v>
      </c>
      <c r="B73" s="2964" t="s">
        <v>3135</v>
      </c>
      <c r="C73" s="2965" t="s">
        <v>3809</v>
      </c>
      <c r="D73" s="2966" t="s">
        <v>3393</v>
      </c>
      <c r="E73" s="2967">
        <v>42.08</v>
      </c>
      <c r="F73" s="2967">
        <v>7.47</v>
      </c>
    </row>
    <row r="74" spans="1:6" s="2968" customFormat="1" ht="18" customHeight="1">
      <c r="A74" s="2961">
        <v>72</v>
      </c>
      <c r="B74" s="2964" t="s">
        <v>3136</v>
      </c>
      <c r="C74" s="2965" t="s">
        <v>3810</v>
      </c>
      <c r="D74" s="2966" t="s">
        <v>3394</v>
      </c>
      <c r="E74" s="2967">
        <v>42.08</v>
      </c>
      <c r="F74" s="2967">
        <v>7.47</v>
      </c>
    </row>
    <row r="75" spans="1:6" s="2968" customFormat="1" ht="18" customHeight="1">
      <c r="A75" s="2961">
        <v>73</v>
      </c>
      <c r="B75" s="2964" t="s">
        <v>3137</v>
      </c>
      <c r="C75" s="2965" t="s">
        <v>3811</v>
      </c>
      <c r="D75" s="2966" t="s">
        <v>3395</v>
      </c>
      <c r="E75" s="2967">
        <v>61.36</v>
      </c>
      <c r="F75" s="2967">
        <v>10.89</v>
      </c>
    </row>
    <row r="76" spans="1:6" s="2968" customFormat="1" ht="18" customHeight="1">
      <c r="A76" s="2961">
        <v>74</v>
      </c>
      <c r="B76" s="2964" t="s">
        <v>3138</v>
      </c>
      <c r="C76" s="2965" t="s">
        <v>3812</v>
      </c>
      <c r="D76" s="2966" t="s">
        <v>3396</v>
      </c>
      <c r="E76" s="2967">
        <v>60.42</v>
      </c>
      <c r="F76" s="2967">
        <v>10.73</v>
      </c>
    </row>
    <row r="77" spans="1:6" s="2968" customFormat="1" ht="18" customHeight="1">
      <c r="A77" s="2961">
        <v>75</v>
      </c>
      <c r="B77" s="2964" t="s">
        <v>3139</v>
      </c>
      <c r="C77" s="2965" t="s">
        <v>3813</v>
      </c>
      <c r="D77" s="2966" t="s">
        <v>3397</v>
      </c>
      <c r="E77" s="2967">
        <v>60.49</v>
      </c>
      <c r="F77" s="2967">
        <v>10.74</v>
      </c>
    </row>
    <row r="78" spans="1:6" s="2968" customFormat="1" ht="18" customHeight="1">
      <c r="A78" s="2961">
        <v>76</v>
      </c>
      <c r="B78" s="2964" t="s">
        <v>3140</v>
      </c>
      <c r="C78" s="2965" t="s">
        <v>3814</v>
      </c>
      <c r="D78" s="2966" t="s">
        <v>3398</v>
      </c>
      <c r="E78" s="2967">
        <v>68.63</v>
      </c>
      <c r="F78" s="2967">
        <v>12.18</v>
      </c>
    </row>
    <row r="79" spans="1:6" s="2968" customFormat="1" ht="18" customHeight="1">
      <c r="A79" s="2961">
        <v>77</v>
      </c>
      <c r="B79" s="2964" t="s">
        <v>3141</v>
      </c>
      <c r="C79" s="2965" t="s">
        <v>3815</v>
      </c>
      <c r="D79" s="2966" t="s">
        <v>3399</v>
      </c>
      <c r="E79" s="2967">
        <v>36.03</v>
      </c>
      <c r="F79" s="2967">
        <v>6.4</v>
      </c>
    </row>
    <row r="80" spans="1:6" s="2968" customFormat="1" ht="18" customHeight="1">
      <c r="A80" s="2961">
        <v>78</v>
      </c>
      <c r="B80" s="2964" t="s">
        <v>3142</v>
      </c>
      <c r="C80" s="2965" t="s">
        <v>3816</v>
      </c>
      <c r="D80" s="2966" t="s">
        <v>3400</v>
      </c>
      <c r="E80" s="2967">
        <v>50.5</v>
      </c>
      <c r="F80" s="2967">
        <v>8.9700000000000006</v>
      </c>
    </row>
    <row r="81" spans="1:6" s="2968" customFormat="1" ht="18" customHeight="1">
      <c r="A81" s="2961">
        <v>79</v>
      </c>
      <c r="B81" s="2964" t="s">
        <v>3143</v>
      </c>
      <c r="C81" s="2965" t="s">
        <v>3817</v>
      </c>
      <c r="D81" s="2966" t="s">
        <v>3401</v>
      </c>
      <c r="E81" s="2967">
        <v>50.5</v>
      </c>
      <c r="F81" s="2967">
        <v>8.9700000000000006</v>
      </c>
    </row>
    <row r="82" spans="1:6" s="2968" customFormat="1" ht="18" customHeight="1">
      <c r="A82" s="2961">
        <v>80</v>
      </c>
      <c r="B82" s="2964" t="s">
        <v>3144</v>
      </c>
      <c r="C82" s="2965" t="s">
        <v>3818</v>
      </c>
      <c r="D82" s="2966" t="s">
        <v>3402</v>
      </c>
      <c r="E82" s="2967">
        <v>65.650000000000006</v>
      </c>
      <c r="F82" s="2967">
        <v>11.66</v>
      </c>
    </row>
    <row r="83" spans="1:6" s="2968" customFormat="1" ht="18" customHeight="1">
      <c r="A83" s="2961">
        <v>81</v>
      </c>
      <c r="B83" s="2964" t="s">
        <v>3145</v>
      </c>
      <c r="C83" s="2965" t="s">
        <v>3819</v>
      </c>
      <c r="D83" s="2966" t="s">
        <v>3403</v>
      </c>
      <c r="E83" s="2967">
        <v>106.77</v>
      </c>
      <c r="F83" s="2967">
        <v>18.96</v>
      </c>
    </row>
    <row r="84" spans="1:6" s="2968" customFormat="1" ht="18" customHeight="1">
      <c r="A84" s="2961">
        <v>82</v>
      </c>
      <c r="B84" s="2964" t="s">
        <v>3146</v>
      </c>
      <c r="C84" s="2965" t="s">
        <v>3820</v>
      </c>
      <c r="D84" s="2966" t="s">
        <v>3404</v>
      </c>
      <c r="E84" s="2967">
        <v>32.79</v>
      </c>
      <c r="F84" s="2967">
        <v>5.82</v>
      </c>
    </row>
    <row r="85" spans="1:6" s="2968" customFormat="1" ht="18" customHeight="1">
      <c r="A85" s="2961">
        <v>83</v>
      </c>
      <c r="B85" s="2964" t="s">
        <v>3147</v>
      </c>
      <c r="C85" s="2965" t="s">
        <v>3821</v>
      </c>
      <c r="D85" s="2966" t="s">
        <v>3405</v>
      </c>
      <c r="E85" s="2967">
        <v>102.89</v>
      </c>
      <c r="F85" s="2967">
        <v>18.27</v>
      </c>
    </row>
    <row r="86" spans="1:6" s="2968" customFormat="1" ht="18" customHeight="1">
      <c r="A86" s="2961">
        <v>84</v>
      </c>
      <c r="B86" s="2964" t="s">
        <v>3148</v>
      </c>
      <c r="C86" s="2965" t="s">
        <v>3406</v>
      </c>
      <c r="D86" s="2966" t="s">
        <v>3407</v>
      </c>
      <c r="E86" s="2967">
        <v>67.739999999999995</v>
      </c>
      <c r="F86" s="2967">
        <v>12.03</v>
      </c>
    </row>
    <row r="87" spans="1:6" s="2968" customFormat="1" ht="18" customHeight="1">
      <c r="A87" s="2961">
        <v>85</v>
      </c>
      <c r="B87" s="2964" t="s">
        <v>3149</v>
      </c>
      <c r="C87" s="2965" t="s">
        <v>3408</v>
      </c>
      <c r="D87" s="2966" t="s">
        <v>3409</v>
      </c>
      <c r="E87" s="2967">
        <v>53.24</v>
      </c>
      <c r="F87" s="2967">
        <v>9.4499999999999993</v>
      </c>
    </row>
    <row r="88" spans="1:6" s="2968" customFormat="1" ht="18" customHeight="1">
      <c r="A88" s="2961">
        <v>86</v>
      </c>
      <c r="B88" s="2964" t="s">
        <v>3150</v>
      </c>
      <c r="C88" s="2965" t="s">
        <v>3410</v>
      </c>
      <c r="D88" s="2966" t="s">
        <v>3411</v>
      </c>
      <c r="E88" s="2967">
        <v>105.17</v>
      </c>
      <c r="F88" s="2967">
        <v>18.670000000000002</v>
      </c>
    </row>
    <row r="89" spans="1:6" s="2968" customFormat="1" ht="18" customHeight="1">
      <c r="A89" s="2961">
        <v>87</v>
      </c>
      <c r="B89" s="2964" t="s">
        <v>3151</v>
      </c>
      <c r="C89" s="2965" t="s">
        <v>3412</v>
      </c>
      <c r="D89" s="2966" t="s">
        <v>3413</v>
      </c>
      <c r="E89" s="2967">
        <v>98.7</v>
      </c>
      <c r="F89" s="2967">
        <v>17.52</v>
      </c>
    </row>
    <row r="90" spans="1:6" s="2968" customFormat="1" ht="18" customHeight="1">
      <c r="A90" s="2961">
        <v>88</v>
      </c>
      <c r="B90" s="2964" t="s">
        <v>3152</v>
      </c>
      <c r="C90" s="2965" t="s">
        <v>3414</v>
      </c>
      <c r="D90" s="2966" t="s">
        <v>3415</v>
      </c>
      <c r="E90" s="2967">
        <v>130.77000000000001</v>
      </c>
      <c r="F90" s="2967">
        <v>23.22</v>
      </c>
    </row>
    <row r="91" spans="1:6" s="2968" customFormat="1" ht="18" customHeight="1">
      <c r="A91" s="2961">
        <v>89</v>
      </c>
      <c r="B91" s="2964" t="s">
        <v>3153</v>
      </c>
      <c r="C91" s="2965" t="s">
        <v>3416</v>
      </c>
      <c r="D91" s="2966" t="s">
        <v>3417</v>
      </c>
      <c r="E91" s="2967">
        <v>61.85</v>
      </c>
      <c r="F91" s="2967">
        <v>10.98</v>
      </c>
    </row>
    <row r="92" spans="1:6" s="2968" customFormat="1" ht="18" customHeight="1">
      <c r="A92" s="2961">
        <v>90</v>
      </c>
      <c r="B92" s="2964" t="s">
        <v>3154</v>
      </c>
      <c r="C92" s="2965" t="s">
        <v>3418</v>
      </c>
      <c r="D92" s="2966" t="s">
        <v>3419</v>
      </c>
      <c r="E92" s="2967">
        <v>55.48</v>
      </c>
      <c r="F92" s="2967">
        <v>9.85</v>
      </c>
    </row>
    <row r="93" spans="1:6" s="2968" customFormat="1" ht="18" customHeight="1">
      <c r="A93" s="2961">
        <v>91</v>
      </c>
      <c r="B93" s="2964" t="s">
        <v>3155</v>
      </c>
      <c r="C93" s="2965" t="s">
        <v>3420</v>
      </c>
      <c r="D93" s="2966" t="s">
        <v>3421</v>
      </c>
      <c r="E93" s="2967">
        <v>49.11</v>
      </c>
      <c r="F93" s="2967">
        <v>8.7200000000000006</v>
      </c>
    </row>
    <row r="94" spans="1:6" s="2968" customFormat="1" ht="18" customHeight="1">
      <c r="A94" s="2961">
        <v>92</v>
      </c>
      <c r="B94" s="2964" t="s">
        <v>3156</v>
      </c>
      <c r="C94" s="2965" t="s">
        <v>3422</v>
      </c>
      <c r="D94" s="2966" t="s">
        <v>3423</v>
      </c>
      <c r="E94" s="2967">
        <v>96.83</v>
      </c>
      <c r="F94" s="2967">
        <v>17.190000000000001</v>
      </c>
    </row>
    <row r="95" spans="1:6" s="2968" customFormat="1" ht="18" customHeight="1">
      <c r="A95" s="2961">
        <v>93</v>
      </c>
      <c r="B95" s="2964" t="s">
        <v>3157</v>
      </c>
      <c r="C95" s="2965" t="s">
        <v>3424</v>
      </c>
      <c r="D95" s="2966" t="s">
        <v>3425</v>
      </c>
      <c r="E95" s="2967">
        <v>96.83</v>
      </c>
      <c r="F95" s="2967">
        <v>17.190000000000001</v>
      </c>
    </row>
    <row r="96" spans="1:6" s="2968" customFormat="1" ht="18" customHeight="1">
      <c r="A96" s="2961">
        <v>94</v>
      </c>
      <c r="B96" s="2964" t="s">
        <v>3158</v>
      </c>
      <c r="C96" s="2965" t="s">
        <v>3426</v>
      </c>
      <c r="D96" s="2966" t="s">
        <v>3427</v>
      </c>
      <c r="E96" s="2967">
        <v>95.92</v>
      </c>
      <c r="F96" s="2967">
        <v>17.03</v>
      </c>
    </row>
    <row r="97" spans="1:6" s="2968" customFormat="1" ht="18" customHeight="1">
      <c r="A97" s="2961">
        <v>95</v>
      </c>
      <c r="B97" s="2964" t="s">
        <v>3159</v>
      </c>
      <c r="C97" s="2965" t="s">
        <v>3428</v>
      </c>
      <c r="D97" s="2966" t="s">
        <v>3429</v>
      </c>
      <c r="E97" s="2967">
        <v>96.83</v>
      </c>
      <c r="F97" s="2967">
        <v>17.190000000000001</v>
      </c>
    </row>
    <row r="98" spans="1:6" s="2968" customFormat="1" ht="18" customHeight="1">
      <c r="A98" s="2961">
        <v>96</v>
      </c>
      <c r="B98" s="2964" t="s">
        <v>3160</v>
      </c>
      <c r="C98" s="2965" t="s">
        <v>3430</v>
      </c>
      <c r="D98" s="2966" t="s">
        <v>3431</v>
      </c>
      <c r="E98" s="2967">
        <v>96.83</v>
      </c>
      <c r="F98" s="2967">
        <v>17.190000000000001</v>
      </c>
    </row>
    <row r="99" spans="1:6" s="2968" customFormat="1" ht="18" customHeight="1">
      <c r="A99" s="2961">
        <v>97</v>
      </c>
      <c r="B99" s="2964" t="s">
        <v>3161</v>
      </c>
      <c r="C99" s="2965" t="s">
        <v>3432</v>
      </c>
      <c r="D99" s="2966" t="s">
        <v>3433</v>
      </c>
      <c r="E99" s="2967">
        <v>96.71</v>
      </c>
      <c r="F99" s="2967">
        <v>17.170000000000002</v>
      </c>
    </row>
    <row r="100" spans="1:6" s="2968" customFormat="1" ht="18" customHeight="1">
      <c r="A100" s="2961">
        <v>98</v>
      </c>
      <c r="B100" s="2964" t="s">
        <v>3162</v>
      </c>
      <c r="C100" s="2965" t="s">
        <v>3434</v>
      </c>
      <c r="D100" s="2966" t="s">
        <v>3435</v>
      </c>
      <c r="E100" s="2967">
        <v>96.07</v>
      </c>
      <c r="F100" s="2967">
        <v>17.059999999999999</v>
      </c>
    </row>
    <row r="101" spans="1:6" s="2968" customFormat="1" ht="18" customHeight="1">
      <c r="A101" s="2961">
        <v>99</v>
      </c>
      <c r="B101" s="2964" t="s">
        <v>3163</v>
      </c>
      <c r="C101" s="2965" t="s">
        <v>3436</v>
      </c>
      <c r="D101" s="2966" t="s">
        <v>3437</v>
      </c>
      <c r="E101" s="2967">
        <v>64.55</v>
      </c>
      <c r="F101" s="2967">
        <v>11.46</v>
      </c>
    </row>
    <row r="102" spans="1:6" s="2968" customFormat="1" ht="18" customHeight="1">
      <c r="A102" s="2961">
        <v>100</v>
      </c>
      <c r="B102" s="2964" t="s">
        <v>3164</v>
      </c>
      <c r="C102" s="2965" t="s">
        <v>3438</v>
      </c>
      <c r="D102" s="2966" t="s">
        <v>3439</v>
      </c>
      <c r="E102" s="2967">
        <v>64.55</v>
      </c>
      <c r="F102" s="2967">
        <v>11.46</v>
      </c>
    </row>
    <row r="103" spans="1:6" s="2968" customFormat="1" ht="18" customHeight="1">
      <c r="A103" s="2961">
        <v>101</v>
      </c>
      <c r="B103" s="2964" t="s">
        <v>3165</v>
      </c>
      <c r="C103" s="2965" t="s">
        <v>3440</v>
      </c>
      <c r="D103" s="2966" t="s">
        <v>3441</v>
      </c>
      <c r="E103" s="2967">
        <v>31.08</v>
      </c>
      <c r="F103" s="2967">
        <v>5.52</v>
      </c>
    </row>
    <row r="104" spans="1:6" s="2968" customFormat="1" ht="18" customHeight="1">
      <c r="A104" s="2961">
        <v>102</v>
      </c>
      <c r="B104" s="2964" t="s">
        <v>3166</v>
      </c>
      <c r="C104" s="2965" t="s">
        <v>3442</v>
      </c>
      <c r="D104" s="2966" t="s">
        <v>3443</v>
      </c>
      <c r="E104" s="2967">
        <v>117.22</v>
      </c>
      <c r="F104" s="2967">
        <v>20.81</v>
      </c>
    </row>
    <row r="105" spans="1:6" s="2968" customFormat="1" ht="18" customHeight="1">
      <c r="A105" s="2961">
        <v>103</v>
      </c>
      <c r="B105" s="2964" t="s">
        <v>3167</v>
      </c>
      <c r="C105" s="2965" t="s">
        <v>3444</v>
      </c>
      <c r="D105" s="2966" t="s">
        <v>3445</v>
      </c>
      <c r="E105" s="2967">
        <v>80.87</v>
      </c>
      <c r="F105" s="2967">
        <v>14.36</v>
      </c>
    </row>
    <row r="106" spans="1:6" s="2968" customFormat="1" ht="18" customHeight="1">
      <c r="A106" s="2961">
        <v>104</v>
      </c>
      <c r="B106" s="2964" t="s">
        <v>3168</v>
      </c>
      <c r="C106" s="2965" t="s">
        <v>3446</v>
      </c>
      <c r="D106" s="2966" t="s">
        <v>3447</v>
      </c>
      <c r="E106" s="2967">
        <v>61.68</v>
      </c>
      <c r="F106" s="2967">
        <v>10.95</v>
      </c>
    </row>
    <row r="107" spans="1:6" s="2968" customFormat="1" ht="18" customHeight="1">
      <c r="A107" s="2961">
        <v>105</v>
      </c>
      <c r="B107" s="2964" t="s">
        <v>3169</v>
      </c>
      <c r="C107" s="2965" t="s">
        <v>3448</v>
      </c>
      <c r="D107" s="2966" t="s">
        <v>3449</v>
      </c>
      <c r="E107" s="2967">
        <v>58.63</v>
      </c>
      <c r="F107" s="2967">
        <v>10.41</v>
      </c>
    </row>
    <row r="108" spans="1:6" s="2968" customFormat="1" ht="18" customHeight="1">
      <c r="A108" s="2961">
        <v>106</v>
      </c>
      <c r="B108" s="2964" t="s">
        <v>3170</v>
      </c>
      <c r="C108" s="2965" t="s">
        <v>3450</v>
      </c>
      <c r="D108" s="2966" t="s">
        <v>3451</v>
      </c>
      <c r="E108" s="2967">
        <v>112.93</v>
      </c>
      <c r="F108" s="2967">
        <v>20.05</v>
      </c>
    </row>
    <row r="109" spans="1:6" s="2968" customFormat="1" ht="18" customHeight="1">
      <c r="A109" s="2961">
        <v>107</v>
      </c>
      <c r="B109" s="2964" t="s">
        <v>3171</v>
      </c>
      <c r="C109" s="2965" t="s">
        <v>3452</v>
      </c>
      <c r="D109" s="2966" t="s">
        <v>3453</v>
      </c>
      <c r="E109" s="2967">
        <v>81.86</v>
      </c>
      <c r="F109" s="2967">
        <v>14.53</v>
      </c>
    </row>
    <row r="110" spans="1:6" s="2968" customFormat="1" ht="18" customHeight="1">
      <c r="A110" s="2961">
        <v>108</v>
      </c>
      <c r="B110" s="2964" t="s">
        <v>3172</v>
      </c>
      <c r="C110" s="2965" t="s">
        <v>3454</v>
      </c>
      <c r="D110" s="2966" t="s">
        <v>3455</v>
      </c>
      <c r="E110" s="2967">
        <v>81.459999999999994</v>
      </c>
      <c r="F110" s="2967">
        <v>14.46</v>
      </c>
    </row>
    <row r="111" spans="1:6" s="2968" customFormat="1" ht="18" customHeight="1">
      <c r="A111" s="2961">
        <v>109</v>
      </c>
      <c r="B111" s="2964" t="s">
        <v>3173</v>
      </c>
      <c r="C111" s="2965" t="s">
        <v>3456</v>
      </c>
      <c r="D111" s="2966" t="s">
        <v>3457</v>
      </c>
      <c r="E111" s="2967">
        <v>81.34</v>
      </c>
      <c r="F111" s="2967">
        <v>14.44</v>
      </c>
    </row>
    <row r="112" spans="1:6" s="2968" customFormat="1" ht="18" customHeight="1">
      <c r="A112" s="2961">
        <v>110</v>
      </c>
      <c r="B112" s="2964" t="s">
        <v>3174</v>
      </c>
      <c r="C112" s="2965" t="s">
        <v>3458</v>
      </c>
      <c r="D112" s="2966" t="s">
        <v>3459</v>
      </c>
      <c r="E112" s="2967">
        <v>81.459999999999994</v>
      </c>
      <c r="F112" s="2967">
        <v>14.46</v>
      </c>
    </row>
    <row r="113" spans="1:6" s="2968" customFormat="1" ht="18" customHeight="1">
      <c r="A113" s="2961">
        <v>111</v>
      </c>
      <c r="B113" s="2964" t="s">
        <v>3175</v>
      </c>
      <c r="C113" s="2965" t="s">
        <v>3460</v>
      </c>
      <c r="D113" s="2966" t="s">
        <v>3461</v>
      </c>
      <c r="E113" s="2967">
        <v>81.459999999999994</v>
      </c>
      <c r="F113" s="2967">
        <v>14.46</v>
      </c>
    </row>
    <row r="114" spans="1:6" s="2968" customFormat="1" ht="18" customHeight="1">
      <c r="A114" s="2961">
        <v>112</v>
      </c>
      <c r="B114" s="2964" t="s">
        <v>3176</v>
      </c>
      <c r="C114" s="2965" t="s">
        <v>3462</v>
      </c>
      <c r="D114" s="2966" t="s">
        <v>3463</v>
      </c>
      <c r="E114" s="2967">
        <v>81.34</v>
      </c>
      <c r="F114" s="2967">
        <v>14.44</v>
      </c>
    </row>
    <row r="115" spans="1:6" s="2968" customFormat="1" ht="18" customHeight="1">
      <c r="A115" s="2961">
        <v>113</v>
      </c>
      <c r="B115" s="2964" t="s">
        <v>3177</v>
      </c>
      <c r="C115" s="2965" t="s">
        <v>3464</v>
      </c>
      <c r="D115" s="2966" t="s">
        <v>3465</v>
      </c>
      <c r="E115" s="2967">
        <v>81.459999999999994</v>
      </c>
      <c r="F115" s="2967">
        <v>14.46</v>
      </c>
    </row>
    <row r="116" spans="1:6" s="2968" customFormat="1" ht="18" customHeight="1">
      <c r="A116" s="2961">
        <v>114</v>
      </c>
      <c r="B116" s="2964" t="s">
        <v>3178</v>
      </c>
      <c r="C116" s="2965" t="s">
        <v>3466</v>
      </c>
      <c r="D116" s="2966" t="s">
        <v>3467</v>
      </c>
      <c r="E116" s="2967">
        <v>81.459999999999994</v>
      </c>
      <c r="F116" s="2967">
        <v>14.46</v>
      </c>
    </row>
    <row r="117" spans="1:6" s="2968" customFormat="1" ht="18" customHeight="1">
      <c r="A117" s="2961">
        <v>115</v>
      </c>
      <c r="B117" s="2964" t="s">
        <v>3179</v>
      </c>
      <c r="C117" s="2965" t="s">
        <v>3468</v>
      </c>
      <c r="D117" s="2966" t="s">
        <v>3469</v>
      </c>
      <c r="E117" s="2967">
        <v>81.59</v>
      </c>
      <c r="F117" s="2967">
        <v>14.49</v>
      </c>
    </row>
    <row r="118" spans="1:6" s="2968" customFormat="1" ht="18" customHeight="1">
      <c r="A118" s="2961">
        <v>116</v>
      </c>
      <c r="B118" s="2964" t="s">
        <v>3180</v>
      </c>
      <c r="C118" s="2965" t="s">
        <v>3470</v>
      </c>
      <c r="D118" s="2966" t="s">
        <v>3471</v>
      </c>
      <c r="E118" s="2967">
        <v>65.23</v>
      </c>
      <c r="F118" s="2967">
        <v>11.58</v>
      </c>
    </row>
    <row r="119" spans="1:6" s="2968" customFormat="1" ht="18" customHeight="1">
      <c r="A119" s="2961">
        <v>117</v>
      </c>
      <c r="B119" s="2964" t="s">
        <v>3181</v>
      </c>
      <c r="C119" s="2965" t="s">
        <v>3472</v>
      </c>
      <c r="D119" s="2966" t="s">
        <v>3473</v>
      </c>
      <c r="E119" s="2967">
        <v>43.26</v>
      </c>
      <c r="F119" s="2967">
        <v>7.68</v>
      </c>
    </row>
    <row r="120" spans="1:6" s="2968" customFormat="1" ht="18" customHeight="1">
      <c r="A120" s="2961">
        <v>118</v>
      </c>
      <c r="B120" s="2964" t="s">
        <v>3182</v>
      </c>
      <c r="C120" s="2965" t="s">
        <v>3474</v>
      </c>
      <c r="D120" s="2966" t="s">
        <v>3475</v>
      </c>
      <c r="E120" s="2967">
        <v>42.29</v>
      </c>
      <c r="F120" s="2967">
        <v>7.51</v>
      </c>
    </row>
    <row r="121" spans="1:6" s="2968" customFormat="1" ht="18" customHeight="1">
      <c r="A121" s="2961">
        <v>119</v>
      </c>
      <c r="B121" s="2964" t="s">
        <v>3183</v>
      </c>
      <c r="C121" s="2965" t="s">
        <v>3476</v>
      </c>
      <c r="D121" s="2966" t="s">
        <v>3477</v>
      </c>
      <c r="E121" s="2967">
        <v>30.64</v>
      </c>
      <c r="F121" s="2967">
        <v>5.44</v>
      </c>
    </row>
    <row r="122" spans="1:6" s="2968" customFormat="1" ht="18" customHeight="1">
      <c r="A122" s="2961">
        <v>120</v>
      </c>
      <c r="B122" s="2964" t="s">
        <v>3184</v>
      </c>
      <c r="C122" s="2965" t="s">
        <v>3478</v>
      </c>
      <c r="D122" s="2966" t="s">
        <v>3479</v>
      </c>
      <c r="E122" s="2967">
        <v>129.61000000000001</v>
      </c>
      <c r="F122" s="2967">
        <v>23.01</v>
      </c>
    </row>
    <row r="123" spans="1:6" s="2968" customFormat="1" ht="18" customHeight="1">
      <c r="A123" s="2961">
        <v>121</v>
      </c>
      <c r="B123" s="2964" t="s">
        <v>3185</v>
      </c>
      <c r="C123" s="2965" t="s">
        <v>3480</v>
      </c>
      <c r="D123" s="2966" t="s">
        <v>3481</v>
      </c>
      <c r="E123" s="2967">
        <v>84.58</v>
      </c>
      <c r="F123" s="2967">
        <v>15.02</v>
      </c>
    </row>
    <row r="124" spans="1:6" s="2968" customFormat="1" ht="18" customHeight="1">
      <c r="A124" s="2961">
        <v>122</v>
      </c>
      <c r="B124" s="2964" t="s">
        <v>3186</v>
      </c>
      <c r="C124" s="2965" t="s">
        <v>3482</v>
      </c>
      <c r="D124" s="2966" t="s">
        <v>3483</v>
      </c>
      <c r="E124" s="2967">
        <v>91.13</v>
      </c>
      <c r="F124" s="2967">
        <v>16.18</v>
      </c>
    </row>
    <row r="125" spans="1:6" s="2968" customFormat="1" ht="18" customHeight="1">
      <c r="A125" s="2961">
        <v>123</v>
      </c>
      <c r="B125" s="2964" t="s">
        <v>3187</v>
      </c>
      <c r="C125" s="2965" t="s">
        <v>3484</v>
      </c>
      <c r="D125" s="2966" t="s">
        <v>3485</v>
      </c>
      <c r="E125" s="2967">
        <v>86.27</v>
      </c>
      <c r="F125" s="2967">
        <v>15.32</v>
      </c>
    </row>
    <row r="126" spans="1:6" s="2968" customFormat="1" ht="18" customHeight="1">
      <c r="A126" s="2961">
        <v>124</v>
      </c>
      <c r="B126" s="2964" t="s">
        <v>3188</v>
      </c>
      <c r="C126" s="2965" t="s">
        <v>3486</v>
      </c>
      <c r="D126" s="2966" t="s">
        <v>3487</v>
      </c>
      <c r="E126" s="2967">
        <v>81.569999999999993</v>
      </c>
      <c r="F126" s="2967">
        <v>14.48</v>
      </c>
    </row>
    <row r="127" spans="1:6" s="2968" customFormat="1" ht="18" customHeight="1">
      <c r="A127" s="2961">
        <v>125</v>
      </c>
      <c r="B127" s="2964" t="s">
        <v>3189</v>
      </c>
      <c r="C127" s="2965" t="s">
        <v>3488</v>
      </c>
      <c r="D127" s="2966" t="s">
        <v>3489</v>
      </c>
      <c r="E127" s="2967">
        <v>92.23</v>
      </c>
      <c r="F127" s="2967">
        <v>16.37</v>
      </c>
    </row>
    <row r="128" spans="1:6" s="2968" customFormat="1" ht="18" customHeight="1">
      <c r="A128" s="2961">
        <v>126</v>
      </c>
      <c r="B128" s="2964" t="s">
        <v>3190</v>
      </c>
      <c r="C128" s="2965" t="s">
        <v>3490</v>
      </c>
      <c r="D128" s="2966" t="s">
        <v>3491</v>
      </c>
      <c r="E128" s="2967">
        <v>96.1</v>
      </c>
      <c r="F128" s="2967">
        <v>17.059999999999999</v>
      </c>
    </row>
    <row r="129" spans="1:6" s="2968" customFormat="1" ht="18" customHeight="1">
      <c r="A129" s="2961">
        <v>127</v>
      </c>
      <c r="B129" s="2964" t="s">
        <v>3191</v>
      </c>
      <c r="C129" s="2965" t="s">
        <v>3492</v>
      </c>
      <c r="D129" s="2966" t="s">
        <v>3493</v>
      </c>
      <c r="E129" s="2967">
        <v>91.23</v>
      </c>
      <c r="F129" s="2967">
        <v>16.2</v>
      </c>
    </row>
    <row r="130" spans="1:6" s="2968" customFormat="1" ht="18" customHeight="1">
      <c r="A130" s="2961">
        <v>128</v>
      </c>
      <c r="B130" s="2964" t="s">
        <v>3192</v>
      </c>
      <c r="C130" s="2965" t="s">
        <v>3494</v>
      </c>
      <c r="D130" s="2966" t="s">
        <v>3495</v>
      </c>
      <c r="E130" s="2967">
        <v>109.86</v>
      </c>
      <c r="F130" s="2967">
        <v>19.5</v>
      </c>
    </row>
    <row r="131" spans="1:6" s="2968" customFormat="1" ht="18" customHeight="1">
      <c r="A131" s="2961">
        <v>129</v>
      </c>
      <c r="B131" s="2964" t="s">
        <v>3193</v>
      </c>
      <c r="C131" s="2965" t="s">
        <v>3496</v>
      </c>
      <c r="D131" s="2966" t="s">
        <v>3497</v>
      </c>
      <c r="E131" s="2967">
        <v>99.1</v>
      </c>
      <c r="F131" s="2967">
        <v>17.59</v>
      </c>
    </row>
    <row r="132" spans="1:6" s="2968" customFormat="1" ht="18" customHeight="1">
      <c r="A132" s="2961">
        <v>130</v>
      </c>
      <c r="B132" s="2964" t="s">
        <v>3194</v>
      </c>
      <c r="C132" s="2965" t="s">
        <v>3498</v>
      </c>
      <c r="D132" s="2966" t="s">
        <v>3499</v>
      </c>
      <c r="E132" s="2967">
        <v>80.81</v>
      </c>
      <c r="F132" s="2967">
        <v>14.35</v>
      </c>
    </row>
    <row r="133" spans="1:6" s="2968" customFormat="1" ht="18" customHeight="1">
      <c r="A133" s="2961">
        <v>131</v>
      </c>
      <c r="B133" s="2964" t="s">
        <v>3195</v>
      </c>
      <c r="C133" s="2965" t="s">
        <v>3500</v>
      </c>
      <c r="D133" s="2966" t="s">
        <v>3501</v>
      </c>
      <c r="E133" s="2967">
        <v>88.82</v>
      </c>
      <c r="F133" s="2967">
        <v>15.77</v>
      </c>
    </row>
    <row r="134" spans="1:6" s="2968" customFormat="1" ht="18" customHeight="1">
      <c r="A134" s="2961">
        <v>132</v>
      </c>
      <c r="B134" s="2964" t="s">
        <v>3196</v>
      </c>
      <c r="C134" s="2965" t="s">
        <v>3502</v>
      </c>
      <c r="D134" s="2966" t="s">
        <v>3503</v>
      </c>
      <c r="E134" s="2967">
        <v>69.78</v>
      </c>
      <c r="F134" s="2967">
        <v>12.39</v>
      </c>
    </row>
    <row r="135" spans="1:6" s="2968" customFormat="1" ht="18" customHeight="1">
      <c r="A135" s="2961">
        <v>133</v>
      </c>
      <c r="B135" s="2964" t="s">
        <v>3197</v>
      </c>
      <c r="C135" s="2965" t="s">
        <v>3504</v>
      </c>
      <c r="D135" s="2966" t="s">
        <v>3505</v>
      </c>
      <c r="E135" s="2967">
        <v>54.52</v>
      </c>
      <c r="F135" s="2967">
        <v>9.68</v>
      </c>
    </row>
    <row r="136" spans="1:6" s="2968" customFormat="1" ht="18" customHeight="1">
      <c r="A136" s="2961">
        <v>134</v>
      </c>
      <c r="B136" s="2964" t="s">
        <v>3198</v>
      </c>
      <c r="C136" s="2965" t="s">
        <v>3506</v>
      </c>
      <c r="D136" s="2966" t="s">
        <v>3507</v>
      </c>
      <c r="E136" s="2967">
        <v>55.21</v>
      </c>
      <c r="F136" s="2967">
        <v>9.8000000000000007</v>
      </c>
    </row>
    <row r="137" spans="1:6" s="2968" customFormat="1" ht="18" customHeight="1">
      <c r="A137" s="2961">
        <v>135</v>
      </c>
      <c r="B137" s="2964" t="s">
        <v>3199</v>
      </c>
      <c r="C137" s="2965" t="s">
        <v>3508</v>
      </c>
      <c r="D137" s="2966" t="s">
        <v>3509</v>
      </c>
      <c r="E137" s="2967">
        <v>55.33</v>
      </c>
      <c r="F137" s="2967">
        <v>9.82</v>
      </c>
    </row>
    <row r="138" spans="1:6" s="2968" customFormat="1" ht="18" customHeight="1">
      <c r="A138" s="2961">
        <v>136</v>
      </c>
      <c r="B138" s="2964" t="s">
        <v>3200</v>
      </c>
      <c r="C138" s="2965" t="s">
        <v>3510</v>
      </c>
      <c r="D138" s="2966" t="s">
        <v>3511</v>
      </c>
      <c r="E138" s="2967">
        <v>55.33</v>
      </c>
      <c r="F138" s="2967">
        <v>9.82</v>
      </c>
    </row>
    <row r="139" spans="1:6" s="2968" customFormat="1" ht="18" customHeight="1">
      <c r="A139" s="2961">
        <v>137</v>
      </c>
      <c r="B139" s="2964" t="s">
        <v>3201</v>
      </c>
      <c r="C139" s="2965" t="s">
        <v>3512</v>
      </c>
      <c r="D139" s="2966" t="s">
        <v>3513</v>
      </c>
      <c r="E139" s="2967">
        <v>55.33</v>
      </c>
      <c r="F139" s="2967">
        <v>9.82</v>
      </c>
    </row>
    <row r="140" spans="1:6" s="2968" customFormat="1" ht="18" customHeight="1">
      <c r="A140" s="2961">
        <v>138</v>
      </c>
      <c r="B140" s="2964" t="s">
        <v>3202</v>
      </c>
      <c r="C140" s="2965" t="s">
        <v>3514</v>
      </c>
      <c r="D140" s="2966" t="s">
        <v>3515</v>
      </c>
      <c r="E140" s="2967">
        <v>94.85</v>
      </c>
      <c r="F140" s="2967">
        <v>16.84</v>
      </c>
    </row>
    <row r="141" spans="1:6" s="2968" customFormat="1" ht="18" customHeight="1">
      <c r="A141" s="2961">
        <v>139</v>
      </c>
      <c r="B141" s="2964" t="s">
        <v>3203</v>
      </c>
      <c r="C141" s="2965" t="s">
        <v>3516</v>
      </c>
      <c r="D141" s="2966" t="s">
        <v>3517</v>
      </c>
      <c r="E141" s="2967">
        <v>68.47</v>
      </c>
      <c r="F141" s="2967">
        <v>12.16</v>
      </c>
    </row>
    <row r="142" spans="1:6" s="2968" customFormat="1" ht="18" customHeight="1">
      <c r="A142" s="2961">
        <v>140</v>
      </c>
      <c r="B142" s="2964" t="s">
        <v>3204</v>
      </c>
      <c r="C142" s="2965" t="s">
        <v>3518</v>
      </c>
      <c r="D142" s="2966" t="s">
        <v>3519</v>
      </c>
      <c r="E142" s="2967">
        <v>68.27</v>
      </c>
      <c r="F142" s="2967">
        <v>12.12</v>
      </c>
    </row>
    <row r="143" spans="1:6" s="2968" customFormat="1" ht="18" customHeight="1">
      <c r="A143" s="2961">
        <v>141</v>
      </c>
      <c r="B143" s="2964" t="s">
        <v>3205</v>
      </c>
      <c r="C143" s="2965" t="s">
        <v>3520</v>
      </c>
      <c r="D143" s="2966" t="s">
        <v>3521</v>
      </c>
      <c r="E143" s="2967">
        <v>68.400000000000006</v>
      </c>
      <c r="F143" s="2967">
        <v>12.14</v>
      </c>
    </row>
    <row r="144" spans="1:6" s="2968" customFormat="1" ht="18" customHeight="1">
      <c r="A144" s="2961">
        <v>142</v>
      </c>
      <c r="B144" s="2964" t="s">
        <v>3206</v>
      </c>
      <c r="C144" s="2965" t="s">
        <v>3522</v>
      </c>
      <c r="D144" s="2966" t="s">
        <v>3523</v>
      </c>
      <c r="E144" s="2967">
        <v>68.27</v>
      </c>
      <c r="F144" s="2967">
        <v>12.12</v>
      </c>
    </row>
    <row r="145" spans="1:6" s="2968" customFormat="1" ht="18" customHeight="1">
      <c r="A145" s="2961">
        <v>143</v>
      </c>
      <c r="B145" s="2964" t="s">
        <v>3207</v>
      </c>
      <c r="C145" s="2965" t="s">
        <v>3524</v>
      </c>
      <c r="D145" s="2966" t="s">
        <v>3525</v>
      </c>
      <c r="E145" s="2967">
        <v>51.3</v>
      </c>
      <c r="F145" s="2967">
        <v>9.11</v>
      </c>
    </row>
    <row r="146" spans="1:6" s="2968" customFormat="1" ht="18" customHeight="1">
      <c r="A146" s="2961">
        <v>144</v>
      </c>
      <c r="B146" s="2964" t="s">
        <v>3208</v>
      </c>
      <c r="C146" s="2965" t="s">
        <v>3526</v>
      </c>
      <c r="D146" s="2966" t="s">
        <v>3527</v>
      </c>
      <c r="E146" s="2967">
        <v>79.05</v>
      </c>
      <c r="F146" s="2967">
        <v>14.03</v>
      </c>
    </row>
    <row r="147" spans="1:6" s="2968" customFormat="1" ht="18" customHeight="1">
      <c r="A147" s="2961">
        <v>145</v>
      </c>
      <c r="B147" s="2964" t="s">
        <v>3209</v>
      </c>
      <c r="C147" s="2965" t="s">
        <v>3528</v>
      </c>
      <c r="D147" s="2966" t="s">
        <v>3529</v>
      </c>
      <c r="E147" s="2967">
        <v>70.34</v>
      </c>
      <c r="F147" s="2967">
        <v>12.49</v>
      </c>
    </row>
    <row r="148" spans="1:6" s="2968" customFormat="1" ht="18" customHeight="1">
      <c r="A148" s="2961">
        <v>146</v>
      </c>
      <c r="B148" s="2964" t="s">
        <v>3210</v>
      </c>
      <c r="C148" s="2965" t="s">
        <v>3530</v>
      </c>
      <c r="D148" s="2966" t="s">
        <v>3531</v>
      </c>
      <c r="E148" s="2967">
        <v>56.57</v>
      </c>
      <c r="F148" s="2967">
        <v>10.039999999999999</v>
      </c>
    </row>
    <row r="149" spans="1:6" s="2968" customFormat="1" ht="18" customHeight="1">
      <c r="A149" s="2961">
        <v>147</v>
      </c>
      <c r="B149" s="2964" t="s">
        <v>3211</v>
      </c>
      <c r="C149" s="2965" t="s">
        <v>3532</v>
      </c>
      <c r="D149" s="2966" t="s">
        <v>3533</v>
      </c>
      <c r="E149" s="2967">
        <v>79.09</v>
      </c>
      <c r="F149" s="2967">
        <v>14.04</v>
      </c>
    </row>
    <row r="150" spans="1:6" s="2968" customFormat="1" ht="18" customHeight="1">
      <c r="A150" s="2961">
        <v>148</v>
      </c>
      <c r="B150" s="2964" t="s">
        <v>3212</v>
      </c>
      <c r="C150" s="2965" t="s">
        <v>3534</v>
      </c>
      <c r="D150" s="2966" t="s">
        <v>3535</v>
      </c>
      <c r="E150" s="2967">
        <v>79.12</v>
      </c>
      <c r="F150" s="2967">
        <v>14.05</v>
      </c>
    </row>
    <row r="151" spans="1:6" s="2968" customFormat="1" ht="18" customHeight="1">
      <c r="A151" s="2961">
        <v>149</v>
      </c>
      <c r="B151" s="2964" t="s">
        <v>3213</v>
      </c>
      <c r="C151" s="2965" t="s">
        <v>3536</v>
      </c>
      <c r="D151" s="2966" t="s">
        <v>3537</v>
      </c>
      <c r="E151" s="2967">
        <v>73.77</v>
      </c>
      <c r="F151" s="2967">
        <v>13.1</v>
      </c>
    </row>
    <row r="152" spans="1:6" s="2968" customFormat="1" ht="18" customHeight="1">
      <c r="A152" s="2961">
        <v>150</v>
      </c>
      <c r="B152" s="2964" t="s">
        <v>3214</v>
      </c>
      <c r="C152" s="2965" t="s">
        <v>3538</v>
      </c>
      <c r="D152" s="2966" t="s">
        <v>3539</v>
      </c>
      <c r="E152" s="2967">
        <v>73.77</v>
      </c>
      <c r="F152" s="2967">
        <v>13.1</v>
      </c>
    </row>
    <row r="153" spans="1:6" s="2968" customFormat="1" ht="18" customHeight="1">
      <c r="A153" s="2961">
        <v>151</v>
      </c>
      <c r="B153" s="2964" t="s">
        <v>3215</v>
      </c>
      <c r="C153" s="2965" t="s">
        <v>3540</v>
      </c>
      <c r="D153" s="2966" t="s">
        <v>3541</v>
      </c>
      <c r="E153" s="2967">
        <v>106.11</v>
      </c>
      <c r="F153" s="2967">
        <v>18.84</v>
      </c>
    </row>
    <row r="154" spans="1:6" s="2968" customFormat="1" ht="18" customHeight="1">
      <c r="A154" s="2961">
        <v>152</v>
      </c>
      <c r="B154" s="2964" t="s">
        <v>3216</v>
      </c>
      <c r="C154" s="2965" t="s">
        <v>3542</v>
      </c>
      <c r="D154" s="2966" t="s">
        <v>3543</v>
      </c>
      <c r="E154" s="2967">
        <v>105.93</v>
      </c>
      <c r="F154" s="2967">
        <v>18.809999999999999</v>
      </c>
    </row>
    <row r="155" spans="1:6" s="2968" customFormat="1" ht="18" customHeight="1">
      <c r="A155" s="2961">
        <v>153</v>
      </c>
      <c r="B155" s="2964" t="s">
        <v>3217</v>
      </c>
      <c r="C155" s="2965" t="s">
        <v>3544</v>
      </c>
      <c r="D155" s="2966" t="s">
        <v>3545</v>
      </c>
      <c r="E155" s="2967">
        <v>106.05</v>
      </c>
      <c r="F155" s="2967">
        <v>18.829999999999998</v>
      </c>
    </row>
    <row r="156" spans="1:6" s="2968" customFormat="1" ht="18" customHeight="1">
      <c r="A156" s="2961">
        <v>154</v>
      </c>
      <c r="B156" s="2964" t="s">
        <v>3218</v>
      </c>
      <c r="C156" s="2965" t="s">
        <v>3546</v>
      </c>
      <c r="D156" s="2966" t="s">
        <v>3547</v>
      </c>
      <c r="E156" s="2967">
        <v>16.760000000000002</v>
      </c>
      <c r="F156" s="2967">
        <v>2.98</v>
      </c>
    </row>
    <row r="157" spans="1:6" s="2968" customFormat="1" ht="18" customHeight="1">
      <c r="A157" s="2961">
        <v>155</v>
      </c>
      <c r="B157" s="2964" t="s">
        <v>3219</v>
      </c>
      <c r="C157" s="2965" t="s">
        <v>3548</v>
      </c>
      <c r="D157" s="2966" t="s">
        <v>3549</v>
      </c>
      <c r="E157" s="2967">
        <v>66.56</v>
      </c>
      <c r="F157" s="2967">
        <v>11.82</v>
      </c>
    </row>
    <row r="158" spans="1:6" s="2968" customFormat="1" ht="18" customHeight="1">
      <c r="A158" s="2961">
        <v>156</v>
      </c>
      <c r="B158" s="2964" t="s">
        <v>3220</v>
      </c>
      <c r="C158" s="2965" t="s">
        <v>3550</v>
      </c>
      <c r="D158" s="2966" t="s">
        <v>3551</v>
      </c>
      <c r="E158" s="2967">
        <v>122.93</v>
      </c>
      <c r="F158" s="2967">
        <v>21.83</v>
      </c>
    </row>
    <row r="159" spans="1:6" s="2968" customFormat="1" ht="18" customHeight="1">
      <c r="A159" s="2961">
        <v>157</v>
      </c>
      <c r="B159" s="2964" t="s">
        <v>3221</v>
      </c>
      <c r="C159" s="2965" t="s">
        <v>3552</v>
      </c>
      <c r="D159" s="2966" t="s">
        <v>3553</v>
      </c>
      <c r="E159" s="2967">
        <v>63.17</v>
      </c>
      <c r="F159" s="2967">
        <v>11.22</v>
      </c>
    </row>
    <row r="160" spans="1:6" s="2968" customFormat="1" ht="18" customHeight="1">
      <c r="A160" s="2961">
        <v>158</v>
      </c>
      <c r="B160" s="2964" t="s">
        <v>3222</v>
      </c>
      <c r="C160" s="2965" t="s">
        <v>3554</v>
      </c>
      <c r="D160" s="2966" t="s">
        <v>3555</v>
      </c>
      <c r="E160" s="2967">
        <v>63.17</v>
      </c>
      <c r="F160" s="2967">
        <v>11.22</v>
      </c>
    </row>
    <row r="161" spans="1:6" s="2968" customFormat="1" ht="18" customHeight="1">
      <c r="A161" s="2961">
        <v>159</v>
      </c>
      <c r="B161" s="2964" t="s">
        <v>3223</v>
      </c>
      <c r="C161" s="2965" t="s">
        <v>3556</v>
      </c>
      <c r="D161" s="2966" t="s">
        <v>3557</v>
      </c>
      <c r="E161" s="2967">
        <v>63.17</v>
      </c>
      <c r="F161" s="2967">
        <v>11.22</v>
      </c>
    </row>
    <row r="162" spans="1:6" s="2968" customFormat="1" ht="18" customHeight="1">
      <c r="A162" s="2961">
        <v>160</v>
      </c>
      <c r="B162" s="2964" t="s">
        <v>3224</v>
      </c>
      <c r="C162" s="2965" t="s">
        <v>3558</v>
      </c>
      <c r="D162" s="2966" t="s">
        <v>3559</v>
      </c>
      <c r="E162" s="2967">
        <v>63.17</v>
      </c>
      <c r="F162" s="2967">
        <v>11.22</v>
      </c>
    </row>
    <row r="163" spans="1:6" s="2968" customFormat="1" ht="18" customHeight="1">
      <c r="A163" s="2961">
        <v>161</v>
      </c>
      <c r="B163" s="2964" t="s">
        <v>3225</v>
      </c>
      <c r="C163" s="2965" t="s">
        <v>3560</v>
      </c>
      <c r="D163" s="2966" t="s">
        <v>3561</v>
      </c>
      <c r="E163" s="2967">
        <v>63.17</v>
      </c>
      <c r="F163" s="2967">
        <v>11.22</v>
      </c>
    </row>
    <row r="164" spans="1:6" s="2968" customFormat="1" ht="18" customHeight="1">
      <c r="A164" s="2961">
        <v>162</v>
      </c>
      <c r="B164" s="2964" t="s">
        <v>3226</v>
      </c>
      <c r="C164" s="2965" t="s">
        <v>3562</v>
      </c>
      <c r="D164" s="2966" t="s">
        <v>3563</v>
      </c>
      <c r="E164" s="2967">
        <v>63.17</v>
      </c>
      <c r="F164" s="2967">
        <v>11.22</v>
      </c>
    </row>
    <row r="165" spans="1:6" s="2968" customFormat="1" ht="18" customHeight="1">
      <c r="A165" s="2961">
        <v>163</v>
      </c>
      <c r="B165" s="2964" t="s">
        <v>3227</v>
      </c>
      <c r="C165" s="2965" t="s">
        <v>3564</v>
      </c>
      <c r="D165" s="2966" t="s">
        <v>3565</v>
      </c>
      <c r="E165" s="2967">
        <v>63.17</v>
      </c>
      <c r="F165" s="2967">
        <v>11.22</v>
      </c>
    </row>
    <row r="166" spans="1:6" s="2968" customFormat="1" ht="18" customHeight="1">
      <c r="A166" s="2961">
        <v>164</v>
      </c>
      <c r="B166" s="2964" t="s">
        <v>3228</v>
      </c>
      <c r="C166" s="2965" t="s">
        <v>3822</v>
      </c>
      <c r="D166" s="2966" t="s">
        <v>3566</v>
      </c>
      <c r="E166" s="2967">
        <v>59.6</v>
      </c>
      <c r="F166" s="2967">
        <v>10.58</v>
      </c>
    </row>
    <row r="167" spans="1:6" s="2968" customFormat="1" ht="18" customHeight="1">
      <c r="A167" s="2961">
        <v>165</v>
      </c>
      <c r="B167" s="2964" t="s">
        <v>3229</v>
      </c>
      <c r="C167" s="2965" t="s">
        <v>3823</v>
      </c>
      <c r="D167" s="2966" t="s">
        <v>3567</v>
      </c>
      <c r="E167" s="2967">
        <v>54.57</v>
      </c>
      <c r="F167" s="2967">
        <v>9.69</v>
      </c>
    </row>
    <row r="168" spans="1:6" s="2968" customFormat="1" ht="18" customHeight="1">
      <c r="A168" s="2961">
        <v>166</v>
      </c>
      <c r="B168" s="2964" t="s">
        <v>3230</v>
      </c>
      <c r="C168" s="2965" t="s">
        <v>3568</v>
      </c>
      <c r="D168" s="2966" t="s">
        <v>3569</v>
      </c>
      <c r="E168" s="2967">
        <v>58.6</v>
      </c>
      <c r="F168" s="2967">
        <v>10.4</v>
      </c>
    </row>
    <row r="169" spans="1:6" s="2968" customFormat="1" ht="18" customHeight="1">
      <c r="A169" s="2961">
        <v>167</v>
      </c>
      <c r="B169" s="2964" t="s">
        <v>3231</v>
      </c>
      <c r="C169" s="2965" t="s">
        <v>3570</v>
      </c>
      <c r="D169" s="2966" t="s">
        <v>3571</v>
      </c>
      <c r="E169" s="2967">
        <v>50.67</v>
      </c>
      <c r="F169" s="2967">
        <v>9</v>
      </c>
    </row>
    <row r="170" spans="1:6" s="2968" customFormat="1" ht="18" customHeight="1">
      <c r="A170" s="2961">
        <v>168</v>
      </c>
      <c r="B170" s="2964" t="s">
        <v>3232</v>
      </c>
      <c r="C170" s="2965" t="s">
        <v>3572</v>
      </c>
      <c r="D170" s="2966" t="s">
        <v>3573</v>
      </c>
      <c r="E170" s="2967">
        <v>53.91</v>
      </c>
      <c r="F170" s="2967">
        <v>9.57</v>
      </c>
    </row>
    <row r="171" spans="1:6" s="2968" customFormat="1" ht="18" customHeight="1">
      <c r="A171" s="2961">
        <v>169</v>
      </c>
      <c r="B171" s="2964" t="s">
        <v>3233</v>
      </c>
      <c r="C171" s="2965" t="s">
        <v>3574</v>
      </c>
      <c r="D171" s="2966" t="s">
        <v>3575</v>
      </c>
      <c r="E171" s="2967">
        <v>54.45</v>
      </c>
      <c r="F171" s="2967">
        <v>9.67</v>
      </c>
    </row>
    <row r="172" spans="1:6" s="2968" customFormat="1" ht="18" customHeight="1">
      <c r="A172" s="2961">
        <v>170</v>
      </c>
      <c r="B172" s="2964" t="s">
        <v>3234</v>
      </c>
      <c r="C172" s="2965" t="s">
        <v>3576</v>
      </c>
      <c r="D172" s="2966" t="s">
        <v>3577</v>
      </c>
      <c r="E172" s="2967">
        <v>119.54</v>
      </c>
      <c r="F172" s="2967">
        <v>21.22</v>
      </c>
    </row>
    <row r="173" spans="1:6" s="2968" customFormat="1" ht="18" customHeight="1">
      <c r="A173" s="2961">
        <v>171</v>
      </c>
      <c r="B173" s="2964" t="s">
        <v>3235</v>
      </c>
      <c r="C173" s="2965" t="s">
        <v>3578</v>
      </c>
      <c r="D173" s="2966" t="s">
        <v>3579</v>
      </c>
      <c r="E173" s="2967">
        <v>103.92</v>
      </c>
      <c r="F173" s="2967">
        <v>18.45</v>
      </c>
    </row>
    <row r="174" spans="1:6" s="2968" customFormat="1" ht="18" customHeight="1">
      <c r="A174" s="2961">
        <v>172</v>
      </c>
      <c r="B174" s="2964" t="s">
        <v>3236</v>
      </c>
      <c r="C174" s="2965" t="s">
        <v>3580</v>
      </c>
      <c r="D174" s="2966" t="s">
        <v>3581</v>
      </c>
      <c r="E174" s="2967">
        <v>96.76</v>
      </c>
      <c r="F174" s="2967">
        <v>17.18</v>
      </c>
    </row>
    <row r="175" spans="1:6" s="2968" customFormat="1" ht="18" customHeight="1">
      <c r="A175" s="2961">
        <v>173</v>
      </c>
      <c r="B175" s="2964" t="s">
        <v>3237</v>
      </c>
      <c r="C175" s="2965" t="s">
        <v>3582</v>
      </c>
      <c r="D175" s="2966" t="s">
        <v>3583</v>
      </c>
      <c r="E175" s="2967">
        <v>129.21</v>
      </c>
      <c r="F175" s="2967">
        <v>22.94</v>
      </c>
    </row>
    <row r="176" spans="1:6" s="2968" customFormat="1" ht="18" customHeight="1">
      <c r="A176" s="2961">
        <v>174</v>
      </c>
      <c r="B176" s="2964" t="s">
        <v>3238</v>
      </c>
      <c r="C176" s="2965" t="s">
        <v>3584</v>
      </c>
      <c r="D176" s="2966" t="s">
        <v>3585</v>
      </c>
      <c r="E176" s="2967">
        <v>61.12</v>
      </c>
      <c r="F176" s="2967">
        <v>10.85</v>
      </c>
    </row>
    <row r="177" spans="1:6" s="2968" customFormat="1" ht="18" customHeight="1">
      <c r="A177" s="2961">
        <v>175</v>
      </c>
      <c r="B177" s="2964" t="s">
        <v>3239</v>
      </c>
      <c r="C177" s="2965" t="s">
        <v>3586</v>
      </c>
      <c r="D177" s="2966" t="s">
        <v>3587</v>
      </c>
      <c r="E177" s="2967">
        <v>54.82</v>
      </c>
      <c r="F177" s="2967">
        <v>9.73</v>
      </c>
    </row>
    <row r="178" spans="1:6" s="2968" customFormat="1" ht="18" customHeight="1">
      <c r="A178" s="2961">
        <v>176</v>
      </c>
      <c r="B178" s="2964" t="s">
        <v>3240</v>
      </c>
      <c r="C178" s="2965" t="s">
        <v>3588</v>
      </c>
      <c r="D178" s="2966" t="s">
        <v>3589</v>
      </c>
      <c r="E178" s="2967">
        <v>48.52</v>
      </c>
      <c r="F178" s="2967">
        <v>8.61</v>
      </c>
    </row>
    <row r="179" spans="1:6" s="2968" customFormat="1" ht="18" customHeight="1">
      <c r="A179" s="2961">
        <v>177</v>
      </c>
      <c r="B179" s="2964" t="s">
        <v>3241</v>
      </c>
      <c r="C179" s="2965" t="s">
        <v>3590</v>
      </c>
      <c r="D179" s="2966" t="s">
        <v>3591</v>
      </c>
      <c r="E179" s="2967">
        <v>95.67</v>
      </c>
      <c r="F179" s="2967">
        <v>16.989999999999998</v>
      </c>
    </row>
    <row r="180" spans="1:6" s="2968" customFormat="1" ht="18" customHeight="1">
      <c r="A180" s="2961">
        <v>178</v>
      </c>
      <c r="B180" s="2964" t="s">
        <v>3242</v>
      </c>
      <c r="C180" s="2965" t="s">
        <v>3592</v>
      </c>
      <c r="D180" s="2966" t="s">
        <v>3593</v>
      </c>
      <c r="E180" s="2967">
        <v>95.67</v>
      </c>
      <c r="F180" s="2967">
        <v>16.989999999999998</v>
      </c>
    </row>
    <row r="181" spans="1:6" s="2968" customFormat="1" ht="18" customHeight="1">
      <c r="A181" s="2961">
        <v>179</v>
      </c>
      <c r="B181" s="2964" t="s">
        <v>3243</v>
      </c>
      <c r="C181" s="2965" t="s">
        <v>3594</v>
      </c>
      <c r="D181" s="2966" t="s">
        <v>3595</v>
      </c>
      <c r="E181" s="2967">
        <v>94.04</v>
      </c>
      <c r="F181" s="2967">
        <v>16.7</v>
      </c>
    </row>
    <row r="182" spans="1:6" s="2968" customFormat="1" ht="18" customHeight="1">
      <c r="A182" s="2961">
        <v>180</v>
      </c>
      <c r="B182" s="2964" t="s">
        <v>3244</v>
      </c>
      <c r="C182" s="2965" t="s">
        <v>3596</v>
      </c>
      <c r="D182" s="2966" t="s">
        <v>3597</v>
      </c>
      <c r="E182" s="2967">
        <v>95.67</v>
      </c>
      <c r="F182" s="2967">
        <v>16.989999999999998</v>
      </c>
    </row>
    <row r="183" spans="1:6" s="2968" customFormat="1" ht="18" customHeight="1">
      <c r="A183" s="2961">
        <v>181</v>
      </c>
      <c r="B183" s="2964" t="s">
        <v>3245</v>
      </c>
      <c r="C183" s="2965" t="s">
        <v>3598</v>
      </c>
      <c r="D183" s="2966" t="s">
        <v>3599</v>
      </c>
      <c r="E183" s="2967">
        <v>95.67</v>
      </c>
      <c r="F183" s="2967">
        <v>16.989999999999998</v>
      </c>
    </row>
    <row r="184" spans="1:6" s="2968" customFormat="1" ht="18" customHeight="1">
      <c r="A184" s="2961">
        <v>182</v>
      </c>
      <c r="B184" s="2964" t="s">
        <v>3246</v>
      </c>
      <c r="C184" s="2965" t="s">
        <v>3600</v>
      </c>
      <c r="D184" s="2966" t="s">
        <v>3601</v>
      </c>
      <c r="E184" s="2967">
        <v>95.56</v>
      </c>
      <c r="F184" s="2967">
        <v>16.97</v>
      </c>
    </row>
    <row r="185" spans="1:6" s="2968" customFormat="1" ht="18" customHeight="1">
      <c r="A185" s="2961">
        <v>183</v>
      </c>
      <c r="B185" s="2964" t="s">
        <v>3247</v>
      </c>
      <c r="C185" s="2965" t="s">
        <v>3602</v>
      </c>
      <c r="D185" s="2966" t="s">
        <v>3603</v>
      </c>
      <c r="E185" s="2967">
        <v>94.18</v>
      </c>
      <c r="F185" s="2967">
        <v>16.72</v>
      </c>
    </row>
    <row r="186" spans="1:6" s="2968" customFormat="1" ht="18" customHeight="1">
      <c r="A186" s="2961">
        <v>184</v>
      </c>
      <c r="B186" s="2964" t="s">
        <v>3248</v>
      </c>
      <c r="C186" s="2965" t="s">
        <v>3604</v>
      </c>
      <c r="D186" s="2966" t="s">
        <v>3605</v>
      </c>
      <c r="E186" s="2967">
        <v>63.78</v>
      </c>
      <c r="F186" s="2967">
        <v>11.32</v>
      </c>
    </row>
    <row r="187" spans="1:6" s="2968" customFormat="1" ht="18" customHeight="1">
      <c r="A187" s="2961">
        <v>185</v>
      </c>
      <c r="B187" s="2964" t="s">
        <v>3249</v>
      </c>
      <c r="C187" s="2965" t="s">
        <v>3606</v>
      </c>
      <c r="D187" s="2966" t="s">
        <v>3607</v>
      </c>
      <c r="E187" s="2967">
        <v>63.78</v>
      </c>
      <c r="F187" s="2967">
        <v>11.32</v>
      </c>
    </row>
    <row r="188" spans="1:6" s="2968" customFormat="1" ht="18" customHeight="1">
      <c r="A188" s="2961">
        <v>186</v>
      </c>
      <c r="B188" s="2964" t="s">
        <v>3250</v>
      </c>
      <c r="C188" s="2965" t="s">
        <v>3608</v>
      </c>
      <c r="D188" s="2966" t="s">
        <v>3609</v>
      </c>
      <c r="E188" s="2967">
        <v>61.3</v>
      </c>
      <c r="F188" s="2967">
        <v>10.88</v>
      </c>
    </row>
    <row r="189" spans="1:6" s="2968" customFormat="1" ht="18" customHeight="1">
      <c r="A189" s="2961">
        <v>187</v>
      </c>
      <c r="B189" s="2964" t="s">
        <v>3251</v>
      </c>
      <c r="C189" s="2965" t="s">
        <v>3610</v>
      </c>
      <c r="D189" s="2966" t="s">
        <v>3611</v>
      </c>
      <c r="E189" s="2967">
        <v>115.83</v>
      </c>
      <c r="F189" s="2967">
        <v>20.56</v>
      </c>
    </row>
    <row r="190" spans="1:6" s="2968" customFormat="1" ht="18" customHeight="1">
      <c r="A190" s="2961">
        <v>188</v>
      </c>
      <c r="B190" s="2964" t="s">
        <v>3252</v>
      </c>
      <c r="C190" s="2965" t="s">
        <v>3612</v>
      </c>
      <c r="D190" s="2966" t="s">
        <v>3613</v>
      </c>
      <c r="E190" s="2967">
        <v>78.86</v>
      </c>
      <c r="F190" s="2967">
        <v>14</v>
      </c>
    </row>
    <row r="191" spans="1:6" s="2968" customFormat="1" ht="18" customHeight="1">
      <c r="A191" s="2961">
        <v>189</v>
      </c>
      <c r="B191" s="2964" t="s">
        <v>3253</v>
      </c>
      <c r="C191" s="2965" t="s">
        <v>3614</v>
      </c>
      <c r="D191" s="2966" t="s">
        <v>3615</v>
      </c>
      <c r="E191" s="2967">
        <v>60.95</v>
      </c>
      <c r="F191" s="2967">
        <v>10.82</v>
      </c>
    </row>
    <row r="192" spans="1:6" s="2968" customFormat="1" ht="18" customHeight="1">
      <c r="A192" s="2961">
        <v>190</v>
      </c>
      <c r="B192" s="2964" t="s">
        <v>3254</v>
      </c>
      <c r="C192" s="2965" t="s">
        <v>3616</v>
      </c>
      <c r="D192" s="2966" t="s">
        <v>3617</v>
      </c>
      <c r="E192" s="2967">
        <v>169.17</v>
      </c>
      <c r="F192" s="2967">
        <v>30.03</v>
      </c>
    </row>
    <row r="193" spans="1:6" s="2968" customFormat="1" ht="18" customHeight="1">
      <c r="A193" s="2961">
        <v>191</v>
      </c>
      <c r="B193" s="2964" t="s">
        <v>3255</v>
      </c>
      <c r="C193" s="2965" t="s">
        <v>3618</v>
      </c>
      <c r="D193" s="2966" t="s">
        <v>3619</v>
      </c>
      <c r="E193" s="2967">
        <v>41.98</v>
      </c>
      <c r="F193" s="2967">
        <v>7.45</v>
      </c>
    </row>
    <row r="194" spans="1:6" s="2968" customFormat="1" ht="18" customHeight="1">
      <c r="A194" s="2961">
        <v>192</v>
      </c>
      <c r="B194" s="2964" t="s">
        <v>3256</v>
      </c>
      <c r="C194" s="2965" t="s">
        <v>3620</v>
      </c>
      <c r="D194" s="2966" t="s">
        <v>3621</v>
      </c>
      <c r="E194" s="2967">
        <v>109.8</v>
      </c>
      <c r="F194" s="2967">
        <v>19.489999999999998</v>
      </c>
    </row>
    <row r="195" spans="1:6" s="2968" customFormat="1" ht="18" customHeight="1">
      <c r="A195" s="2961">
        <v>193</v>
      </c>
      <c r="B195" s="2964" t="s">
        <v>3257</v>
      </c>
      <c r="C195" s="2965" t="s">
        <v>3622</v>
      </c>
      <c r="D195" s="2966" t="s">
        <v>3623</v>
      </c>
      <c r="E195" s="2967">
        <v>80.08</v>
      </c>
      <c r="F195" s="2967">
        <v>14.22</v>
      </c>
    </row>
    <row r="196" spans="1:6" s="2968" customFormat="1" ht="18" customHeight="1">
      <c r="A196" s="2961">
        <v>194</v>
      </c>
      <c r="B196" s="2964" t="s">
        <v>3258</v>
      </c>
      <c r="C196" s="2965" t="s">
        <v>3624</v>
      </c>
      <c r="D196" s="2966" t="s">
        <v>3625</v>
      </c>
      <c r="E196" s="2967">
        <v>80.48</v>
      </c>
      <c r="F196" s="2967">
        <v>14.29</v>
      </c>
    </row>
    <row r="197" spans="1:6" s="2968" customFormat="1" ht="18" customHeight="1">
      <c r="A197" s="2961">
        <v>195</v>
      </c>
      <c r="B197" s="2964" t="s">
        <v>3259</v>
      </c>
      <c r="C197" s="2965" t="s">
        <v>3626</v>
      </c>
      <c r="D197" s="2966" t="s">
        <v>3627</v>
      </c>
      <c r="E197" s="2967">
        <v>80.37</v>
      </c>
      <c r="F197" s="2967">
        <v>14.27</v>
      </c>
    </row>
    <row r="198" spans="1:6" s="2968" customFormat="1" ht="18" customHeight="1">
      <c r="A198" s="2961">
        <v>196</v>
      </c>
      <c r="B198" s="2964" t="s">
        <v>3260</v>
      </c>
      <c r="C198" s="2965" t="s">
        <v>3628</v>
      </c>
      <c r="D198" s="2966" t="s">
        <v>3629</v>
      </c>
      <c r="E198" s="2967">
        <v>80.48</v>
      </c>
      <c r="F198" s="2967">
        <v>14.29</v>
      </c>
    </row>
    <row r="199" spans="1:6" s="2968" customFormat="1" ht="18" customHeight="1">
      <c r="A199" s="2961">
        <v>197</v>
      </c>
      <c r="B199" s="2964" t="s">
        <v>3261</v>
      </c>
      <c r="C199" s="2965" t="s">
        <v>3630</v>
      </c>
      <c r="D199" s="2966" t="s">
        <v>3631</v>
      </c>
      <c r="E199" s="2967">
        <v>80.48</v>
      </c>
      <c r="F199" s="2967">
        <v>14.29</v>
      </c>
    </row>
    <row r="200" spans="1:6" s="2968" customFormat="1" ht="18" customHeight="1">
      <c r="A200" s="2961">
        <v>198</v>
      </c>
      <c r="B200" s="2964" t="s">
        <v>3262</v>
      </c>
      <c r="C200" s="2965" t="s">
        <v>3632</v>
      </c>
      <c r="D200" s="2966" t="s">
        <v>3633</v>
      </c>
      <c r="E200" s="2967">
        <v>80.37</v>
      </c>
      <c r="F200" s="2967">
        <v>14.27</v>
      </c>
    </row>
    <row r="201" spans="1:6" s="2968" customFormat="1" ht="18" customHeight="1">
      <c r="A201" s="2961">
        <v>199</v>
      </c>
      <c r="B201" s="2964" t="s">
        <v>3263</v>
      </c>
      <c r="C201" s="2965" t="s">
        <v>3634</v>
      </c>
      <c r="D201" s="2966" t="s">
        <v>3635</v>
      </c>
      <c r="E201" s="2967">
        <v>80.48</v>
      </c>
      <c r="F201" s="2967">
        <v>14.29</v>
      </c>
    </row>
    <row r="202" spans="1:6" s="2968" customFormat="1" ht="18" customHeight="1">
      <c r="A202" s="2961">
        <v>200</v>
      </c>
      <c r="B202" s="2964" t="s">
        <v>3264</v>
      </c>
      <c r="C202" s="2965" t="s">
        <v>3636</v>
      </c>
      <c r="D202" s="2966" t="s">
        <v>3637</v>
      </c>
      <c r="E202" s="2967">
        <v>80.48</v>
      </c>
      <c r="F202" s="2967">
        <v>14.29</v>
      </c>
    </row>
    <row r="203" spans="1:6" s="2968" customFormat="1" ht="18" customHeight="1">
      <c r="A203" s="2961">
        <v>201</v>
      </c>
      <c r="B203" s="2964" t="s">
        <v>3265</v>
      </c>
      <c r="C203" s="2965" t="s">
        <v>3638</v>
      </c>
      <c r="D203" s="2966" t="s">
        <v>3639</v>
      </c>
      <c r="E203" s="2967">
        <v>80.61</v>
      </c>
      <c r="F203" s="2967">
        <v>14.31</v>
      </c>
    </row>
    <row r="204" spans="1:6" s="2968" customFormat="1" ht="18" customHeight="1">
      <c r="A204" s="2961">
        <v>202</v>
      </c>
      <c r="B204" s="2964" t="s">
        <v>3266</v>
      </c>
      <c r="C204" s="2965" t="s">
        <v>3640</v>
      </c>
      <c r="D204" s="2966" t="s">
        <v>3641</v>
      </c>
      <c r="E204" s="2967">
        <v>64.459999999999994</v>
      </c>
      <c r="F204" s="2967">
        <v>11.44</v>
      </c>
    </row>
    <row r="205" spans="1:6" s="2968" customFormat="1" ht="18" customHeight="1">
      <c r="A205" s="2961">
        <v>203</v>
      </c>
      <c r="B205" s="2964" t="s">
        <v>3267</v>
      </c>
      <c r="C205" s="2965" t="s">
        <v>3642</v>
      </c>
      <c r="D205" s="2966" t="s">
        <v>3643</v>
      </c>
      <c r="E205" s="2967">
        <v>41.79</v>
      </c>
      <c r="F205" s="2967">
        <v>7.42</v>
      </c>
    </row>
    <row r="206" spans="1:6" s="2968" customFormat="1" ht="18" customHeight="1">
      <c r="A206" s="2961">
        <v>204</v>
      </c>
      <c r="B206" s="2964" t="s">
        <v>3268</v>
      </c>
      <c r="C206" s="2965" t="s">
        <v>3644</v>
      </c>
      <c r="D206" s="2966" t="s">
        <v>3645</v>
      </c>
      <c r="E206" s="2967">
        <v>30.28</v>
      </c>
      <c r="F206" s="2967">
        <v>5.38</v>
      </c>
    </row>
    <row r="207" spans="1:6" s="2968" customFormat="1" ht="18" customHeight="1">
      <c r="A207" s="2961">
        <v>205</v>
      </c>
      <c r="B207" s="2964" t="s">
        <v>3269</v>
      </c>
      <c r="C207" s="2965" t="s">
        <v>3646</v>
      </c>
      <c r="D207" s="2966" t="s">
        <v>3647</v>
      </c>
      <c r="E207" s="2967">
        <v>128.06</v>
      </c>
      <c r="F207" s="2967">
        <v>22.74</v>
      </c>
    </row>
    <row r="208" spans="1:6" s="2968" customFormat="1" ht="18" customHeight="1">
      <c r="A208" s="2961">
        <v>206</v>
      </c>
      <c r="B208" s="2964" t="s">
        <v>3270</v>
      </c>
      <c r="C208" s="2965" t="s">
        <v>3648</v>
      </c>
      <c r="D208" s="2966" t="s">
        <v>3649</v>
      </c>
      <c r="E208" s="2967">
        <v>82.58</v>
      </c>
      <c r="F208" s="2967">
        <v>14.66</v>
      </c>
    </row>
    <row r="209" spans="1:6" s="2968" customFormat="1" ht="18" customHeight="1">
      <c r="A209" s="2961">
        <v>207</v>
      </c>
      <c r="B209" s="2964" t="s">
        <v>3271</v>
      </c>
      <c r="C209" s="2965" t="s">
        <v>3650</v>
      </c>
      <c r="D209" s="2966" t="s">
        <v>3651</v>
      </c>
      <c r="E209" s="2967">
        <v>90.04</v>
      </c>
      <c r="F209" s="2967">
        <v>15.99</v>
      </c>
    </row>
    <row r="210" spans="1:6" s="2968" customFormat="1" ht="18" customHeight="1">
      <c r="A210" s="2961">
        <v>208</v>
      </c>
      <c r="B210" s="2964" t="s">
        <v>3272</v>
      </c>
      <c r="C210" s="2965" t="s">
        <v>3652</v>
      </c>
      <c r="D210" s="2966" t="s">
        <v>3653</v>
      </c>
      <c r="E210" s="2967">
        <v>85.25</v>
      </c>
      <c r="F210" s="2967">
        <v>15.14</v>
      </c>
    </row>
    <row r="211" spans="1:6" s="2968" customFormat="1" ht="18" customHeight="1">
      <c r="A211" s="2961">
        <v>209</v>
      </c>
      <c r="B211" s="2964" t="s">
        <v>3273</v>
      </c>
      <c r="C211" s="2965" t="s">
        <v>3654</v>
      </c>
      <c r="D211" s="2965" t="s">
        <v>3655</v>
      </c>
      <c r="E211" s="2967">
        <v>80.59</v>
      </c>
      <c r="F211" s="2967">
        <v>14.31</v>
      </c>
    </row>
    <row r="212" spans="1:6" s="2968" customFormat="1" ht="18" customHeight="1">
      <c r="A212" s="2961">
        <v>210</v>
      </c>
      <c r="B212" s="2964" t="s">
        <v>3274</v>
      </c>
      <c r="C212" s="2965" t="s">
        <v>3656</v>
      </c>
      <c r="D212" s="2965" t="s">
        <v>3657</v>
      </c>
      <c r="E212" s="2967">
        <v>94.2</v>
      </c>
      <c r="F212" s="2967">
        <v>16.72</v>
      </c>
    </row>
    <row r="213" spans="1:6" s="2968" customFormat="1" ht="18" customHeight="1">
      <c r="A213" s="2961">
        <v>211</v>
      </c>
      <c r="B213" s="2964" t="s">
        <v>3275</v>
      </c>
      <c r="C213" s="2965" t="s">
        <v>3658</v>
      </c>
      <c r="D213" s="2966" t="s">
        <v>3659</v>
      </c>
      <c r="E213" s="2967">
        <v>90.14</v>
      </c>
      <c r="F213" s="2967">
        <v>16</v>
      </c>
    </row>
    <row r="214" spans="1:6" s="2968" customFormat="1" ht="18" customHeight="1">
      <c r="A214" s="2961">
        <v>212</v>
      </c>
      <c r="B214" s="2964" t="s">
        <v>3276</v>
      </c>
      <c r="C214" s="2965" t="s">
        <v>3660</v>
      </c>
      <c r="D214" s="2966" t="s">
        <v>3661</v>
      </c>
      <c r="E214" s="2967">
        <v>107.81</v>
      </c>
      <c r="F214" s="2967">
        <v>19.14</v>
      </c>
    </row>
    <row r="215" spans="1:6" s="2968" customFormat="1" ht="18" customHeight="1">
      <c r="A215" s="2961">
        <v>213</v>
      </c>
      <c r="B215" s="2964" t="s">
        <v>3277</v>
      </c>
      <c r="C215" s="2965" t="s">
        <v>3662</v>
      </c>
      <c r="D215" s="2966" t="s">
        <v>3663</v>
      </c>
      <c r="E215" s="2967">
        <v>97.92</v>
      </c>
      <c r="F215" s="2967">
        <v>17.38</v>
      </c>
    </row>
    <row r="216" spans="1:6" s="2968" customFormat="1" ht="18" customHeight="1">
      <c r="A216" s="2961">
        <v>214</v>
      </c>
      <c r="B216" s="2964" t="s">
        <v>3278</v>
      </c>
      <c r="C216" s="2965" t="s">
        <v>3664</v>
      </c>
      <c r="D216" s="2966" t="s">
        <v>3665</v>
      </c>
      <c r="E216" s="2967">
        <v>79.849999999999994</v>
      </c>
      <c r="F216" s="2967">
        <v>14.18</v>
      </c>
    </row>
    <row r="217" spans="1:6" s="2968" customFormat="1" ht="18" customHeight="1">
      <c r="A217" s="2961">
        <v>215</v>
      </c>
      <c r="B217" s="2964" t="s">
        <v>3279</v>
      </c>
      <c r="C217" s="2965" t="s">
        <v>3666</v>
      </c>
      <c r="D217" s="2966" t="s">
        <v>3667</v>
      </c>
      <c r="E217" s="2967">
        <v>87.76</v>
      </c>
      <c r="F217" s="2967">
        <v>15.58</v>
      </c>
    </row>
    <row r="218" spans="1:6" s="2968" customFormat="1" ht="18" customHeight="1">
      <c r="A218" s="2961">
        <v>216</v>
      </c>
      <c r="B218" s="2964" t="s">
        <v>3280</v>
      </c>
      <c r="C218" s="2965" t="s">
        <v>3668</v>
      </c>
      <c r="D218" s="2966" t="s">
        <v>3669</v>
      </c>
      <c r="E218" s="2967">
        <v>53.87</v>
      </c>
      <c r="F218" s="2967">
        <v>9.56</v>
      </c>
    </row>
    <row r="219" spans="1:6" s="2968" customFormat="1" ht="18" customHeight="1">
      <c r="A219" s="2961">
        <v>217</v>
      </c>
      <c r="B219" s="2964" t="s">
        <v>3281</v>
      </c>
      <c r="C219" s="2965" t="s">
        <v>3670</v>
      </c>
      <c r="D219" s="2966" t="s">
        <v>3671</v>
      </c>
      <c r="E219" s="2967">
        <v>68.209999999999994</v>
      </c>
      <c r="F219" s="2967">
        <v>12.11</v>
      </c>
    </row>
    <row r="220" spans="1:6" s="2968" customFormat="1" ht="18" customHeight="1">
      <c r="A220" s="2961">
        <v>218</v>
      </c>
      <c r="B220" s="2964" t="s">
        <v>3282</v>
      </c>
      <c r="C220" s="2965" t="s">
        <v>3672</v>
      </c>
      <c r="D220" s="2966" t="s">
        <v>3673</v>
      </c>
      <c r="E220" s="2967">
        <v>93.72</v>
      </c>
      <c r="F220" s="2967">
        <v>16.64</v>
      </c>
    </row>
    <row r="221" spans="1:6" s="2968" customFormat="1" ht="18" customHeight="1">
      <c r="A221" s="2961">
        <v>219</v>
      </c>
      <c r="B221" s="2964" t="s">
        <v>3283</v>
      </c>
      <c r="C221" s="2965" t="s">
        <v>3674</v>
      </c>
      <c r="D221" s="2966" t="s">
        <v>3675</v>
      </c>
      <c r="E221" s="2967">
        <v>66.92</v>
      </c>
      <c r="F221" s="2967">
        <v>11.88</v>
      </c>
    </row>
    <row r="222" spans="1:6" s="2968" customFormat="1" ht="18" customHeight="1">
      <c r="A222" s="2961">
        <v>220</v>
      </c>
      <c r="B222" s="2964" t="s">
        <v>3284</v>
      </c>
      <c r="C222" s="2965" t="s">
        <v>3676</v>
      </c>
      <c r="D222" s="2966" t="s">
        <v>3677</v>
      </c>
      <c r="E222" s="2967">
        <v>67.459999999999994</v>
      </c>
      <c r="F222" s="2967">
        <v>11.98</v>
      </c>
    </row>
    <row r="223" spans="1:6" s="2968" customFormat="1" ht="18" customHeight="1">
      <c r="A223" s="2961">
        <v>221</v>
      </c>
      <c r="B223" s="2964" t="s">
        <v>3285</v>
      </c>
      <c r="C223" s="2965" t="s">
        <v>3678</v>
      </c>
      <c r="D223" s="2966" t="s">
        <v>3679</v>
      </c>
      <c r="E223" s="2967">
        <v>67.459999999999994</v>
      </c>
      <c r="F223" s="2967">
        <v>11.98</v>
      </c>
    </row>
    <row r="224" spans="1:6" s="2968" customFormat="1" ht="18" customHeight="1">
      <c r="A224" s="2961">
        <v>222</v>
      </c>
      <c r="B224" s="2964" t="s">
        <v>3286</v>
      </c>
      <c r="C224" s="2965" t="s">
        <v>3680</v>
      </c>
      <c r="D224" s="2966" t="s">
        <v>3681</v>
      </c>
      <c r="E224" s="2967">
        <v>50.69</v>
      </c>
      <c r="F224" s="2967">
        <v>9</v>
      </c>
    </row>
    <row r="225" spans="1:6" s="2968" customFormat="1" ht="18" customHeight="1">
      <c r="A225" s="2961">
        <v>223</v>
      </c>
      <c r="B225" s="2964" t="s">
        <v>3287</v>
      </c>
      <c r="C225" s="2965" t="s">
        <v>3682</v>
      </c>
      <c r="D225" s="2966" t="s">
        <v>3683</v>
      </c>
      <c r="E225" s="2967">
        <v>78.11</v>
      </c>
      <c r="F225" s="2967">
        <v>13.87</v>
      </c>
    </row>
    <row r="226" spans="1:6" s="2968" customFormat="1" ht="18" customHeight="1">
      <c r="A226" s="2961">
        <v>224</v>
      </c>
      <c r="B226" s="2964" t="s">
        <v>3288</v>
      </c>
      <c r="C226" s="2965" t="s">
        <v>3684</v>
      </c>
      <c r="D226" s="2966" t="s">
        <v>3685</v>
      </c>
      <c r="E226" s="2967">
        <v>92.43</v>
      </c>
      <c r="F226" s="2967">
        <v>16.41</v>
      </c>
    </row>
    <row r="227" spans="1:6" s="2968" customFormat="1" ht="18" customHeight="1">
      <c r="A227" s="2961">
        <v>225</v>
      </c>
      <c r="B227" s="2964" t="s">
        <v>3289</v>
      </c>
      <c r="C227" s="2965" t="s">
        <v>3686</v>
      </c>
      <c r="D227" s="2966" t="s">
        <v>3687</v>
      </c>
      <c r="E227" s="2967">
        <v>79.19</v>
      </c>
      <c r="F227" s="2967">
        <v>14.06</v>
      </c>
    </row>
    <row r="228" spans="1:6" ht="18" customHeight="1">
      <c r="A228" s="2961">
        <v>226</v>
      </c>
      <c r="B228" s="2964" t="s">
        <v>3290</v>
      </c>
      <c r="C228" s="2965" t="s">
        <v>3688</v>
      </c>
      <c r="D228" s="2966" t="s">
        <v>3689</v>
      </c>
      <c r="E228" s="2967">
        <v>78.14</v>
      </c>
      <c r="F228" s="2967">
        <v>13.87</v>
      </c>
    </row>
    <row r="229" spans="1:6" ht="18" customHeight="1">
      <c r="A229" s="2961">
        <v>227</v>
      </c>
      <c r="B229" s="2964" t="s">
        <v>3291</v>
      </c>
      <c r="C229" s="2965" t="s">
        <v>3690</v>
      </c>
      <c r="D229" s="2966" t="s">
        <v>3691</v>
      </c>
      <c r="E229" s="2967">
        <v>104.11</v>
      </c>
      <c r="F229" s="2967">
        <v>18.48</v>
      </c>
    </row>
    <row r="230" spans="1:6" ht="18" customHeight="1">
      <c r="A230" s="2961">
        <v>228</v>
      </c>
      <c r="B230" s="2964" t="s">
        <v>3292</v>
      </c>
      <c r="C230" s="2965" t="s">
        <v>3692</v>
      </c>
      <c r="D230" s="2966" t="s">
        <v>3693</v>
      </c>
      <c r="E230" s="2967">
        <v>104.67</v>
      </c>
      <c r="F230" s="2967">
        <v>18.579999999999998</v>
      </c>
    </row>
    <row r="231" spans="1:6" ht="18" customHeight="1">
      <c r="A231" s="2961">
        <v>229</v>
      </c>
      <c r="B231" s="2964" t="s">
        <v>3293</v>
      </c>
      <c r="C231" s="2965" t="s">
        <v>3694</v>
      </c>
      <c r="D231" s="2966" t="s">
        <v>3695</v>
      </c>
      <c r="E231" s="2967">
        <v>104.78</v>
      </c>
      <c r="F231" s="2967">
        <v>18.600000000000001</v>
      </c>
    </row>
    <row r="232" spans="1:6" ht="18" customHeight="1">
      <c r="A232" s="2961">
        <v>230</v>
      </c>
      <c r="B232" s="2964" t="s">
        <v>3294</v>
      </c>
      <c r="C232" s="2965" t="s">
        <v>3696</v>
      </c>
      <c r="D232" s="2966" t="s">
        <v>3697</v>
      </c>
      <c r="E232" s="2967">
        <v>65.77</v>
      </c>
      <c r="F232" s="2967">
        <v>11.68</v>
      </c>
    </row>
    <row r="233" spans="1:6" ht="18" customHeight="1">
      <c r="A233" s="2961">
        <v>231</v>
      </c>
      <c r="B233" s="2964" t="s">
        <v>3295</v>
      </c>
      <c r="C233" s="2965" t="s">
        <v>3698</v>
      </c>
      <c r="D233" s="2966" t="s">
        <v>3699</v>
      </c>
      <c r="E233" s="2967">
        <v>62.41</v>
      </c>
      <c r="F233" s="2967">
        <v>11.08</v>
      </c>
    </row>
    <row r="234" spans="1:6" ht="18" customHeight="1">
      <c r="A234" s="2961">
        <v>232</v>
      </c>
      <c r="B234" s="2964" t="s">
        <v>3296</v>
      </c>
      <c r="C234" s="2965" t="s">
        <v>3700</v>
      </c>
      <c r="D234" s="2966" t="s">
        <v>3701</v>
      </c>
      <c r="E234" s="2967">
        <v>62.41</v>
      </c>
      <c r="F234" s="2967">
        <v>11.08</v>
      </c>
    </row>
    <row r="235" spans="1:6" ht="18" customHeight="1">
      <c r="A235" s="2961">
        <v>233</v>
      </c>
      <c r="B235" s="2964" t="s">
        <v>3297</v>
      </c>
      <c r="C235" s="2965" t="s">
        <v>3702</v>
      </c>
      <c r="D235" s="2966" t="s">
        <v>3703</v>
      </c>
      <c r="E235" s="2967">
        <v>62.41</v>
      </c>
      <c r="F235" s="2967">
        <v>11.08</v>
      </c>
    </row>
    <row r="236" spans="1:6" ht="18" customHeight="1">
      <c r="A236" s="2961">
        <v>234</v>
      </c>
      <c r="B236" s="2964" t="s">
        <v>3298</v>
      </c>
      <c r="C236" s="2965" t="s">
        <v>3704</v>
      </c>
      <c r="D236" s="2966" t="s">
        <v>3705</v>
      </c>
      <c r="E236" s="2967">
        <v>62.41</v>
      </c>
      <c r="F236" s="2967">
        <v>11.08</v>
      </c>
    </row>
    <row r="237" spans="1:6" ht="18" customHeight="1">
      <c r="A237" s="2961">
        <v>235</v>
      </c>
      <c r="B237" s="2964" t="s">
        <v>3299</v>
      </c>
      <c r="C237" s="2965" t="s">
        <v>3706</v>
      </c>
      <c r="D237" s="2966" t="s">
        <v>3707</v>
      </c>
      <c r="E237" s="2967">
        <v>62.41</v>
      </c>
      <c r="F237" s="2967">
        <v>11.08</v>
      </c>
    </row>
    <row r="238" spans="1:6" ht="18" customHeight="1">
      <c r="A238" s="2961">
        <v>236</v>
      </c>
      <c r="B238" s="2964" t="s">
        <v>3300</v>
      </c>
      <c r="C238" s="2965" t="s">
        <v>3824</v>
      </c>
      <c r="D238" s="2966" t="s">
        <v>3708</v>
      </c>
      <c r="E238" s="2967">
        <v>53.91</v>
      </c>
      <c r="F238" s="2967">
        <v>9.57</v>
      </c>
    </row>
    <row r="239" spans="1:6" ht="18" customHeight="1">
      <c r="A239" s="2961">
        <v>237</v>
      </c>
      <c r="B239" s="2964" t="s">
        <v>3301</v>
      </c>
      <c r="C239" s="2965" t="s">
        <v>3825</v>
      </c>
      <c r="D239" s="2966" t="s">
        <v>3709</v>
      </c>
      <c r="E239" s="2967">
        <v>52.36</v>
      </c>
      <c r="F239" s="2967">
        <v>9.3000000000000007</v>
      </c>
    </row>
    <row r="240" spans="1:6" ht="18" customHeight="1">
      <c r="A240" s="2961">
        <v>238</v>
      </c>
      <c r="B240" s="2964" t="s">
        <v>3302</v>
      </c>
      <c r="C240" s="2965" t="s">
        <v>3826</v>
      </c>
      <c r="D240" s="2966" t="s">
        <v>3710</v>
      </c>
      <c r="E240" s="2967">
        <v>53.11</v>
      </c>
      <c r="F240" s="2967">
        <v>9.43</v>
      </c>
    </row>
    <row r="241" spans="1:6" ht="18" customHeight="1">
      <c r="A241" s="2961">
        <v>239</v>
      </c>
      <c r="B241" s="2964" t="s">
        <v>3303</v>
      </c>
      <c r="C241" s="2965" t="s">
        <v>3827</v>
      </c>
      <c r="D241" s="2966" t="s">
        <v>3711</v>
      </c>
      <c r="E241" s="2967">
        <v>98.39</v>
      </c>
      <c r="F241" s="2967">
        <v>17.47</v>
      </c>
    </row>
    <row r="242" spans="1:6" ht="18" customHeight="1">
      <c r="A242" s="2961">
        <v>240</v>
      </c>
      <c r="B242" s="2964" t="s">
        <v>3304</v>
      </c>
      <c r="C242" s="2965" t="s">
        <v>3712</v>
      </c>
      <c r="D242" s="2966" t="s">
        <v>3713</v>
      </c>
      <c r="E242" s="2967">
        <v>108.8</v>
      </c>
      <c r="F242" s="2967">
        <v>19.32</v>
      </c>
    </row>
    <row r="243" spans="1:6" ht="18" customHeight="1">
      <c r="A243" s="2961">
        <v>241</v>
      </c>
      <c r="B243" s="2964" t="s">
        <v>3305</v>
      </c>
      <c r="C243" s="2965" t="s">
        <v>3714</v>
      </c>
      <c r="D243" s="2966" t="s">
        <v>3715</v>
      </c>
      <c r="E243" s="2967">
        <v>107.36</v>
      </c>
      <c r="F243" s="2967">
        <v>19.059999999999999</v>
      </c>
    </row>
    <row r="244" spans="1:6" ht="18" customHeight="1">
      <c r="A244" s="2961">
        <v>242</v>
      </c>
      <c r="B244" s="2964" t="s">
        <v>3306</v>
      </c>
      <c r="C244" s="2965" t="s">
        <v>3716</v>
      </c>
      <c r="D244" s="2966" t="s">
        <v>3717</v>
      </c>
      <c r="E244" s="2967">
        <v>109.55</v>
      </c>
      <c r="F244" s="2967">
        <v>19.45</v>
      </c>
    </row>
    <row r="245" spans="1:6" ht="18" customHeight="1">
      <c r="A245" s="2961">
        <v>243</v>
      </c>
      <c r="B245" s="2964" t="s">
        <v>3307</v>
      </c>
      <c r="C245" s="2965" t="s">
        <v>3718</v>
      </c>
      <c r="D245" s="2966" t="s">
        <v>3719</v>
      </c>
      <c r="E245" s="2967">
        <v>109.55</v>
      </c>
      <c r="F245" s="2967">
        <v>19.45</v>
      </c>
    </row>
    <row r="246" spans="1:6" ht="18" customHeight="1">
      <c r="A246" s="2961">
        <v>244</v>
      </c>
      <c r="B246" s="2964" t="s">
        <v>3308</v>
      </c>
      <c r="C246" s="2965" t="s">
        <v>3720</v>
      </c>
      <c r="D246" s="2966" t="s">
        <v>3721</v>
      </c>
      <c r="E246" s="2967">
        <v>147.88999999999999</v>
      </c>
      <c r="F246" s="2967">
        <v>26.26</v>
      </c>
    </row>
    <row r="247" spans="1:6" ht="18" customHeight="1">
      <c r="A247" s="2961">
        <v>245</v>
      </c>
      <c r="B247" s="2964" t="s">
        <v>3309</v>
      </c>
      <c r="C247" s="2965" t="s">
        <v>3722</v>
      </c>
      <c r="D247" s="2966" t="s">
        <v>3723</v>
      </c>
      <c r="E247" s="2967">
        <v>148.49</v>
      </c>
      <c r="F247" s="2967">
        <v>26.36</v>
      </c>
    </row>
    <row r="248" spans="1:6" ht="18" customHeight="1">
      <c r="A248" s="2961">
        <v>246</v>
      </c>
      <c r="B248" s="2964" t="s">
        <v>3310</v>
      </c>
      <c r="C248" s="2965" t="s">
        <v>3724</v>
      </c>
      <c r="D248" s="2966" t="s">
        <v>3725</v>
      </c>
      <c r="E248" s="2967">
        <v>107.2</v>
      </c>
      <c r="F248" s="2967">
        <v>19.03</v>
      </c>
    </row>
    <row r="249" spans="1:6" ht="18" customHeight="1">
      <c r="A249" s="2961">
        <v>247</v>
      </c>
      <c r="B249" s="2964" t="s">
        <v>3311</v>
      </c>
      <c r="C249" s="2965" t="s">
        <v>3726</v>
      </c>
      <c r="D249" s="2966" t="s">
        <v>3727</v>
      </c>
      <c r="E249" s="2967">
        <v>140.35</v>
      </c>
      <c r="F249" s="2967">
        <v>24.92</v>
      </c>
    </row>
    <row r="250" spans="1:6" ht="18" customHeight="1">
      <c r="A250" s="2961">
        <v>248</v>
      </c>
      <c r="B250" s="2964" t="s">
        <v>3312</v>
      </c>
      <c r="C250" s="2965" t="s">
        <v>3728</v>
      </c>
      <c r="D250" s="2966" t="s">
        <v>3729</v>
      </c>
      <c r="E250" s="2967">
        <v>244.72</v>
      </c>
      <c r="F250" s="2967">
        <v>43.45</v>
      </c>
    </row>
    <row r="251" spans="1:6" ht="18" customHeight="1">
      <c r="A251" s="2961">
        <v>249</v>
      </c>
      <c r="B251" s="2964" t="s">
        <v>3313</v>
      </c>
      <c r="C251" s="2965" t="s">
        <v>3730</v>
      </c>
      <c r="D251" s="2966" t="s">
        <v>3731</v>
      </c>
      <c r="E251" s="2967">
        <v>199.52</v>
      </c>
      <c r="F251" s="2967">
        <v>35.42</v>
      </c>
    </row>
    <row r="252" spans="1:6">
      <c r="A252" s="3359" t="s">
        <v>4002</v>
      </c>
      <c r="B252" s="3360"/>
      <c r="C252" s="3360"/>
      <c r="D252" s="3360"/>
      <c r="E252" s="2967">
        <f>SUM(E3:E251)</f>
        <v>18418.460000000006</v>
      </c>
      <c r="F252" s="2967">
        <f>SUM(F3:F251)</f>
        <v>3270.0799999999963</v>
      </c>
    </row>
  </sheetData>
  <mergeCells count="2">
    <mergeCell ref="A1:F1"/>
    <mergeCell ref="A252:D252"/>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35" t="str">
        <f>IF(项目基本情况!B9="房地产市场价值","估价结果一览表","结果表-2")</f>
        <v>结果表-2</v>
      </c>
      <c r="B1" s="3035"/>
      <c r="C1" s="3035"/>
      <c r="D1" s="3035"/>
      <c r="E1" s="3035"/>
      <c r="F1" s="3035"/>
      <c r="G1" s="3035"/>
      <c r="H1" s="3035"/>
      <c r="I1" s="3035"/>
    </row>
    <row r="2" spans="1:9" ht="30" customHeight="1" thickTop="1">
      <c r="A2" s="3036" t="s">
        <v>1641</v>
      </c>
      <c r="B2" s="3036" t="s">
        <v>1642</v>
      </c>
      <c r="C2" s="3036" t="s">
        <v>1643</v>
      </c>
      <c r="D2" s="3036" t="str">
        <f>结果表!D116</f>
        <v>出让国有建设用地使用权价值</v>
      </c>
      <c r="E2" s="3036"/>
      <c r="F2" s="3036" t="str">
        <f>结果表!F116</f>
        <v>建筑物价值</v>
      </c>
      <c r="G2" s="3036"/>
      <c r="H2" s="3036" t="str">
        <f>IF(项目基本情况!B9="房地产市场价值","房地产市场价值","房地产价值")</f>
        <v>房地产价值</v>
      </c>
      <c r="I2" s="3036"/>
    </row>
    <row r="3" spans="1:9" ht="15">
      <c r="A3" s="3037"/>
      <c r="B3" s="3037"/>
      <c r="C3" s="3037"/>
      <c r="D3" s="1046" t="s">
        <v>1638</v>
      </c>
      <c r="E3" s="1046" t="s">
        <v>1644</v>
      </c>
      <c r="F3" s="1046" t="s">
        <v>1638</v>
      </c>
      <c r="G3" s="1046" t="s">
        <v>1639</v>
      </c>
      <c r="H3" s="1046" t="s">
        <v>1638</v>
      </c>
      <c r="I3" s="1046" t="s">
        <v>1639</v>
      </c>
    </row>
    <row r="4" spans="1:9" ht="30">
      <c r="A4" s="1971" t="str">
        <f>项目基本情况!S2</f>
        <v>浙江省宁波市宁穿路960号1-2号等249套房地产</v>
      </c>
      <c r="B4" s="1046">
        <f>项目基本情况!C17</f>
        <v>18418.460000000006</v>
      </c>
      <c r="C4" s="1046">
        <f>项目基本情况!C18</f>
        <v>3270.08</v>
      </c>
      <c r="D4" s="1046">
        <f ca="1">结果表!D118</f>
        <v>466</v>
      </c>
      <c r="E4" s="1046">
        <f ca="1">结果表!E118</f>
        <v>33075</v>
      </c>
      <c r="F4" s="1046">
        <f ca="1">结果表!F118</f>
        <v>133</v>
      </c>
      <c r="G4" s="1046">
        <f ca="1">结果表!G118</f>
        <v>9440</v>
      </c>
      <c r="H4" s="1046">
        <f ca="1">结果表!H118</f>
        <v>599</v>
      </c>
      <c r="I4" s="1046">
        <f ca="1">结果表!I118</f>
        <v>42515</v>
      </c>
    </row>
    <row r="5" spans="1:9" ht="30" customHeight="1">
      <c r="A5" s="3037" t="s">
        <v>1640</v>
      </c>
      <c r="B5" s="3037"/>
      <c r="C5" s="3037"/>
      <c r="D5" s="3038" t="str">
        <f ca="1">结果表!D119</f>
        <v>肆佰陆拾陆万元整</v>
      </c>
      <c r="E5" s="3038"/>
      <c r="F5" s="3038" t="str">
        <f ca="1">结果表!F119</f>
        <v>壹佰叁拾叁万元整</v>
      </c>
      <c r="G5" s="3038"/>
      <c r="H5" s="3038" t="str">
        <f ca="1">结果表!H119</f>
        <v>伍佰玖拾玖万元整</v>
      </c>
      <c r="I5" s="3038"/>
    </row>
    <row r="6" spans="1:9" ht="15.75">
      <c r="A6" s="3039" t="str">
        <f>结果表!A120</f>
        <v>估价师知悉的法定优先受偿款</v>
      </c>
      <c r="B6" s="3039"/>
      <c r="C6" s="3039"/>
      <c r="D6" s="3039">
        <f>结果表!D120</f>
        <v>0</v>
      </c>
      <c r="E6" s="3039"/>
      <c r="F6" s="3039"/>
      <c r="G6" s="3039"/>
      <c r="H6" s="3039"/>
      <c r="I6" s="3039"/>
    </row>
    <row r="7" spans="1:9" ht="15">
      <c r="A7" s="3037" t="s">
        <v>1640</v>
      </c>
      <c r="B7" s="3037"/>
      <c r="C7" s="3037"/>
      <c r="D7" s="3040" t="str">
        <f>结果表!D121</f>
        <v>零元整</v>
      </c>
      <c r="E7" s="3041"/>
      <c r="F7" s="3041"/>
      <c r="G7" s="3041"/>
      <c r="H7" s="3041"/>
      <c r="I7" s="3042"/>
    </row>
    <row r="8" spans="1:9" ht="15.75">
      <c r="A8" s="3039" t="str">
        <f>结果表!A122</f>
        <v/>
      </c>
      <c r="B8" s="3039"/>
      <c r="C8" s="3039"/>
      <c r="D8" s="3039" t="str">
        <f>结果表!D122</f>
        <v>——</v>
      </c>
      <c r="E8" s="3039"/>
      <c r="F8" s="3039"/>
      <c r="G8" s="3039"/>
      <c r="H8" s="3039"/>
      <c r="I8" s="3039"/>
    </row>
    <row r="9" spans="1:9" ht="15">
      <c r="A9" s="3037" t="s">
        <v>1640</v>
      </c>
      <c r="B9" s="3037"/>
      <c r="C9" s="3037"/>
      <c r="D9" s="3038" t="e">
        <f>结果表!D123</f>
        <v>#VALUE!</v>
      </c>
      <c r="E9" s="3038"/>
      <c r="F9" s="3038"/>
      <c r="G9" s="3038"/>
      <c r="H9" s="3038"/>
      <c r="I9" s="3038"/>
    </row>
    <row r="10" spans="1:9" ht="15.75">
      <c r="A10" s="3039" t="str">
        <f>结果表!A124</f>
        <v>抵押担保权已注销时的房地产抵押价值</v>
      </c>
      <c r="B10" s="3039"/>
      <c r="C10" s="3039"/>
      <c r="D10" s="3039">
        <f ca="1">结果表!D124</f>
        <v>599</v>
      </c>
      <c r="E10" s="3039"/>
      <c r="F10" s="3039"/>
      <c r="G10" s="3039"/>
      <c r="H10" s="3039"/>
      <c r="I10" s="3039"/>
    </row>
    <row r="11" spans="1:9" ht="15">
      <c r="A11" s="3037" t="s">
        <v>1640</v>
      </c>
      <c r="B11" s="3037"/>
      <c r="C11" s="3037"/>
      <c r="D11" s="3038" t="str">
        <f ca="1">结果表!D125</f>
        <v>伍佰玖拾玖万元整</v>
      </c>
      <c r="E11" s="3038"/>
      <c r="F11" s="3038"/>
      <c r="G11" s="3038"/>
      <c r="H11" s="3038"/>
      <c r="I11" s="3038"/>
    </row>
    <row r="12" spans="1:9" ht="15.75">
      <c r="A12" s="3039" t="str">
        <f>结果表!A126</f>
        <v/>
      </c>
      <c r="B12" s="3039"/>
      <c r="C12" s="3039"/>
      <c r="D12" s="3039" t="str">
        <f>结果表!D126</f>
        <v>——</v>
      </c>
      <c r="E12" s="3039"/>
      <c r="F12" s="3039"/>
      <c r="G12" s="3039"/>
      <c r="H12" s="3039"/>
      <c r="I12" s="3039"/>
    </row>
    <row r="13" spans="1:9" ht="15.75" thickBot="1">
      <c r="A13" s="3043" t="s">
        <v>1640</v>
      </c>
      <c r="B13" s="3043"/>
      <c r="C13" s="3043"/>
      <c r="D13" s="3044" t="e">
        <f>结果表!D127</f>
        <v>#VALUE!</v>
      </c>
      <c r="E13" s="3044"/>
      <c r="F13" s="3044"/>
      <c r="G13" s="3044"/>
      <c r="H13" s="3044"/>
      <c r="I13" s="3044"/>
    </row>
    <row r="14" spans="1:9" ht="15" thickTop="1">
      <c r="A14" s="3045" t="s">
        <v>1645</v>
      </c>
      <c r="B14" s="3045"/>
      <c r="C14" s="3045"/>
      <c r="D14" s="3045"/>
      <c r="E14" s="3045"/>
      <c r="F14" s="3045"/>
      <c r="G14" s="3045"/>
      <c r="H14" s="3045"/>
      <c r="I14" s="3045"/>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46" t="s">
        <v>1662</v>
      </c>
      <c r="B1" s="3046"/>
      <c r="C1" s="3046"/>
      <c r="D1" s="3046"/>
    </row>
    <row r="2" spans="1:4" ht="18">
      <c r="A2" s="3047" t="s">
        <v>1646</v>
      </c>
      <c r="B2" s="3047"/>
      <c r="C2" s="3047"/>
      <c r="D2" s="3047"/>
    </row>
    <row r="3" spans="1:4" ht="18.75">
      <c r="A3" s="1975" t="s">
        <v>1647</v>
      </c>
      <c r="B3" s="1975" t="s">
        <v>1648</v>
      </c>
      <c r="C3" s="1975" t="s">
        <v>1649</v>
      </c>
      <c r="D3" s="1975" t="s">
        <v>1650</v>
      </c>
    </row>
    <row r="4" spans="1:4" ht="56.25" customHeight="1">
      <c r="A4" s="1976" t="str">
        <f>项目基本情况!B4</f>
        <v>吴薇</v>
      </c>
      <c r="B4" s="1977">
        <f ca="1">项目基本情况!C4</f>
        <v>1419970001</v>
      </c>
      <c r="C4" s="1978"/>
      <c r="D4" s="1979" t="s">
        <v>1651</v>
      </c>
    </row>
    <row r="5" spans="1:4" ht="56.25" customHeight="1">
      <c r="A5" s="1976" t="str">
        <f>项目基本情况!D4</f>
        <v>刘梅</v>
      </c>
      <c r="B5" s="1977">
        <f ca="1">项目基本情况!E4</f>
        <v>1120140022</v>
      </c>
      <c r="C5" s="1980"/>
      <c r="D5" s="1979" t="s">
        <v>1651</v>
      </c>
    </row>
    <row r="6" spans="1:4" ht="18">
      <c r="A6" s="3047" t="s">
        <v>1652</v>
      </c>
      <c r="B6" s="3047"/>
      <c r="C6" s="3047"/>
      <c r="D6" s="3047"/>
    </row>
    <row r="7" spans="1:4" ht="18.75">
      <c r="A7" s="1975" t="s">
        <v>1647</v>
      </c>
      <c r="B7" s="1977" t="s">
        <v>1653</v>
      </c>
      <c r="C7" s="1975" t="s">
        <v>1649</v>
      </c>
      <c r="D7" s="1975" t="s">
        <v>1650</v>
      </c>
    </row>
    <row r="8" spans="1:4" ht="56.25" customHeight="1">
      <c r="A8" s="1981" t="s">
        <v>869</v>
      </c>
      <c r="B8" s="1981" t="s">
        <v>1</v>
      </c>
      <c r="C8" s="1978"/>
      <c r="D8" s="1979" t="s">
        <v>1651</v>
      </c>
    </row>
    <row r="9" spans="1:4">
      <c r="A9" s="727"/>
      <c r="B9" s="727"/>
      <c r="C9" s="727"/>
      <c r="D9" s="727"/>
    </row>
    <row r="10" spans="1:4" ht="18.75">
      <c r="A10" s="1982" t="s">
        <v>1654</v>
      </c>
      <c r="B10" s="727"/>
      <c r="C10" s="727"/>
      <c r="D10" s="727"/>
    </row>
    <row r="11" spans="1:4" ht="30" customHeight="1">
      <c r="A11" s="3048" t="s">
        <v>1655</v>
      </c>
      <c r="B11" s="3049"/>
      <c r="C11" s="3049"/>
      <c r="D11" s="3049"/>
    </row>
    <row r="12" spans="1:4" ht="15.75">
      <c r="A12" s="30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0"/>
      <c r="C12" s="3050"/>
      <c r="D12" s="3050"/>
    </row>
    <row r="13" spans="1:4" ht="30" customHeight="1">
      <c r="A13" s="30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0"/>
      <c r="C13" s="3050"/>
      <c r="D13" s="3050"/>
    </row>
    <row r="14" spans="1:4" ht="15.75" customHeight="1">
      <c r="A14" s="3049" t="str">
        <f>IF(项目基本情况!B8="抵押","4.本次评估估价师所知悉的法定优先受偿款情况说明如下：","——")</f>
        <v>4.本次评估估价师所知悉的法定优先受偿款情况说明如下：</v>
      </c>
      <c r="B14" s="3050"/>
      <c r="C14" s="3050"/>
      <c r="D14" s="3050"/>
    </row>
    <row r="15" spans="1:4" ht="42" customHeight="1">
      <c r="A15" s="3049" t="str">
        <f>IF(项目基本情况!B8="抵押","（1）"&amp;CONCATENATE(项目基本情况!L20,项目基本情况!L21,项目基本情况!L22),"——")</f>
        <v>（1）根据估价对象《不动产权证书》原件，截至价值时点，估价对象已设定抵押。上述抵押权设定日期为2018年4月26日，权利人为中建投信托有限责任公司，权利范围为，权利价值为25000。</v>
      </c>
      <c r="B15" s="3049"/>
      <c r="C15" s="3049"/>
      <c r="D15" s="3049"/>
    </row>
    <row r="16" spans="1:4" ht="30" customHeight="1">
      <c r="A16" s="3052" t="s">
        <v>1656</v>
      </c>
      <c r="B16" s="3052"/>
      <c r="C16" s="3052"/>
      <c r="D16" s="3052"/>
    </row>
    <row r="17" spans="1:4" ht="144" customHeight="1">
      <c r="A17" s="3052" t="s">
        <v>1657</v>
      </c>
      <c r="B17" s="3052"/>
      <c r="C17" s="3052"/>
      <c r="D17" s="3052"/>
    </row>
    <row r="18" spans="1:4" ht="15.75" customHeight="1">
      <c r="A18" s="3049" t="str">
        <f>IF(项目基本情况!B8="抵押",结果表!K120,"——")</f>
        <v>故，本次评估不存在估价师知悉的法定优先受偿款</v>
      </c>
      <c r="B18" s="3049"/>
      <c r="C18" s="3049"/>
      <c r="D18" s="3049"/>
    </row>
    <row r="19" spans="1:4" ht="46.5" customHeight="1">
      <c r="A19" s="30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9"/>
      <c r="C19" s="3049"/>
      <c r="D19" s="3049"/>
    </row>
    <row r="20" spans="1:4" ht="57.75" customHeight="1">
      <c r="A20" s="30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9"/>
      <c r="C20" s="3049"/>
      <c r="D20" s="3049"/>
    </row>
    <row r="21" spans="1:4" ht="57.75" customHeight="1">
      <c r="A21" s="30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3"/>
      <c r="C21" s="3053"/>
      <c r="D21" s="3053"/>
    </row>
    <row r="22" spans="1:4" ht="18.75" customHeight="1">
      <c r="A22" s="3054" t="s">
        <v>1658</v>
      </c>
      <c r="B22" s="3054"/>
      <c r="C22" s="3054"/>
      <c r="D22" s="3054"/>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51">
        <v>42551</v>
      </c>
      <c r="D31" s="305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60" t="s">
        <v>1669</v>
      </c>
      <c r="B15" s="3055" t="s">
        <v>136</v>
      </c>
      <c r="C15" s="3056"/>
    </row>
    <row r="16" spans="1:7" ht="13.5">
      <c r="A16" s="3061"/>
      <c r="B16" s="3055" t="s">
        <v>69</v>
      </c>
      <c r="C16" s="3056"/>
    </row>
    <row r="17" spans="1:3" ht="13.5">
      <c r="A17" s="3061"/>
      <c r="B17" s="3058" t="s">
        <v>1670</v>
      </c>
      <c r="C17" s="1998" t="s">
        <v>1669</v>
      </c>
    </row>
    <row r="18" spans="1:3" ht="13.5">
      <c r="A18" s="3061"/>
      <c r="B18" s="3058"/>
      <c r="C18" s="1998" t="s">
        <v>1671</v>
      </c>
    </row>
    <row r="19" spans="1:3" ht="13.5">
      <c r="A19" s="3061"/>
      <c r="B19" s="3058"/>
      <c r="C19" s="1998" t="s">
        <v>1672</v>
      </c>
    </row>
    <row r="20" spans="1:3" ht="13.5">
      <c r="A20" s="3062"/>
      <c r="B20" s="3057" t="s">
        <v>1673</v>
      </c>
      <c r="C20" s="3056"/>
    </row>
    <row r="21" spans="1:3" ht="13.5">
      <c r="A21" s="1999" t="s">
        <v>1674</v>
      </c>
      <c r="B21" s="2000"/>
      <c r="C21" s="2001"/>
    </row>
    <row r="22" spans="1:3" ht="13.5">
      <c r="A22" s="3059" t="s">
        <v>1675</v>
      </c>
      <c r="B22" s="3057" t="s">
        <v>1676</v>
      </c>
      <c r="C22" s="3056"/>
    </row>
    <row r="23" spans="1:3" ht="13.5">
      <c r="A23" s="3059"/>
      <c r="B23" s="3057" t="s">
        <v>1677</v>
      </c>
      <c r="C23" s="3056"/>
    </row>
    <row r="24" spans="1:3" ht="13.5">
      <c r="A24" s="3059"/>
      <c r="B24" s="3057" t="s">
        <v>1678</v>
      </c>
      <c r="C24" s="3056"/>
    </row>
    <row r="25" spans="1:3" ht="13.5">
      <c r="A25" s="3059"/>
      <c r="B25" s="3058" t="s">
        <v>1679</v>
      </c>
      <c r="C25" s="1998" t="s">
        <v>1680</v>
      </c>
    </row>
    <row r="26" spans="1:3" ht="13.5">
      <c r="A26" s="3059"/>
      <c r="B26" s="3058"/>
      <c r="C26" s="1998" t="s">
        <v>1681</v>
      </c>
    </row>
    <row r="27" spans="1:3" ht="13.5">
      <c r="A27" s="3059"/>
      <c r="B27" s="3058"/>
      <c r="C27" s="1998" t="s">
        <v>1682</v>
      </c>
    </row>
    <row r="28" spans="1:3" ht="13.5">
      <c r="A28" s="3059"/>
      <c r="B28" s="3058"/>
      <c r="C28" s="1998" t="s">
        <v>1683</v>
      </c>
    </row>
    <row r="29" spans="1:3" ht="13.5">
      <c r="A29" s="3059"/>
      <c r="B29" s="3058"/>
      <c r="C29" s="1998" t="s">
        <v>1684</v>
      </c>
    </row>
    <row r="30" spans="1:3" ht="13.5">
      <c r="A30" s="3059"/>
      <c r="B30" s="3058"/>
      <c r="C30" s="1998" t="s">
        <v>1685</v>
      </c>
    </row>
    <row r="31" spans="1:3" ht="13.5">
      <c r="A31" s="3059"/>
      <c r="B31" s="3058"/>
      <c r="C31" s="1998" t="s">
        <v>1686</v>
      </c>
    </row>
    <row r="32" spans="1:3" ht="13.5">
      <c r="A32" s="3059"/>
      <c r="B32" s="3058"/>
      <c r="C32" s="1998" t="s">
        <v>1687</v>
      </c>
    </row>
    <row r="33" spans="1:3" ht="13.5">
      <c r="A33" s="3059"/>
      <c r="B33" s="3058"/>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43285</v>
      </c>
      <c r="C2" s="1021" t="s">
        <v>826</v>
      </c>
      <c r="D2" s="1021"/>
    </row>
    <row r="3" spans="1:6" ht="24" customHeight="1">
      <c r="A3" s="1022" t="s">
        <v>827</v>
      </c>
      <c r="B3" s="1023" t="s">
        <v>828</v>
      </c>
      <c r="C3" s="2341" t="s">
        <v>829</v>
      </c>
      <c r="D3" s="2344" t="s">
        <v>830</v>
      </c>
      <c r="E3" s="1024" t="s">
        <v>831</v>
      </c>
      <c r="F3" s="1023" t="s">
        <v>829</v>
      </c>
    </row>
    <row r="4" spans="1:6" ht="24" customHeight="1">
      <c r="A4" s="1702" t="s">
        <v>832</v>
      </c>
      <c r="B4" s="1024">
        <f ca="1">IF(C4&lt;B2,"已过期",1119970066)</f>
        <v>1119970066</v>
      </c>
      <c r="C4" s="2342">
        <v>43849</v>
      </c>
      <c r="D4" s="2345" t="s">
        <v>832</v>
      </c>
      <c r="E4" s="1024">
        <f ca="1">IF(F4&lt;B2,"已过期",96010014)</f>
        <v>96010014</v>
      </c>
      <c r="F4" s="1032">
        <v>47118</v>
      </c>
    </row>
    <row r="5" spans="1:6" ht="24" customHeight="1">
      <c r="A5" s="1702" t="s">
        <v>833</v>
      </c>
      <c r="B5" s="1024">
        <f ca="1">IF(C5&lt;B2,"已过期",1119970074)</f>
        <v>1119970074</v>
      </c>
      <c r="C5" s="2342">
        <v>43849</v>
      </c>
      <c r="D5" s="2345" t="s">
        <v>833</v>
      </c>
      <c r="E5" s="1024">
        <f ca="1">IF(F5&lt;B2,"已过期",2002110027)</f>
        <v>2002110027</v>
      </c>
      <c r="F5" s="1032">
        <v>46752</v>
      </c>
    </row>
    <row r="6" spans="1:6" ht="24" customHeight="1">
      <c r="A6" s="1702" t="s">
        <v>834</v>
      </c>
      <c r="B6" s="1024">
        <f ca="1">IF(C6&lt;B2,"已过期",1119970111)</f>
        <v>1119970111</v>
      </c>
      <c r="C6" s="2342">
        <v>43849</v>
      </c>
      <c r="D6" s="2345" t="s">
        <v>834</v>
      </c>
      <c r="E6" s="1024">
        <f ca="1">IF(F6&lt;B2,"已过期",94010078)</f>
        <v>94010078</v>
      </c>
      <c r="F6" s="1032">
        <v>46387</v>
      </c>
    </row>
    <row r="7" spans="1:6" ht="24" customHeight="1">
      <c r="A7" s="1702" t="s">
        <v>835</v>
      </c>
      <c r="B7" s="1024">
        <f ca="1">IF(C7&lt;B2,"已过期",1120050019)</f>
        <v>1120050019</v>
      </c>
      <c r="C7" s="2342">
        <v>43359</v>
      </c>
      <c r="D7" s="2345" t="s">
        <v>835</v>
      </c>
      <c r="E7" s="1024">
        <f ca="1">IF(F7&lt;B2,"已过期",2002110030)</f>
        <v>2002110030</v>
      </c>
      <c r="F7" s="1032">
        <v>46387</v>
      </c>
    </row>
    <row r="8" spans="1:6" ht="24" customHeight="1">
      <c r="A8" s="1702" t="s">
        <v>836</v>
      </c>
      <c r="B8" s="1024">
        <f ca="1">IF(C8&lt;B2,"已过期",1120000080)</f>
        <v>1120000080</v>
      </c>
      <c r="C8" s="2342">
        <v>43849</v>
      </c>
      <c r="D8" s="2345" t="s">
        <v>836</v>
      </c>
      <c r="E8" s="1024">
        <f ca="1">IF(F8&lt;B2,"已过期",2000110082)</f>
        <v>2000110082</v>
      </c>
      <c r="F8" s="1032">
        <v>46387</v>
      </c>
    </row>
    <row r="9" spans="1:6" ht="24" customHeight="1">
      <c r="A9" s="1702" t="s">
        <v>837</v>
      </c>
      <c r="B9" s="1024">
        <f ca="1">IF(C9&lt;B2,"已过期",1419970001)</f>
        <v>1419970001</v>
      </c>
      <c r="C9" s="2342">
        <v>43867</v>
      </c>
      <c r="D9" s="2345" t="s">
        <v>837</v>
      </c>
      <c r="E9" s="1024">
        <f ca="1">IF(F9&lt;B2,"已过期",2002110125)</f>
        <v>2002110125</v>
      </c>
      <c r="F9" s="1032">
        <v>47118</v>
      </c>
    </row>
    <row r="10" spans="1:6" ht="24" customHeight="1">
      <c r="A10" s="1702" t="s">
        <v>838</v>
      </c>
      <c r="B10" s="1024">
        <f ca="1">IF(C10&lt;B2,"已过期",1120060040)</f>
        <v>1120060040</v>
      </c>
      <c r="C10" s="2342">
        <v>43483</v>
      </c>
      <c r="D10" s="2345" t="s">
        <v>838</v>
      </c>
      <c r="E10" s="1024">
        <f ca="1">IF(F10&lt;B2,"已过期",2004110096)</f>
        <v>2004110096</v>
      </c>
      <c r="F10" s="1032">
        <v>47118</v>
      </c>
    </row>
    <row r="11" spans="1:6" ht="24" customHeight="1">
      <c r="A11" s="1702" t="s">
        <v>839</v>
      </c>
      <c r="B11" s="1024">
        <f ca="1">IF(C11&lt;B2,"已过期",1120100036)</f>
        <v>1120100036</v>
      </c>
      <c r="C11" s="2342">
        <v>43622</v>
      </c>
      <c r="D11" s="2345" t="s">
        <v>839</v>
      </c>
      <c r="E11" s="1024">
        <f ca="1">IF(F11&lt;B2,"已过期",2010110070)</f>
        <v>2010110070</v>
      </c>
      <c r="F11" s="1032">
        <v>47907</v>
      </c>
    </row>
    <row r="12" spans="1:6" ht="24" customHeight="1">
      <c r="A12" s="1702" t="s">
        <v>3036</v>
      </c>
      <c r="B12" s="1024">
        <v>1120110054</v>
      </c>
      <c r="C12" s="2936">
        <v>43937</v>
      </c>
      <c r="D12" s="1702" t="s">
        <v>3036</v>
      </c>
      <c r="E12" s="1024">
        <v>2008110060</v>
      </c>
      <c r="F12" s="1032">
        <v>47177</v>
      </c>
    </row>
    <row r="13" spans="1:6" ht="24" customHeight="1">
      <c r="A13" s="1702" t="s">
        <v>840</v>
      </c>
      <c r="B13" s="1024">
        <f ca="1">IF(C13&lt;B2,"已过期",1120070131)</f>
        <v>1120070131</v>
      </c>
      <c r="C13" s="2342">
        <v>43814</v>
      </c>
      <c r="D13" s="2345" t="s">
        <v>840</v>
      </c>
      <c r="E13" s="1024">
        <v>2014110011</v>
      </c>
      <c r="F13" s="1032">
        <v>49302</v>
      </c>
    </row>
    <row r="14" spans="1:6" ht="24" customHeight="1">
      <c r="A14" s="1702" t="s">
        <v>841</v>
      </c>
      <c r="B14" s="1024">
        <f ca="1">IF(C14&lt;B2,"已过期",1120130020)</f>
        <v>1120130020</v>
      </c>
      <c r="C14" s="2342">
        <v>43622</v>
      </c>
      <c r="D14" s="2345"/>
      <c r="E14" s="1024"/>
      <c r="F14" s="1024"/>
    </row>
    <row r="15" spans="1:6" ht="24" customHeight="1">
      <c r="A15" s="1703" t="s">
        <v>1149</v>
      </c>
      <c r="B15" s="1024">
        <v>1120070085</v>
      </c>
      <c r="C15" s="2342">
        <v>43814</v>
      </c>
      <c r="D15" s="2346" t="s">
        <v>1149</v>
      </c>
      <c r="E15" s="1024">
        <v>2004110128</v>
      </c>
      <c r="F15" s="1025">
        <v>47118</v>
      </c>
    </row>
    <row r="16" spans="1:6" ht="24" customHeight="1">
      <c r="A16" s="1702" t="s">
        <v>842</v>
      </c>
      <c r="B16" s="1024">
        <f ca="1">IF(C16&lt;B2,"已过期",1120140022)</f>
        <v>1120140022</v>
      </c>
      <c r="C16" s="2342">
        <v>44029</v>
      </c>
      <c r="D16" s="2345" t="s">
        <v>842</v>
      </c>
      <c r="E16" s="1024">
        <f ca="1">IF(F16&lt;B2,"已过期",2008110059)</f>
        <v>2008110059</v>
      </c>
      <c r="F16" s="1032">
        <v>47177</v>
      </c>
    </row>
    <row r="17" spans="1:7" ht="24" customHeight="1">
      <c r="A17" s="1702"/>
      <c r="B17" s="1024"/>
      <c r="C17" s="2342"/>
      <c r="D17" s="2345"/>
      <c r="E17" s="1024"/>
      <c r="F17" s="1032"/>
    </row>
    <row r="18" spans="1:7" ht="24" customHeight="1">
      <c r="A18" s="1702"/>
      <c r="B18" s="1024"/>
      <c r="C18" s="2342"/>
      <c r="D18" s="2345"/>
      <c r="E18" s="1024"/>
      <c r="F18" s="1032"/>
    </row>
    <row r="19" spans="1:7" ht="24" customHeight="1">
      <c r="A19" s="1702"/>
      <c r="B19" s="1024"/>
      <c r="C19" s="2342"/>
      <c r="D19" s="2345"/>
      <c r="E19" s="1024"/>
      <c r="F19" s="1024"/>
    </row>
    <row r="20" spans="1:7" ht="24" customHeight="1">
      <c r="A20" s="1702"/>
      <c r="B20" s="1024"/>
      <c r="C20" s="2342"/>
      <c r="D20" s="2345"/>
      <c r="E20" s="1024"/>
      <c r="F20" s="1024"/>
    </row>
    <row r="21" spans="1:7" ht="24" customHeight="1">
      <c r="A21" s="1702"/>
      <c r="B21" s="1024"/>
      <c r="C21" s="2342"/>
      <c r="D21" s="2345" t="s">
        <v>843</v>
      </c>
      <c r="E21" s="1024">
        <f ca="1">IF(F21&lt;B2,"已过期",2011110090)</f>
        <v>2011110090</v>
      </c>
      <c r="F21" s="1032">
        <v>48302</v>
      </c>
    </row>
    <row r="22" spans="1:7" ht="24" customHeight="1">
      <c r="A22" s="1702" t="s">
        <v>844</v>
      </c>
      <c r="B22" s="1024">
        <f ca="1">IF(C22&lt;B2,"已过期",1120020033)</f>
        <v>1120020033</v>
      </c>
      <c r="C22" s="2936">
        <v>44339</v>
      </c>
      <c r="D22" s="2345" t="s">
        <v>844</v>
      </c>
      <c r="E22" s="1024">
        <f ca="1">IF(F22&lt;B2,"已过期",2000110137)</f>
        <v>2000110137</v>
      </c>
      <c r="F22" s="1032">
        <v>46387</v>
      </c>
    </row>
    <row r="23" spans="1:7" ht="24" customHeight="1">
      <c r="A23" s="1702" t="s">
        <v>845</v>
      </c>
      <c r="B23" s="1024">
        <f ca="1">IF(C23&lt;B2,"已过期",1120130048)</f>
        <v>1120130048</v>
      </c>
      <c r="C23" s="2342">
        <v>43686</v>
      </c>
      <c r="D23" s="2345"/>
      <c r="E23" s="1024"/>
      <c r="F23" s="1024"/>
    </row>
    <row r="24" spans="1:7" s="1026" customFormat="1" ht="24" customHeight="1">
      <c r="A24" s="1703" t="s">
        <v>1333</v>
      </c>
      <c r="B24" s="1703" t="s">
        <v>1333</v>
      </c>
      <c r="C24" s="2343" t="s">
        <v>1333</v>
      </c>
      <c r="D24" s="2346" t="s">
        <v>1333</v>
      </c>
      <c r="E24" s="1703" t="s">
        <v>1333</v>
      </c>
      <c r="F24" s="1703" t="s">
        <v>1333</v>
      </c>
    </row>
    <row r="25" spans="1:7" ht="24" customHeight="1">
      <c r="A25" s="3063" t="s">
        <v>846</v>
      </c>
      <c r="B25" s="3063"/>
      <c r="C25" s="3063"/>
      <c r="D25" s="3063"/>
      <c r="E25" s="3063"/>
      <c r="F25" s="3063"/>
      <c r="G25" s="3063"/>
    </row>
    <row r="26" spans="1:7" s="1027" customFormat="1" ht="24" customHeight="1">
      <c r="A26" s="3064" t="s">
        <v>847</v>
      </c>
      <c r="B26" s="3064"/>
      <c r="C26" s="3065"/>
      <c r="D26" s="3066" t="s">
        <v>848</v>
      </c>
      <c r="E26" s="3064"/>
      <c r="F26" s="3064"/>
    </row>
    <row r="27" spans="1:7" s="1029" customFormat="1" ht="24" customHeight="1">
      <c r="A27" s="1028" t="s">
        <v>849</v>
      </c>
      <c r="B27" s="1023" t="s">
        <v>850</v>
      </c>
      <c r="C27" s="2341" t="s">
        <v>851</v>
      </c>
      <c r="D27" s="2349" t="s">
        <v>849</v>
      </c>
      <c r="E27" s="1023" t="s">
        <v>850</v>
      </c>
      <c r="F27" s="1023" t="s">
        <v>851</v>
      </c>
    </row>
    <row r="28" spans="1:7" s="1029" customFormat="1" ht="24" customHeight="1">
      <c r="A28" s="1030" t="s">
        <v>852</v>
      </c>
      <c r="B28" s="1031" t="s">
        <v>853</v>
      </c>
      <c r="C28" s="2347">
        <v>43725</v>
      </c>
      <c r="D28" s="2350" t="s">
        <v>854</v>
      </c>
      <c r="E28" s="1030" t="s">
        <v>855</v>
      </c>
      <c r="F28" s="1060">
        <v>44377</v>
      </c>
    </row>
    <row r="29" spans="1:7" s="1029" customFormat="1" ht="24" customHeight="1">
      <c r="A29" s="1030"/>
      <c r="B29" s="1030"/>
      <c r="C29" s="2348"/>
      <c r="D29" s="2350" t="s">
        <v>856</v>
      </c>
      <c r="E29" s="1202" t="s">
        <v>1384</v>
      </c>
      <c r="F29" s="1203">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148</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比较法-商业 (租金)</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vt:lpstr>
      <vt:lpstr>清单</vt:lpstr>
      <vt:lpstr>案例</vt:lpstr>
      <vt:lpstr>剩余房源售价清单</vt:lpstr>
      <vt:lpstr>抵押物清单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2018-07-04T02:11:22Z</dcterms:modified>
</cp:coreProperties>
</file>