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r:id="rId22"/>
    <sheet name="基准地价修正车" sheetId="84" r:id="rId23"/>
    <sheet name="基准地价（汇总）" sheetId="76" r:id="rId24"/>
    <sheet name="成本法" sheetId="68" r:id="rId25"/>
    <sheet name="成本法 (元)" sheetId="69" state="hidden" r:id="rId26"/>
    <sheet name="假设开发法" sheetId="12" state="hidden" r:id="rId27"/>
    <sheet name="收益法（汇总）" sheetId="70" r:id="rId28"/>
    <sheet name="收益法" sheetId="15" r:id="rId29"/>
    <sheet name="收益法 (元)" sheetId="67" state="hidden" r:id="rId30"/>
    <sheet name="收益法-酒店模型" sheetId="77" state="hidden" r:id="rId31"/>
    <sheet name="收益法办"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23">'基准地价（汇总）'!$A$1:$E$13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2">基准地价修正车!$A$1:$J$44,基准地价修正车!$A$47:$H$101,基准地价修正车!$R$1:$V$16</definedName>
    <definedName name="_xlnm.Print_Area" localSheetId="26">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27">'收益法（汇总）'!$A$1:$F$13</definedName>
    <definedName name="_xlnm.Print_Area" localSheetId="31">收益法办!$A$1:$F$43,收益法办!$H$3:$M$29,收益法办!$A$46:$F$71,收益法办!$I$46:$N$65</definedName>
    <definedName name="_xlnm.Print_Area" localSheetId="15">'数据-汇总表'!$A$1:$P$32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 localSheetId="22">基准地价修正车!$Q$19:$AD$19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V22" i="1" l="1"/>
  <c r="V23" i="1" l="1"/>
  <c r="I24" i="84"/>
  <c r="D42" i="43"/>
  <c r="G20" i="6"/>
  <c r="F20" i="6"/>
  <c r="U23" i="1"/>
  <c r="U22" i="1"/>
  <c r="U21" i="1"/>
  <c r="U20" i="1"/>
  <c r="P22" i="1"/>
  <c r="P21" i="1"/>
  <c r="P20" i="1"/>
  <c r="Q24" i="1"/>
  <c r="D893" i="82"/>
  <c r="D891" i="82"/>
  <c r="D892" i="82"/>
  <c r="Q21" i="1" l="1"/>
  <c r="F19" i="6"/>
  <c r="S21" i="3"/>
  <c r="C49" i="80"/>
  <c r="H40" i="80" l="1"/>
  <c r="M18" i="3"/>
  <c r="E40" i="80"/>
  <c r="F40" i="80"/>
  <c r="D417" i="82"/>
  <c r="E39" i="80"/>
  <c r="I40" i="80"/>
  <c r="I36" i="80"/>
  <c r="C40" i="80"/>
  <c r="H16" i="80"/>
  <c r="N6" i="1"/>
  <c r="V7" i="1" l="1"/>
  <c r="W7" i="1"/>
  <c r="D33" i="84"/>
  <c r="I39" i="80"/>
  <c r="I38" i="80"/>
  <c r="I37" i="80"/>
  <c r="H39" i="80"/>
  <c r="H38" i="80"/>
  <c r="H37" i="80"/>
  <c r="H36" i="80"/>
  <c r="Q72" i="85"/>
  <c r="Q59" i="85"/>
  <c r="K59" i="85"/>
  <c r="P74" i="85" s="1"/>
  <c r="Q58" i="85"/>
  <c r="Q51" i="85"/>
  <c r="J50" i="85"/>
  <c r="J51" i="85" s="1"/>
  <c r="J49" i="85"/>
  <c r="M47" i="85"/>
  <c r="D46" i="85"/>
  <c r="F34" i="85"/>
  <c r="F62" i="85" s="1"/>
  <c r="F33" i="85"/>
  <c r="F61" i="85" s="1"/>
  <c r="F32" i="85"/>
  <c r="F60" i="85" s="1"/>
  <c r="F28" i="85"/>
  <c r="C28" i="85" s="1"/>
  <c r="F23" i="85"/>
  <c r="D24" i="85" s="1"/>
  <c r="D23" i="85"/>
  <c r="F21" i="85"/>
  <c r="M20" i="85"/>
  <c r="F20" i="85"/>
  <c r="M19" i="85"/>
  <c r="M18" i="85"/>
  <c r="F18" i="85"/>
  <c r="F17" i="85"/>
  <c r="F15" i="85"/>
  <c r="Q16" i="3"/>
  <c r="O15" i="3"/>
  <c r="K17" i="3"/>
  <c r="I15" i="3"/>
  <c r="I16" i="3"/>
  <c r="I14" i="3"/>
  <c r="I13" i="3"/>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N100" i="84"/>
  <c r="M100" i="84"/>
  <c r="K100" i="84"/>
  <c r="J100" i="84" s="1"/>
  <c r="D100" i="84"/>
  <c r="B100" i="84"/>
  <c r="N99" i="84"/>
  <c r="M99" i="84"/>
  <c r="K99" i="84"/>
  <c r="J99" i="84"/>
  <c r="D99" i="84"/>
  <c r="B99" i="84"/>
  <c r="N98" i="84"/>
  <c r="M98" i="84"/>
  <c r="K98" i="84"/>
  <c r="J98" i="84"/>
  <c r="D98" i="84"/>
  <c r="M97" i="84"/>
  <c r="N97" i="84" s="1"/>
  <c r="K97" i="84"/>
  <c r="J97" i="84" s="1"/>
  <c r="D97" i="84"/>
  <c r="B97" i="84"/>
  <c r="M96" i="84"/>
  <c r="N96" i="84" s="1"/>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M90" i="84"/>
  <c r="N90" i="84" s="1"/>
  <c r="K90" i="84"/>
  <c r="J90" i="84" s="1"/>
  <c r="D90" i="84"/>
  <c r="B90" i="84"/>
  <c r="M89" i="84"/>
  <c r="N89" i="84" s="1"/>
  <c r="K89" i="84"/>
  <c r="J89" i="84" s="1"/>
  <c r="D89" i="84"/>
  <c r="M88" i="84"/>
  <c r="N88" i="84" s="1"/>
  <c r="K88" i="84"/>
  <c r="J88" i="84"/>
  <c r="D88" i="84"/>
  <c r="B88" i="84"/>
  <c r="M87" i="84"/>
  <c r="N87" i="84" s="1"/>
  <c r="K87" i="84"/>
  <c r="J87" i="84" s="1"/>
  <c r="D87" i="84"/>
  <c r="B87" i="84"/>
  <c r="M86" i="84"/>
  <c r="N86" i="84" s="1"/>
  <c r="K86" i="84"/>
  <c r="J86" i="84" s="1"/>
  <c r="D86" i="84"/>
  <c r="B86" i="84"/>
  <c r="M85" i="84"/>
  <c r="N85" i="84" s="1"/>
  <c r="K85" i="84"/>
  <c r="D85" i="84" s="1"/>
  <c r="B85" i="84"/>
  <c r="N84" i="84"/>
  <c r="M84" i="84"/>
  <c r="K84" i="84"/>
  <c r="J84" i="84"/>
  <c r="D84" i="84"/>
  <c r="B84" i="84"/>
  <c r="M83" i="84"/>
  <c r="N83" i="84" s="1"/>
  <c r="K83" i="84"/>
  <c r="J83" i="84" s="1"/>
  <c r="D83" i="84"/>
  <c r="B83" i="84"/>
  <c r="N80" i="84"/>
  <c r="M80" i="84"/>
  <c r="K80" i="84"/>
  <c r="J80" i="84"/>
  <c r="D80" i="84"/>
  <c r="M79" i="84"/>
  <c r="N79" i="84" s="1"/>
  <c r="K79" i="84"/>
  <c r="J79" i="84" s="1"/>
  <c r="D79" i="84"/>
  <c r="B79" i="84"/>
  <c r="M78" i="84"/>
  <c r="N78" i="84" s="1"/>
  <c r="K78" i="84"/>
  <c r="J78" i="84" s="1"/>
  <c r="D78" i="84"/>
  <c r="N77" i="84"/>
  <c r="M77" i="84"/>
  <c r="K77" i="84"/>
  <c r="J77" i="84"/>
  <c r="D77" i="84"/>
  <c r="B77" i="84"/>
  <c r="M76" i="84"/>
  <c r="N76" i="84" s="1"/>
  <c r="K76" i="84"/>
  <c r="J76" i="84" s="1"/>
  <c r="D76" i="84"/>
  <c r="B76" i="84"/>
  <c r="M75" i="84"/>
  <c r="N75" i="84" s="1"/>
  <c r="K75" i="84"/>
  <c r="J75" i="84" s="1"/>
  <c r="D75" i="84"/>
  <c r="B75" i="84"/>
  <c r="N74" i="84"/>
  <c r="M74" i="84"/>
  <c r="K74" i="84"/>
  <c r="J74" i="84"/>
  <c r="D74" i="84"/>
  <c r="B74" i="84"/>
  <c r="N73" i="84"/>
  <c r="M73" i="84"/>
  <c r="K73" i="84"/>
  <c r="J73" i="84"/>
  <c r="D73" i="84"/>
  <c r="B73" i="84"/>
  <c r="M72" i="84"/>
  <c r="N72" i="84" s="1"/>
  <c r="K72" i="84"/>
  <c r="J72" i="84" s="1"/>
  <c r="F72" i="84"/>
  <c r="H77" i="84" s="1"/>
  <c r="E72" i="84"/>
  <c r="B70" i="84" s="1"/>
  <c r="D72" i="84"/>
  <c r="B72" i="84"/>
  <c r="N69" i="84"/>
  <c r="M69" i="84"/>
  <c r="K69" i="84"/>
  <c r="J69" i="84"/>
  <c r="D69" i="84"/>
  <c r="B69" i="84"/>
  <c r="M68" i="84"/>
  <c r="N68" i="84" s="1"/>
  <c r="K68" i="84"/>
  <c r="J68" i="84" s="1"/>
  <c r="D68" i="84"/>
  <c r="B68" i="84"/>
  <c r="M67" i="84"/>
  <c r="N67" i="84" s="1"/>
  <c r="K67" i="84"/>
  <c r="J67" i="84" s="1"/>
  <c r="D67" i="84"/>
  <c r="B67" i="84"/>
  <c r="N66" i="84"/>
  <c r="M66" i="84"/>
  <c r="K66" i="84"/>
  <c r="J66" i="84"/>
  <c r="D66" i="84"/>
  <c r="M65" i="84"/>
  <c r="N65" i="84" s="1"/>
  <c r="K65" i="84"/>
  <c r="J65" i="84"/>
  <c r="D65" i="84"/>
  <c r="B65" i="84"/>
  <c r="M64" i="84"/>
  <c r="N64" i="84" s="1"/>
  <c r="K64" i="84"/>
  <c r="J64" i="84" s="1"/>
  <c r="D64" i="84"/>
  <c r="N63" i="84"/>
  <c r="M63" i="84"/>
  <c r="K63" i="84"/>
  <c r="J63" i="84"/>
  <c r="D63" i="84"/>
  <c r="B63" i="84"/>
  <c r="M62" i="84"/>
  <c r="N62" i="84" s="1"/>
  <c r="K62" i="84"/>
  <c r="J62" i="84" s="1"/>
  <c r="D62" i="84"/>
  <c r="B62" i="84"/>
  <c r="M61" i="84"/>
  <c r="N61" i="84" s="1"/>
  <c r="K61" i="84"/>
  <c r="J61" i="84" s="1"/>
  <c r="F61" i="84"/>
  <c r="H68" i="84" s="1"/>
  <c r="E61" i="84"/>
  <c r="B59" i="84" s="1"/>
  <c r="D61" i="84"/>
  <c r="B61" i="84"/>
  <c r="N58" i="84"/>
  <c r="M58" i="84"/>
  <c r="K58" i="84"/>
  <c r="J58" i="84"/>
  <c r="D58" i="84"/>
  <c r="B58" i="84"/>
  <c r="M57" i="84"/>
  <c r="N57" i="84" s="1"/>
  <c r="K57" i="84"/>
  <c r="J57" i="84" s="1"/>
  <c r="D57" i="84" s="1"/>
  <c r="B57" i="84"/>
  <c r="M56" i="84"/>
  <c r="N56" i="84" s="1"/>
  <c r="K56" i="84"/>
  <c r="B56" i="84"/>
  <c r="N55" i="84"/>
  <c r="M55" i="84"/>
  <c r="K55" i="84"/>
  <c r="D55" i="84" s="1"/>
  <c r="J55" i="84"/>
  <c r="M54" i="84"/>
  <c r="N54" i="84" s="1"/>
  <c r="K54" i="84"/>
  <c r="J54" i="84" s="1"/>
  <c r="D54" i="84"/>
  <c r="B54" i="84"/>
  <c r="M53" i="84"/>
  <c r="N53" i="84" s="1"/>
  <c r="K53" i="84"/>
  <c r="N52" i="84"/>
  <c r="M52" i="84"/>
  <c r="K52" i="84"/>
  <c r="J52" i="84"/>
  <c r="D52" i="84"/>
  <c r="B52" i="84"/>
  <c r="M51" i="84"/>
  <c r="N51" i="84" s="1"/>
  <c r="K51" i="84"/>
  <c r="J51" i="84" s="1"/>
  <c r="D51" i="84"/>
  <c r="B51" i="84"/>
  <c r="M50" i="84"/>
  <c r="N50" i="84" s="1"/>
  <c r="K50" i="84"/>
  <c r="B50" i="84"/>
  <c r="G44" i="84"/>
  <c r="H42" i="84"/>
  <c r="H41" i="84"/>
  <c r="H40" i="84"/>
  <c r="H39" i="84"/>
  <c r="H38" i="84"/>
  <c r="H37" i="84"/>
  <c r="P29" i="84"/>
  <c r="P27" i="84"/>
  <c r="P25" i="84"/>
  <c r="M24" i="84"/>
  <c r="J24" i="84"/>
  <c r="G24" i="84"/>
  <c r="E44" i="84" s="1"/>
  <c r="C44" i="84" s="1"/>
  <c r="E24" i="84"/>
  <c r="P32" i="84" s="1"/>
  <c r="O23" i="84"/>
  <c r="M23" i="84"/>
  <c r="I23" i="84"/>
  <c r="G23" i="84"/>
  <c r="C23" i="84"/>
  <c r="C22" i="84"/>
  <c r="C20" i="84"/>
  <c r="G17" i="84"/>
  <c r="C17" i="84"/>
  <c r="C13" i="84"/>
  <c r="AF10" i="84"/>
  <c r="AB10" i="84"/>
  <c r="AA10" i="84"/>
  <c r="Y10" i="84"/>
  <c r="C10" i="84"/>
  <c r="C11" i="84" s="1"/>
  <c r="AJ9" i="84"/>
  <c r="AJ10" i="84" s="1"/>
  <c r="AI9" i="84"/>
  <c r="AI10" i="84" s="1"/>
  <c r="AH9" i="84"/>
  <c r="AH10" i="84" s="1"/>
  <c r="AG9" i="84"/>
  <c r="AG10" i="84" s="1"/>
  <c r="AF9" i="84"/>
  <c r="AE9" i="84"/>
  <c r="AE10" i="84" s="1"/>
  <c r="AD9" i="84"/>
  <c r="AD10" i="84" s="1"/>
  <c r="AC9" i="84"/>
  <c r="AC10" i="84" s="1"/>
  <c r="AB9" i="84"/>
  <c r="AA9" i="84"/>
  <c r="Z9" i="84"/>
  <c r="Z10" i="84" s="1"/>
  <c r="C9" i="84"/>
  <c r="C7" i="84"/>
  <c r="I2" i="84"/>
  <c r="N11" i="84" s="1"/>
  <c r="G2" i="84"/>
  <c r="S5" i="84" s="1"/>
  <c r="D1" i="84"/>
  <c r="D33" i="83"/>
  <c r="C46" i="80"/>
  <c r="G37" i="80"/>
  <c r="G38" i="80"/>
  <c r="G39" i="80"/>
  <c r="G40" i="80"/>
  <c r="G41" i="80"/>
  <c r="G43" i="80"/>
  <c r="G36" i="80"/>
  <c r="U5" i="43"/>
  <c r="U4" i="43"/>
  <c r="U3" i="43"/>
  <c r="U2" i="43"/>
  <c r="F44" i="80"/>
  <c r="D37" i="43"/>
  <c r="D33" i="4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G44" i="83"/>
  <c r="H42" i="83"/>
  <c r="H41" i="83"/>
  <c r="H40" i="83"/>
  <c r="H39" i="83"/>
  <c r="H38" i="83"/>
  <c r="H37" i="83"/>
  <c r="N32" i="83"/>
  <c r="J24" i="83"/>
  <c r="G24" i="83"/>
  <c r="G18" i="83" s="1"/>
  <c r="E24" i="83"/>
  <c r="M23" i="83"/>
  <c r="I23" i="83"/>
  <c r="G23" i="83"/>
  <c r="O23" i="83" s="1"/>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D1" i="83"/>
  <c r="D44" i="80"/>
  <c r="E44" i="80"/>
  <c r="G44" i="80" s="1"/>
  <c r="C44" i="80"/>
  <c r="E43" i="80"/>
  <c r="E42" i="80"/>
  <c r="F39" i="6" s="1"/>
  <c r="E41" i="80"/>
  <c r="C39" i="80"/>
  <c r="D38" i="80"/>
  <c r="C38" i="80"/>
  <c r="C37" i="80"/>
  <c r="C36" i="80"/>
  <c r="D890" i="82"/>
  <c r="D860" i="82"/>
  <c r="D830" i="82"/>
  <c r="D827" i="82"/>
  <c r="D776" i="82"/>
  <c r="D53" i="82"/>
  <c r="AK7" i="1"/>
  <c r="J29" i="80"/>
  <c r="J49" i="15"/>
  <c r="G44" i="43"/>
  <c r="G31" i="80"/>
  <c r="G30" i="80"/>
  <c r="D31" i="80"/>
  <c r="E31" i="80"/>
  <c r="F31" i="80"/>
  <c r="N7" i="1"/>
  <c r="Y7" i="1" s="1"/>
  <c r="L7" i="1"/>
  <c r="B35" i="1"/>
  <c r="B29" i="1"/>
  <c r="B21" i="1"/>
  <c r="G19" i="6"/>
  <c r="F38" i="6" s="1"/>
  <c r="C14" i="3"/>
  <c r="C15" i="3"/>
  <c r="C16" i="3"/>
  <c r="C17" i="3"/>
  <c r="C18" i="3"/>
  <c r="C19" i="3"/>
  <c r="C20" i="3"/>
  <c r="C13" i="3"/>
  <c r="D30" i="80"/>
  <c r="F27" i="80"/>
  <c r="E27" i="80"/>
  <c r="E26" i="80"/>
  <c r="E30" i="80" s="1"/>
  <c r="F30" i="80" s="1"/>
  <c r="H18" i="80"/>
  <c r="E9" i="80"/>
  <c r="D9" i="80"/>
  <c r="C6" i="80"/>
  <c r="E6" i="80" s="1"/>
  <c r="C5" i="80"/>
  <c r="E5" i="80" s="1"/>
  <c r="E4" i="80" s="1"/>
  <c r="J63" i="83" l="1"/>
  <c r="D64" i="83"/>
  <c r="D61" i="83"/>
  <c r="D62" i="83"/>
  <c r="D66" i="83"/>
  <c r="D65" i="83"/>
  <c r="I18" i="83"/>
  <c r="E17" i="83" s="1"/>
  <c r="E44" i="83"/>
  <c r="C44" i="83" s="1"/>
  <c r="H41" i="80"/>
  <c r="I41" i="80"/>
  <c r="J41" i="80" s="1"/>
  <c r="G42" i="80"/>
  <c r="C48" i="80"/>
  <c r="D22" i="85"/>
  <c r="J85" i="84"/>
  <c r="E83" i="84"/>
  <c r="B81" i="84" s="1"/>
  <c r="G18" i="84"/>
  <c r="I18" i="84"/>
  <c r="E17" i="84" s="1"/>
  <c r="P61" i="85"/>
  <c r="M5" i="83"/>
  <c r="M1" i="83"/>
  <c r="M4" i="83"/>
  <c r="M6" i="83"/>
  <c r="X7" i="84"/>
  <c r="D21" i="84"/>
  <c r="N3" i="83"/>
  <c r="M10" i="83"/>
  <c r="N2" i="83"/>
  <c r="F61" i="83" s="1"/>
  <c r="H68" i="83" s="1"/>
  <c r="M8" i="83"/>
  <c r="N10" i="83"/>
  <c r="N11" i="83"/>
  <c r="N6" i="83"/>
  <c r="N9" i="83"/>
  <c r="J21" i="84"/>
  <c r="S4" i="84"/>
  <c r="S6" i="84"/>
  <c r="K21" i="84"/>
  <c r="M21" i="84"/>
  <c r="M1" i="84"/>
  <c r="E21" i="84"/>
  <c r="O21" i="84"/>
  <c r="H63" i="84"/>
  <c r="E11" i="84"/>
  <c r="E8" i="84"/>
  <c r="E10" i="84"/>
  <c r="E9" i="84"/>
  <c r="N7" i="84"/>
  <c r="M11" i="84"/>
  <c r="N3" i="84"/>
  <c r="N9" i="84"/>
  <c r="H116" i="84"/>
  <c r="F42" i="84"/>
  <c r="L21" i="84"/>
  <c r="H21" i="84"/>
  <c r="C21" i="84"/>
  <c r="S2" i="84"/>
  <c r="S3" i="84"/>
  <c r="M4" i="84"/>
  <c r="M5" i="84"/>
  <c r="N6" i="84"/>
  <c r="M8" i="84"/>
  <c r="N10" i="84"/>
  <c r="I21" i="84"/>
  <c r="N21" i="84"/>
  <c r="P28" i="84"/>
  <c r="P26" i="84"/>
  <c r="C27" i="84"/>
  <c r="F37" i="84"/>
  <c r="M12" i="84"/>
  <c r="Q32" i="84"/>
  <c r="M32" i="84"/>
  <c r="F38" i="84"/>
  <c r="F39" i="84"/>
  <c r="N5" i="84"/>
  <c r="M7" i="84"/>
  <c r="N1" i="84"/>
  <c r="M9" i="84"/>
  <c r="N32" i="84"/>
  <c r="F40" i="84"/>
  <c r="F41" i="84"/>
  <c r="J50" i="84"/>
  <c r="D50" i="84"/>
  <c r="D56" i="84"/>
  <c r="J56" i="84"/>
  <c r="N4" i="84"/>
  <c r="N8" i="84"/>
  <c r="M2" i="84"/>
  <c r="C6" i="84" s="1"/>
  <c r="M3" i="84"/>
  <c r="N12" i="84"/>
  <c r="N2" i="84"/>
  <c r="F50" i="84" s="1"/>
  <c r="M6" i="84"/>
  <c r="M10" i="84"/>
  <c r="O32" i="84"/>
  <c r="D53" i="84"/>
  <c r="J53" i="84"/>
  <c r="H61" i="84"/>
  <c r="H64" i="84"/>
  <c r="H67" i="84"/>
  <c r="H72" i="84"/>
  <c r="H76" i="84"/>
  <c r="H79" i="84"/>
  <c r="H94" i="84"/>
  <c r="H97" i="84"/>
  <c r="H100" i="84"/>
  <c r="H66" i="84"/>
  <c r="H75" i="84"/>
  <c r="H78" i="84"/>
  <c r="H93" i="84"/>
  <c r="H96" i="84"/>
  <c r="H99" i="84"/>
  <c r="H69" i="84"/>
  <c r="H74" i="84"/>
  <c r="H80" i="84"/>
  <c r="H98" i="84"/>
  <c r="H62" i="84"/>
  <c r="H65" i="84"/>
  <c r="H73" i="84"/>
  <c r="H95" i="84"/>
  <c r="Y6" i="1"/>
  <c r="E11" i="83"/>
  <c r="E8" i="83"/>
  <c r="E10" i="83"/>
  <c r="E9" i="83"/>
  <c r="N4" i="83"/>
  <c r="N5" i="83"/>
  <c r="S6" i="83"/>
  <c r="M7" i="83"/>
  <c r="X7" i="83"/>
  <c r="N8" i="83"/>
  <c r="N1" i="83"/>
  <c r="M2" i="83"/>
  <c r="M3" i="83"/>
  <c r="S4" i="83"/>
  <c r="S5" i="83"/>
  <c r="C6" i="83"/>
  <c r="N7" i="83"/>
  <c r="M9" i="83"/>
  <c r="M11" i="83"/>
  <c r="N12" i="83"/>
  <c r="E21" i="83"/>
  <c r="K21" i="83"/>
  <c r="P25" i="83"/>
  <c r="P29" i="83"/>
  <c r="F39" i="83"/>
  <c r="C23" i="83"/>
  <c r="P28" i="83"/>
  <c r="P26" i="83"/>
  <c r="J50" i="83"/>
  <c r="D50" i="83"/>
  <c r="D56" i="83"/>
  <c r="J56" i="83"/>
  <c r="H116" i="83"/>
  <c r="F50" i="83"/>
  <c r="F40" i="83"/>
  <c r="F38" i="83"/>
  <c r="F37" i="83"/>
  <c r="F42" i="83"/>
  <c r="L21" i="83"/>
  <c r="H21" i="83"/>
  <c r="C21" i="83"/>
  <c r="S2" i="83"/>
  <c r="S3" i="83"/>
  <c r="I21" i="83"/>
  <c r="N21" i="83"/>
  <c r="C27" i="83"/>
  <c r="D21" i="83"/>
  <c r="J21" i="83"/>
  <c r="O21" i="83"/>
  <c r="P32" i="83"/>
  <c r="Q32" i="83"/>
  <c r="M32" i="83"/>
  <c r="M24" i="83"/>
  <c r="P27" i="83"/>
  <c r="O32" i="83"/>
  <c r="F41" i="83"/>
  <c r="D53" i="83"/>
  <c r="J53" i="83"/>
  <c r="H61" i="83"/>
  <c r="H64" i="83"/>
  <c r="H67" i="83"/>
  <c r="H72" i="83"/>
  <c r="H76" i="83"/>
  <c r="H79" i="83"/>
  <c r="H83" i="83"/>
  <c r="H87" i="83"/>
  <c r="H90" i="83"/>
  <c r="H94" i="83"/>
  <c r="H97" i="83"/>
  <c r="H100" i="83"/>
  <c r="H66" i="83"/>
  <c r="H75" i="83"/>
  <c r="H78" i="83"/>
  <c r="H86" i="83"/>
  <c r="H89" i="83"/>
  <c r="H93" i="83"/>
  <c r="H96" i="83"/>
  <c r="H99" i="83"/>
  <c r="H69" i="83"/>
  <c r="H74" i="83"/>
  <c r="H80" i="83"/>
  <c r="H85" i="83"/>
  <c r="H98" i="83"/>
  <c r="H62" i="83"/>
  <c r="H65" i="83"/>
  <c r="H73" i="83"/>
  <c r="H84" i="83"/>
  <c r="H95" i="83"/>
  <c r="C4" i="80"/>
  <c r="E61" i="83" l="1"/>
  <c r="B59" i="83" s="1"/>
  <c r="H63" i="83"/>
  <c r="F83" i="84"/>
  <c r="H57" i="84"/>
  <c r="H54" i="84"/>
  <c r="H51" i="84"/>
  <c r="H55" i="84"/>
  <c r="H56" i="84"/>
  <c r="H53" i="84"/>
  <c r="H50" i="84"/>
  <c r="H58" i="84"/>
  <c r="H52" i="84"/>
  <c r="D5" i="84"/>
  <c r="C5" i="84"/>
  <c r="E50" i="84"/>
  <c r="B48" i="84" s="1"/>
  <c r="C28" i="84" s="1"/>
  <c r="G21" i="84"/>
  <c r="H57" i="83"/>
  <c r="H54" i="83"/>
  <c r="H51" i="83"/>
  <c r="H55" i="83"/>
  <c r="H56" i="83"/>
  <c r="H53" i="83"/>
  <c r="H50" i="83"/>
  <c r="H58" i="83"/>
  <c r="H52" i="83"/>
  <c r="E50" i="83"/>
  <c r="B48" i="83" s="1"/>
  <c r="C28" i="83" s="1"/>
  <c r="D5" i="83"/>
  <c r="C5" i="83"/>
  <c r="G21" i="83"/>
  <c r="C7" i="80"/>
  <c r="E7" i="80" s="1"/>
  <c r="C10" i="80"/>
  <c r="C8" i="80"/>
  <c r="E8" i="80" s="1"/>
  <c r="D4" i="80"/>
  <c r="H88" i="84" l="1"/>
  <c r="H83" i="84"/>
  <c r="H87" i="84"/>
  <c r="H86" i="84"/>
  <c r="H85" i="84"/>
  <c r="H90" i="84"/>
  <c r="H89" i="84"/>
  <c r="H84" i="84"/>
  <c r="C42" i="84"/>
  <c r="C41" i="84"/>
  <c r="C41" i="83"/>
  <c r="C42" i="83"/>
  <c r="E10" i="80"/>
  <c r="D10" i="80" s="1"/>
  <c r="G10" i="80"/>
  <c r="E42" i="84" l="1"/>
  <c r="G42" i="84"/>
  <c r="I42" i="84" s="1"/>
  <c r="E41" i="84"/>
  <c r="G41" i="84"/>
  <c r="I41" i="84" s="1"/>
  <c r="E42" i="83"/>
  <c r="G42" i="83"/>
  <c r="I42" i="83" s="1"/>
  <c r="E41" i="83"/>
  <c r="G41" i="83"/>
  <c r="I41" i="83" s="1"/>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C24" i="84"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I24" i="83" s="1"/>
  <c r="C24" i="8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20" i="6"/>
  <c r="E21" i="6"/>
  <c r="K8" i="1" s="1"/>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A17" i="3" s="1"/>
  <c r="AZ17" i="3" s="1"/>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BN5" i="3"/>
  <c r="AZ343" i="3"/>
  <c r="BK5" i="3"/>
  <c r="BI5" i="3"/>
  <c r="BG5" i="3"/>
  <c r="G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32" i="6"/>
  <c r="G1" i="68"/>
  <c r="E19" i="69"/>
  <c r="E19" i="68"/>
  <c r="E19" i="11"/>
  <c r="E1" i="73"/>
  <c r="G22" i="69"/>
  <c r="G22" i="68"/>
  <c r="G26" i="12"/>
  <c r="G22" i="11"/>
  <c r="C6" i="43"/>
  <c r="B19" i="53"/>
  <c r="B37" i="72" s="1"/>
  <c r="C7" i="33"/>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F20" i="31"/>
  <c r="M6" i="15"/>
  <c r="E12" i="76"/>
  <c r="F36" i="15"/>
  <c r="M9" i="15"/>
  <c r="L47" i="15"/>
  <c r="B11" i="76"/>
  <c r="M22" i="15"/>
  <c r="F26" i="15"/>
  <c r="F4" i="73"/>
  <c r="B13" i="76"/>
  <c r="B9" i="76"/>
  <c r="M23" i="15"/>
  <c r="C76" i="15"/>
  <c r="M8" i="15"/>
  <c r="F16" i="15"/>
  <c r="D3" i="73"/>
  <c r="F3" i="73"/>
  <c r="F40" i="15"/>
  <c r="B12" i="76"/>
  <c r="F38" i="15"/>
  <c r="E11" i="76"/>
  <c r="F8" i="15"/>
  <c r="F9" i="15"/>
  <c r="D5" i="73"/>
  <c r="B10" i="76"/>
  <c r="M28" i="15"/>
  <c r="E9" i="76"/>
  <c r="F5" i="73"/>
  <c r="E13" i="76"/>
  <c r="F6" i="73"/>
  <c r="M26" i="15"/>
  <c r="F37" i="15"/>
  <c r="AO13" i="1"/>
  <c r="D4" i="73"/>
  <c r="E2" i="69"/>
  <c r="J15" i="15"/>
  <c r="F42" i="15"/>
  <c r="E10" i="76"/>
  <c r="F6" i="15"/>
  <c r="F13" i="15"/>
  <c r="D6" i="73"/>
  <c r="D7" i="73"/>
  <c r="L48" i="15"/>
  <c r="M24" i="15"/>
  <c r="E2" i="68"/>
  <c r="K7" i="1" l="1"/>
  <c r="BA24" i="3"/>
  <c r="F3" i="35"/>
  <c r="K13" i="1"/>
  <c r="M13" i="1" s="1"/>
  <c r="O13" i="1" s="1"/>
  <c r="P13" i="1" s="1"/>
  <c r="M8" i="1"/>
  <c r="AZ24" i="3"/>
  <c r="BA23" i="3"/>
  <c r="AZ23" i="3" s="1"/>
  <c r="BE5" i="3"/>
  <c r="BC5" i="3"/>
  <c r="C40" i="68"/>
  <c r="C40" i="69"/>
  <c r="C21" i="68"/>
  <c r="E10" i="1"/>
  <c r="G1" i="85"/>
  <c r="B9" i="1"/>
  <c r="E9" i="1" s="1"/>
  <c r="G1" i="67"/>
  <c r="K1" i="12"/>
  <c r="K9" i="1"/>
  <c r="T16" i="84"/>
  <c r="V16" i="84" s="1"/>
  <c r="T6" i="84"/>
  <c r="V6" i="84" s="1"/>
  <c r="T10" i="84"/>
  <c r="V10" i="84" s="1"/>
  <c r="T5" i="84"/>
  <c r="V5" i="84" s="1"/>
  <c r="C38" i="84"/>
  <c r="C39" i="84"/>
  <c r="T14" i="84"/>
  <c r="V14" i="84" s="1"/>
  <c r="T3" i="84"/>
  <c r="V3" i="84" s="1"/>
  <c r="T4" i="84"/>
  <c r="V4" i="84" s="1"/>
  <c r="T9" i="84"/>
  <c r="V9" i="84" s="1"/>
  <c r="C40" i="84"/>
  <c r="T15" i="84"/>
  <c r="V15" i="84" s="1"/>
  <c r="T12" i="84"/>
  <c r="V12" i="84" s="1"/>
  <c r="T2" i="84"/>
  <c r="V2" i="84" s="1"/>
  <c r="T11" i="84"/>
  <c r="V11" i="84" s="1"/>
  <c r="T8" i="84"/>
  <c r="V8" i="84" s="1"/>
  <c r="C37" i="84"/>
  <c r="T13" i="84"/>
  <c r="V13" i="84" s="1"/>
  <c r="T7" i="84"/>
  <c r="V7" i="84" s="1"/>
  <c r="B7" i="1"/>
  <c r="E7" i="1" s="1"/>
  <c r="S5" i="3"/>
  <c r="BD5" i="3"/>
  <c r="BB5" i="3"/>
  <c r="E13" i="6" s="1"/>
  <c r="T14" i="83"/>
  <c r="V14" i="83" s="1"/>
  <c r="T11" i="83"/>
  <c r="V11" i="83" s="1"/>
  <c r="T12" i="83"/>
  <c r="V12" i="83" s="1"/>
  <c r="T6" i="83"/>
  <c r="V6" i="83" s="1"/>
  <c r="C38" i="83"/>
  <c r="T5" i="83"/>
  <c r="V5" i="83" s="1"/>
  <c r="T7" i="83"/>
  <c r="V7" i="83" s="1"/>
  <c r="C37" i="83"/>
  <c r="T10" i="83"/>
  <c r="V10" i="83" s="1"/>
  <c r="T2" i="83"/>
  <c r="V2" i="83" s="1"/>
  <c r="C40" i="83"/>
  <c r="T16" i="83"/>
  <c r="V16" i="83" s="1"/>
  <c r="T15" i="83"/>
  <c r="V15" i="83" s="1"/>
  <c r="T9" i="83"/>
  <c r="V9" i="83" s="1"/>
  <c r="T8" i="83"/>
  <c r="V8" i="83" s="1"/>
  <c r="C39" i="83"/>
  <c r="T13" i="83"/>
  <c r="V13" i="83" s="1"/>
  <c r="T3" i="83"/>
  <c r="V3" i="83" s="1"/>
  <c r="T4" i="83"/>
  <c r="V4" i="83" s="1"/>
  <c r="G7" i="1"/>
  <c r="M7" i="1"/>
  <c r="F37" i="6"/>
  <c r="D54" i="43"/>
  <c r="D50" i="43"/>
  <c r="E50" i="43" s="1"/>
  <c r="B48" i="43" s="1"/>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BL5" i="3"/>
  <c r="F29" i="6"/>
  <c r="G28" i="6"/>
  <c r="E28" i="6" s="1"/>
  <c r="K14" i="1" s="1"/>
  <c r="D19" i="53"/>
  <c r="B38" i="72" s="1"/>
  <c r="M47" i="9"/>
  <c r="C7" i="35"/>
  <c r="C48" i="35" s="1"/>
  <c r="D48" i="35" s="1"/>
  <c r="C7" i="40"/>
  <c r="C63" i="40" s="1"/>
  <c r="D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F30" i="6"/>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15"/>
  <c r="L59" i="15"/>
  <c r="N59" i="15"/>
  <c r="L58" i="15"/>
  <c r="M59" i="15"/>
  <c r="F66" i="15"/>
  <c r="F64" i="15"/>
  <c r="C27" i="15"/>
  <c r="F65" i="15"/>
  <c r="B13" i="70"/>
  <c r="F68" i="15"/>
  <c r="D9" i="69"/>
  <c r="C36" i="68"/>
  <c r="D9" i="68"/>
  <c r="F43" i="85"/>
  <c r="F37" i="67"/>
  <c r="M23" i="67"/>
  <c r="F6" i="85"/>
  <c r="M28" i="85"/>
  <c r="L48" i="85"/>
  <c r="J15" i="85"/>
  <c r="M28" i="67"/>
  <c r="M26" i="85"/>
  <c r="F36" i="67"/>
  <c r="F13" i="85"/>
  <c r="C76" i="67"/>
  <c r="F13" i="67"/>
  <c r="M6" i="67"/>
  <c r="L48" i="67"/>
  <c r="F16" i="85"/>
  <c r="F7" i="67"/>
  <c r="M29" i="85"/>
  <c r="F16" i="67"/>
  <c r="M9" i="85"/>
  <c r="F37" i="85"/>
  <c r="F9" i="67"/>
  <c r="F42" i="67"/>
  <c r="M26" i="67"/>
  <c r="C76" i="85"/>
  <c r="F38" i="85"/>
  <c r="F43" i="67"/>
  <c r="F8" i="67"/>
  <c r="F42" i="85"/>
  <c r="M8" i="85"/>
  <c r="G1" i="73"/>
  <c r="M6" i="85"/>
  <c r="M23" i="85"/>
  <c r="F6" i="67"/>
  <c r="M8" i="67"/>
  <c r="J15" i="67"/>
  <c r="M9" i="67"/>
  <c r="M22" i="67"/>
  <c r="F26" i="67"/>
  <c r="M27" i="85"/>
  <c r="M22" i="85"/>
  <c r="F36" i="85"/>
  <c r="F8" i="85"/>
  <c r="F9" i="85"/>
  <c r="F40" i="67"/>
  <c r="M29" i="67"/>
  <c r="M24" i="67"/>
  <c r="F7" i="85"/>
  <c r="F40" i="85"/>
  <c r="L47" i="85"/>
  <c r="M24" i="85"/>
  <c r="F38" i="67"/>
  <c r="L47" i="67"/>
  <c r="G30" i="6" l="1"/>
  <c r="G31" i="6" s="1"/>
  <c r="E11" i="6"/>
  <c r="E60" i="39" s="1"/>
  <c r="E12" i="6"/>
  <c r="E57" i="40" s="1"/>
  <c r="E10" i="6"/>
  <c r="E15" i="6"/>
  <c r="E64" i="39" s="1"/>
  <c r="M9" i="1"/>
  <c r="E14" i="6"/>
  <c r="E63" i="39" s="1"/>
  <c r="F31" i="85"/>
  <c r="C6" i="85"/>
  <c r="C32" i="85" s="1"/>
  <c r="Q71" i="85"/>
  <c r="F66" i="85"/>
  <c r="F51" i="85"/>
  <c r="F68" i="85"/>
  <c r="F64" i="85"/>
  <c r="F65" i="85"/>
  <c r="L59" i="85"/>
  <c r="N59" i="85"/>
  <c r="M59" i="85"/>
  <c r="L58" i="85"/>
  <c r="Q73" i="85" s="1"/>
  <c r="F71" i="85"/>
  <c r="M7" i="85"/>
  <c r="J6" i="85" s="1"/>
  <c r="F50" i="85"/>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71" i="67"/>
  <c r="M7" i="67"/>
  <c r="J6" i="67" s="1"/>
  <c r="J18" i="67" s="1"/>
  <c r="F50" i="67"/>
  <c r="F59" i="67" s="1"/>
  <c r="C6" i="67"/>
  <c r="C32" i="67" s="1"/>
  <c r="F31" i="67"/>
  <c r="F64" i="67"/>
  <c r="N59" i="67"/>
  <c r="L59" i="67"/>
  <c r="Q74" i="67" s="1"/>
  <c r="L58" i="67"/>
  <c r="Q73" i="67" s="1"/>
  <c r="M59" i="67"/>
  <c r="C33" i="85"/>
  <c r="E40" i="84"/>
  <c r="G40" i="84"/>
  <c r="I40" i="84" s="1"/>
  <c r="G39" i="84"/>
  <c r="I39" i="84" s="1"/>
  <c r="E39" i="84"/>
  <c r="G37" i="84"/>
  <c r="I37" i="84" s="1"/>
  <c r="E37" i="84"/>
  <c r="G38" i="84"/>
  <c r="I38" i="84" s="1"/>
  <c r="E38" i="84"/>
  <c r="M11" i="85"/>
  <c r="J10" i="85" s="1"/>
  <c r="F11" i="85"/>
  <c r="BA5" i="3"/>
  <c r="AZ5" i="3"/>
  <c r="E3" i="6" s="1"/>
  <c r="E59" i="40"/>
  <c r="G39" i="83"/>
  <c r="I39" i="83" s="1"/>
  <c r="E39" i="83"/>
  <c r="G38" i="83"/>
  <c r="I38" i="83" s="1"/>
  <c r="E38" i="83"/>
  <c r="E40" i="83"/>
  <c r="G40" i="83"/>
  <c r="I40" i="83" s="1"/>
  <c r="G37" i="83"/>
  <c r="I37" i="83" s="1"/>
  <c r="E37" i="83"/>
  <c r="O5" i="3"/>
  <c r="H21" i="3"/>
  <c r="E19" i="6"/>
  <c r="K6" i="1" s="1"/>
  <c r="P19" i="1" s="1"/>
  <c r="Q23" i="1" s="1"/>
  <c r="O7" i="1"/>
  <c r="P7" i="1" s="1"/>
  <c r="C28" i="67"/>
  <c r="C28" i="1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F67" i="39"/>
  <c r="E69" i="39"/>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F1" i="15"/>
  <c r="Q52" i="15"/>
  <c r="Q60" i="15"/>
  <c r="Q73" i="15"/>
  <c r="Q74" i="15"/>
  <c r="Q61" i="15"/>
  <c r="AE12" i="1"/>
  <c r="AE10" i="1"/>
  <c r="AE9" i="1"/>
  <c r="AE11" i="1"/>
  <c r="C16" i="85"/>
  <c r="F43" i="15"/>
  <c r="AE6" i="1"/>
  <c r="C16" i="67"/>
  <c r="F7" i="15"/>
  <c r="AE7" i="1"/>
  <c r="M29" i="15"/>
  <c r="Q60" i="85" l="1"/>
  <c r="Q66" i="85"/>
  <c r="C49" i="67"/>
  <c r="C49" i="85"/>
  <c r="C61" i="85" s="1"/>
  <c r="Q60" i="67"/>
  <c r="M17" i="85"/>
  <c r="J5" i="85"/>
  <c r="J26" i="85" s="1"/>
  <c r="Q52" i="85"/>
  <c r="F1" i="67"/>
  <c r="M17" i="67"/>
  <c r="Q61" i="67"/>
  <c r="F59" i="85"/>
  <c r="Q61" i="85"/>
  <c r="Q74" i="85"/>
  <c r="F24" i="85"/>
  <c r="C24" i="85" s="1"/>
  <c r="J5" i="67"/>
  <c r="J24" i="67" s="1"/>
  <c r="J18" i="85"/>
  <c r="J19" i="85"/>
  <c r="C53" i="85"/>
  <c r="C10" i="85"/>
  <c r="C5" i="85" s="1"/>
  <c r="E27" i="6"/>
  <c r="K26" i="6" s="1"/>
  <c r="M26" i="6" s="1"/>
  <c r="I26" i="6" s="1"/>
  <c r="S26" i="6" s="1"/>
  <c r="L36" i="83"/>
  <c r="M36" i="83" s="1"/>
  <c r="L36" i="84"/>
  <c r="M7" i="15"/>
  <c r="C6" i="15"/>
  <c r="C32" i="15" s="1"/>
  <c r="F50" i="15"/>
  <c r="F31" i="15"/>
  <c r="F71" i="15"/>
  <c r="AP6" i="1"/>
  <c r="C36" i="69" s="1"/>
  <c r="M6" i="1"/>
  <c r="M16" i="1" s="1"/>
  <c r="H16" i="1"/>
  <c r="K16" i="1"/>
  <c r="G16" i="1"/>
  <c r="G21" i="3"/>
  <c r="H5" i="3"/>
  <c r="I4" i="6"/>
  <c r="L36" i="43"/>
  <c r="L37" i="43" s="1"/>
  <c r="E65" i="39"/>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F25" i="12"/>
  <c r="F22" i="69"/>
  <c r="F41" i="69" s="1"/>
  <c r="F24" i="67"/>
  <c r="C24" i="67" s="1"/>
  <c r="F22" i="11"/>
  <c r="F22" i="68"/>
  <c r="F24" i="15"/>
  <c r="C24" i="15" s="1"/>
  <c r="AE8" i="1"/>
  <c r="F41" i="67"/>
  <c r="M27" i="67"/>
  <c r="F41" i="15"/>
  <c r="M27" i="15"/>
  <c r="C16" i="15"/>
  <c r="F26" i="85"/>
  <c r="F41" i="85"/>
  <c r="L37" i="83" l="1"/>
  <c r="F69" i="67"/>
  <c r="B1" i="74"/>
  <c r="C48" i="85"/>
  <c r="C66" i="85" s="1"/>
  <c r="C27" i="85"/>
  <c r="C48" i="67"/>
  <c r="C66" i="67" s="1"/>
  <c r="F69" i="85"/>
  <c r="J29" i="85"/>
  <c r="J24" i="85"/>
  <c r="K19" i="6"/>
  <c r="S6" i="1" s="1"/>
  <c r="AQ6" i="1" s="1"/>
  <c r="K22" i="6"/>
  <c r="M22" i="6" s="1"/>
  <c r="I22" i="6" s="1"/>
  <c r="S22" i="6" s="1"/>
  <c r="K23" i="6"/>
  <c r="M23" i="6" s="1"/>
  <c r="I23" i="6" s="1"/>
  <c r="K21" i="6"/>
  <c r="S8" i="1" s="1"/>
  <c r="E8" i="70" s="1"/>
  <c r="K24" i="6"/>
  <c r="M24" i="6" s="1"/>
  <c r="I24" i="6" s="1"/>
  <c r="S24" i="6" s="1"/>
  <c r="K20" i="6"/>
  <c r="S7" i="1" s="1"/>
  <c r="E31" i="6"/>
  <c r="K25" i="6"/>
  <c r="C38" i="85"/>
  <c r="C10" i="15"/>
  <c r="C5" i="15" s="1"/>
  <c r="C38" i="15" s="1"/>
  <c r="Q36" i="83"/>
  <c r="O36" i="83"/>
  <c r="P36" i="83"/>
  <c r="N36" i="83"/>
  <c r="N36" i="84"/>
  <c r="L37" i="84"/>
  <c r="O36" i="84"/>
  <c r="M36" i="84"/>
  <c r="Q36" i="84"/>
  <c r="P36" i="84"/>
  <c r="F10" i="39"/>
  <c r="J10" i="39"/>
  <c r="J10" i="40"/>
  <c r="H10" i="40"/>
  <c r="F10" i="40"/>
  <c r="H10" i="39"/>
  <c r="F59" i="15"/>
  <c r="C49" i="15"/>
  <c r="C48" i="15" s="1"/>
  <c r="G5" i="3"/>
  <c r="B3" i="3" s="1"/>
  <c r="C47" i="80" s="1"/>
  <c r="I7" i="6" s="1"/>
  <c r="O6" i="1"/>
  <c r="O16" i="1" s="1"/>
  <c r="J6" i="15"/>
  <c r="M17" i="15"/>
  <c r="P37" i="83"/>
  <c r="Q37" i="83"/>
  <c r="M37" i="83"/>
  <c r="O37" i="83"/>
  <c r="N37" i="83"/>
  <c r="M36" i="43"/>
  <c r="P36" i="43"/>
  <c r="Q36" i="43"/>
  <c r="N36" i="43"/>
  <c r="O36" i="43"/>
  <c r="P37" i="43"/>
  <c r="M37" i="43"/>
  <c r="Q37" i="43"/>
  <c r="O37" i="43"/>
  <c r="N37" i="43"/>
  <c r="E6" i="70"/>
  <c r="C34" i="43"/>
  <c r="E34" i="43" s="1"/>
  <c r="F69" i="15"/>
  <c r="S11" i="1"/>
  <c r="E11" i="70" s="1"/>
  <c r="AR6" i="1"/>
  <c r="T6" i="1"/>
  <c r="S12" i="1"/>
  <c r="M19" i="6"/>
  <c r="C20" i="11"/>
  <c r="C25"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4" i="67"/>
  <c r="C17" i="85"/>
  <c r="C17" i="15"/>
  <c r="C17" i="67"/>
  <c r="M20" i="6" l="1"/>
  <c r="I20" i="6" s="1"/>
  <c r="S20" i="6" s="1"/>
  <c r="S9" i="1"/>
  <c r="T9" i="1" s="1"/>
  <c r="C60" i="85"/>
  <c r="C60" i="67"/>
  <c r="S23" i="6"/>
  <c r="L18" i="9"/>
  <c r="S10" i="1"/>
  <c r="AQ10" i="1" s="1"/>
  <c r="T8" i="1"/>
  <c r="AQ8" i="1"/>
  <c r="M21" i="6"/>
  <c r="I21" i="6" s="1"/>
  <c r="S21" i="6" s="1"/>
  <c r="K27" i="6"/>
  <c r="AR8" i="1"/>
  <c r="M25" i="6"/>
  <c r="I25" i="6" s="1"/>
  <c r="S25" i="6" s="1"/>
  <c r="G3" i="83"/>
  <c r="G3" i="84"/>
  <c r="G3" i="43"/>
  <c r="Q37" i="84"/>
  <c r="M37" i="84"/>
  <c r="P37" i="84"/>
  <c r="O37" i="84"/>
  <c r="N37" i="84"/>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18" i="67"/>
  <c r="C15" i="67"/>
  <c r="C30" i="43"/>
  <c r="B2" i="43" s="1"/>
  <c r="B3" i="43" s="1"/>
  <c r="C31" i="43"/>
  <c r="C38" i="69"/>
  <c r="C35" i="69"/>
  <c r="E12" i="70"/>
  <c r="F34" i="11"/>
  <c r="F11" i="12"/>
  <c r="E9" i="70"/>
  <c r="AR9" i="1"/>
  <c r="AQ9" i="1"/>
  <c r="AQ11" i="1"/>
  <c r="AR11" i="1"/>
  <c r="T11" i="1"/>
  <c r="AR12" i="1"/>
  <c r="T12" i="1"/>
  <c r="AQ12" i="1"/>
  <c r="AR7" i="1"/>
  <c r="AQ7" i="1"/>
  <c r="T7" i="1"/>
  <c r="I19" i="6"/>
  <c r="C15" i="12"/>
  <c r="C12" i="12"/>
  <c r="C10" i="69"/>
  <c r="C8" i="69" s="1"/>
  <c r="C5" i="69" s="1"/>
  <c r="D19" i="69"/>
  <c r="F50" i="69"/>
  <c r="F50" i="11"/>
  <c r="F50"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J19" i="67"/>
  <c r="F27" i="68"/>
  <c r="D10" i="68"/>
  <c r="C14" i="15"/>
  <c r="B6" i="76"/>
  <c r="C14" i="85"/>
  <c r="AR10" i="1" l="1"/>
  <c r="T10" i="1"/>
  <c r="S16" i="1"/>
  <c r="C47" i="68"/>
  <c r="D45" i="68" s="1"/>
  <c r="C29" i="68"/>
  <c r="D27" i="68" s="1"/>
  <c r="F45" i="68"/>
  <c r="Q16" i="1"/>
  <c r="D19" i="68"/>
  <c r="D37" i="68" s="1"/>
  <c r="C37" i="68" s="1"/>
  <c r="C10" i="68"/>
  <c r="C8" i="68" s="1"/>
  <c r="E10" i="70"/>
  <c r="M27" i="6"/>
  <c r="AC6" i="3"/>
  <c r="C15" i="85"/>
  <c r="C18" i="85"/>
  <c r="G26" i="43"/>
  <c r="N370" i="46"/>
  <c r="Z7" i="43"/>
  <c r="H26" i="43"/>
  <c r="J26" i="43"/>
  <c r="E26" i="43"/>
  <c r="N94" i="46"/>
  <c r="F26" i="43"/>
  <c r="B116" i="43"/>
  <c r="H26" i="84"/>
  <c r="Z7" i="84"/>
  <c r="E26" i="84"/>
  <c r="B116" i="84"/>
  <c r="F26" i="84"/>
  <c r="G26" i="84"/>
  <c r="J26" i="84"/>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9" i="67"/>
  <c r="C20" i="67" s="1"/>
  <c r="C26" i="67" s="1"/>
  <c r="T16" i="1"/>
  <c r="C18" i="15"/>
  <c r="C15" i="15"/>
  <c r="C36" i="11"/>
  <c r="C37" i="11"/>
  <c r="C34" i="11"/>
  <c r="C23" i="12"/>
  <c r="C14" i="12"/>
  <c r="C16" i="12" s="1"/>
  <c r="C21" i="12" s="1"/>
  <c r="C22" i="12" s="1"/>
  <c r="H19" i="6"/>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38" i="68" l="1"/>
  <c r="C35" i="68"/>
  <c r="F28" i="12"/>
  <c r="C29" i="12" s="1"/>
  <c r="D28" i="12" s="1"/>
  <c r="F27" i="69"/>
  <c r="F27" i="11"/>
  <c r="C19" i="85"/>
  <c r="C20" i="85" s="1"/>
  <c r="C26" i="85" s="1"/>
  <c r="D26" i="84"/>
  <c r="C25" i="84" s="1"/>
  <c r="C33" i="84"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I119" i="84"/>
  <c r="J119" i="84" s="1"/>
  <c r="K119" i="84" s="1"/>
  <c r="L119" i="84" s="1"/>
  <c r="M119" i="84" s="1"/>
  <c r="D120" i="84"/>
  <c r="E120" i="84" s="1"/>
  <c r="F120" i="84" s="1"/>
  <c r="G120" i="84" s="1"/>
  <c r="H120" i="84" s="1"/>
  <c r="B122" i="84"/>
  <c r="C122"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20" i="84"/>
  <c r="C120" i="84" s="1"/>
  <c r="I120" i="84"/>
  <c r="J120" i="84" s="1"/>
  <c r="K120" i="84" s="1"/>
  <c r="L120" i="84" s="1"/>
  <c r="M120" i="84" s="1"/>
  <c r="D121" i="84"/>
  <c r="E121" i="84" s="1"/>
  <c r="F121" i="84" s="1"/>
  <c r="G121" i="84"/>
  <c r="H121" i="84" s="1"/>
  <c r="B119" i="84"/>
  <c r="C119" i="84"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R20" i="6" s="1"/>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30" i="12" l="1"/>
  <c r="C28" i="12" s="1"/>
  <c r="C33" i="68"/>
  <c r="C39" i="68" s="1"/>
  <c r="C28" i="69"/>
  <c r="C27" i="69" s="1"/>
  <c r="C29" i="11"/>
  <c r="D27" i="11" s="1"/>
  <c r="C28" i="11"/>
  <c r="C27" i="11" s="1"/>
  <c r="C31" i="11" s="1"/>
  <c r="C47" i="11"/>
  <c r="D45" i="11" s="1"/>
  <c r="C47" i="69"/>
  <c r="D45" i="69" s="1"/>
  <c r="C29" i="69"/>
  <c r="D27" i="69" s="1"/>
  <c r="F45" i="69"/>
  <c r="C14" i="74"/>
  <c r="B2" i="74" s="1"/>
  <c r="D8" i="74" s="1"/>
  <c r="D27" i="6"/>
  <c r="C23" i="85"/>
  <c r="C29" i="85" s="1"/>
  <c r="C13" i="85" s="1"/>
  <c r="R21" i="6"/>
  <c r="R8" i="1" s="1"/>
  <c r="C118" i="84"/>
  <c r="D116" i="84" s="1"/>
  <c r="E33" i="83"/>
  <c r="C30" i="83" s="1"/>
  <c r="C34" i="83"/>
  <c r="E34" i="83" s="1"/>
  <c r="C31" i="83" s="1"/>
  <c r="H27" i="6"/>
  <c r="R22" i="6"/>
  <c r="R9" i="1" s="1"/>
  <c r="C118" i="43"/>
  <c r="D116" i="43" s="1"/>
  <c r="C33" i="43"/>
  <c r="C118" i="83"/>
  <c r="D116" i="83" s="1"/>
  <c r="E33" i="84"/>
  <c r="C30" i="84" s="1"/>
  <c r="C34" i="84"/>
  <c r="E34" i="84" s="1"/>
  <c r="C31" i="84"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E6" i="76"/>
  <c r="E8" i="76"/>
  <c r="E7" i="76"/>
  <c r="F35" i="67"/>
  <c r="M21" i="15"/>
  <c r="M21" i="67"/>
  <c r="F35" i="15"/>
  <c r="R7" i="1" l="1"/>
  <c r="R16" i="1" s="1"/>
  <c r="B2" i="84"/>
  <c r="J59" i="85"/>
  <c r="J60" i="85" s="1"/>
  <c r="L46" i="85" s="1"/>
  <c r="Q49" i="85"/>
  <c r="C36" i="85"/>
  <c r="C57" i="85"/>
  <c r="C64" i="85" s="1"/>
  <c r="J14" i="85"/>
  <c r="J13" i="85" s="1"/>
  <c r="J23" i="85" s="1"/>
  <c r="B2" i="83"/>
  <c r="C75" i="85"/>
  <c r="Q70" i="85"/>
  <c r="C37" i="85"/>
  <c r="C56" i="85"/>
  <c r="C65" i="85" s="1"/>
  <c r="E2" i="76"/>
  <c r="E33" i="43"/>
  <c r="I5" i="6"/>
  <c r="I6" i="6"/>
  <c r="R27" i="6"/>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7" i="76"/>
  <c r="B8" i="76"/>
  <c r="M21" i="85"/>
  <c r="F35" i="85"/>
  <c r="J20" i="85" l="1"/>
  <c r="J17" i="85" s="1"/>
  <c r="F63" i="85"/>
  <c r="C62" i="85" s="1"/>
  <c r="C59" i="85" s="1"/>
  <c r="C58" i="85" s="1"/>
  <c r="C67" i="85" s="1"/>
  <c r="C68" i="85" s="1"/>
  <c r="C71" i="85" s="1"/>
  <c r="C34" i="85"/>
  <c r="C31" i="85" s="1"/>
  <c r="C30" i="85" s="1"/>
  <c r="C39" i="85" s="1"/>
  <c r="C40" i="85" s="1"/>
  <c r="Q48" i="85"/>
  <c r="B3" i="84"/>
  <c r="J22" i="85"/>
  <c r="B2" i="76"/>
  <c r="B3"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5"/>
  <c r="J16" i="85" l="1"/>
  <c r="J25" i="85" s="1"/>
  <c r="Q69" i="85"/>
  <c r="Q68" i="85" s="1"/>
  <c r="H39" i="85"/>
  <c r="C80" i="85"/>
  <c r="C79" i="85" s="1"/>
  <c r="B3" i="76"/>
  <c r="C6" i="68"/>
  <c r="C7" i="68" s="1"/>
  <c r="C5" i="68" s="1"/>
  <c r="C46" i="85"/>
  <c r="Q67"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23" i="68" l="1"/>
  <c r="C20"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28" i="68" l="1"/>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12" i="1"/>
  <c r="C31" i="68" l="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19" i="9"/>
  <c r="AO6"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C20" i="9"/>
  <c r="D35" i="9"/>
  <c r="C103" i="9" l="1"/>
  <c r="B2" i="70"/>
  <c r="B3" i="70" s="1"/>
  <c r="C42" i="40"/>
  <c r="C43" i="40"/>
  <c r="E47" i="40"/>
  <c r="F47" i="40" s="1"/>
  <c r="E46" i="40"/>
  <c r="F46" i="40" s="1"/>
  <c r="I47" i="40"/>
  <c r="J47" i="40" s="1"/>
  <c r="D19" i="9"/>
  <c r="D20" i="9"/>
  <c r="G19" i="9" l="1"/>
  <c r="G37" i="6"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<sst xmlns="http://schemas.openxmlformats.org/spreadsheetml/2006/main" count="10836" uniqueCount="3507">
  <si>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</si>
  <si>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</si>
  <si>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</si>
  <si>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</si>
  <si>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</si>
  <si>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</si>
  <si>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</si>
  <si>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</si>
  <si>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</si>
  <si>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</si>
  <si>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</si>
  <si>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</si>
  <si>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</si>
  <si>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</si>
  <si>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</si>
  <si>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</si>
  <si>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</si>
  <si>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</si>
  <si>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</si>
  <si>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</si>
  <si>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</si>
  <si>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</si>
  <si>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</si>
  <si>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</si>
  <si>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</si>
  <si>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</si>
  <si>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</si>
  <si>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</si>
  <si>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</si>
  <si>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</si>
  <si>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</si>
  <si>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</si>
  <si>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</si>
  <si>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</si>
  <si>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</si>
  <si>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</si>
  <si>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</si>
  <si>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</si>
  <si>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</si>
  <si>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</si>
  <si>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</si>
  <si>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</si>
  <si>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</si>
  <si>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</si>
  <si>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</si>
  <si>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</si>
  <si>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</si>
  <si>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</si>
  <si>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</si>
  <si>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</si>
  <si>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</si>
  <si>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</si>
  <si>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</si>
  <si>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</si>
  <si>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</si>
  <si>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</si>
  <si>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</si>
  <si>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</si>
  <si>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</si>
  <si>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</si>
  <si>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</si>
  <si>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</si>
  <si>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</si>
  <si>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</si>
  <si>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</si>
  <si>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</si>
  <si>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</si>
  <si>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</si>
  <si>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</si>
  <si>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</si>
  <si>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</si>
  <si>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</si>
  <si>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</si>
  <si>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</si>
  <si>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</si>
  <si>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</si>
  <si>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</si>
  <si>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</si>
  <si>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</si>
  <si>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</si>
  <si>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</si>
  <si>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</si>
  <si>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</si>
  <si>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</si>
  <si>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</si>
  <si>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</si>
  <si>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</si>
  <si>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</si>
  <si>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</si>
  <si>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</si>
  <si>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</si>
  <si>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</si>
  <si>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</si>
  <si>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</si>
  <si>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</si>
  <si>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</si>
  <si>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</si>
  <si>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</si>
  <si>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</si>
  <si>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</si>
  <si>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</si>
  <si>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</si>
  <si>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</si>
  <si>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</si>
  <si>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</si>
  <si>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</si>
  <si>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</si>
  <si>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</si>
  <si>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</si>
  <si>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</si>
  <si>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</si>
  <si>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</si>
  <si>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</si>
  <si>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</si>
  <si>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</si>
  <si>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</si>
  <si>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</si>
  <si>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</si>
  <si>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</si>
  <si>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</si>
  <si>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</si>
  <si>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</si>
  <si>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</si>
  <si>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</si>
  <si>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</si>
  <si>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</si>
  <si>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</si>
  <si>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</si>
  <si>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</si>
  <si>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</si>
  <si>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</si>
  <si>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</si>
  <si>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</si>
  <si>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</si>
  <si>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</si>
  <si>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</si>
  <si>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</si>
  <si>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</si>
  <si>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</si>
  <si>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</si>
  <si>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</si>
  <si>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</si>
  <si>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</si>
  <si>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</si>
  <si>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</si>
  <si>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</si>
  <si>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</si>
  <si>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</si>
  <si>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</si>
  <si>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</si>
  <si>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</si>
  <si>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</si>
  <si>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</si>
  <si>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</si>
  <si>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</si>
  <si>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</si>
  <si>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</si>
  <si>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</si>
  <si>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</si>
  <si>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</si>
  <si>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</si>
  <si>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</si>
  <si>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</si>
  <si>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</si>
  <si>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</si>
  <si>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</si>
  <si>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</si>
  <si>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</si>
  <si>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</si>
  <si>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</si>
  <si>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</si>
  <si>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</si>
  <si>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</si>
  <si>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</si>
  <si>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</si>
  <si>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</si>
  <si>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</si>
  <si>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</si>
  <si>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</si>
  <si>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</si>
  <si>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</si>
  <si>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</si>
  <si>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</si>
  <si>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</si>
  <si>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</si>
  <si>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</si>
  <si>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</si>
  <si>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</si>
  <si>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</si>
  <si>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</si>
  <si>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</si>
  <si>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</si>
  <si>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</si>
  <si>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</si>
  <si>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</si>
  <si>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</si>
  <si>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</si>
  <si>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</si>
  <si>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</si>
  <si>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</si>
  <si>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</si>
  <si>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</si>
  <si>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</si>
  <si>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</si>
  <si>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</si>
  <si>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</si>
  <si>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</si>
  <si>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</si>
  <si>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</si>
  <si>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</si>
  <si>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</si>
  <si>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</si>
  <si>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</si>
  <si>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</si>
  <si>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</si>
  <si>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</si>
  <si>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</si>
  <si>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</si>
  <si>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</si>
  <si>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</si>
  <si>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</si>
  <si>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</si>
  <si>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</si>
  <si>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</si>
  <si>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</si>
  <si>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</si>
  <si>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</si>
  <si>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</si>
  <si>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</si>
  <si>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</si>
  <si>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</si>
  <si>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</si>
  <si>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</si>
  <si>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</si>
  <si>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</si>
  <si>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</si>
  <si>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</si>
  <si>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</si>
  <si>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</si>
  <si>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</si>
  <si>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</si>
  <si>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</si>
  <si>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</si>
  <si>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</si>
  <si>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</si>
  <si>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</si>
  <si>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</si>
  <si>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</si>
  <si>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</si>
  <si>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</si>
  <si>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</si>
  <si>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</si>
  <si>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</si>
  <si>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</si>
  <si>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</si>
  <si>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</si>
  <si>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</si>
  <si>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</si>
  <si>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</si>
  <si>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</si>
  <si>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</si>
  <si>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</si>
  <si>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</si>
  <si>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</si>
  <si>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</si>
  <si>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</si>
  <si>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</si>
  <si>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</si>
  <si>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</si>
  <si>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</si>
  <si>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</si>
  <si>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</si>
  <si>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</si>
  <si>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</si>
  <si>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</si>
  <si>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</si>
  <si>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</si>
  <si>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</si>
  <si>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</si>
  <si>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</si>
  <si>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</si>
  <si>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</si>
  <si>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</si>
  <si>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</si>
  <si>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</si>
  <si>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</si>
  <si>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</si>
  <si>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</si>
  <si>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</si>
  <si>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</si>
  <si>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</si>
  <si>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</si>
  <si>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</si>
  <si>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</si>
  <si>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</si>
  <si>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</si>
  <si>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</si>
  <si>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</si>
  <si>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</si>
  <si>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</si>
  <si>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</si>
  <si>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</si>
  <si>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</si>
  <si>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</si>
  <si>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</si>
  <si>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</si>
  <si>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</si>
  <si>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</si>
  <si>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</si>
  <si>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</si>
  <si>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</si>
  <si>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</si>
  <si>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</si>
  <si>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</si>
  <si>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</si>
  <si>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</si>
  <si>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</si>
  <si>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</si>
  <si>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</si>
  <si>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</si>
  <si>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</si>
  <si>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</si>
  <si>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</si>
  <si>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</si>
  <si>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</si>
  <si>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</si>
  <si>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</si>
  <si>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</si>
  <si>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</si>
  <si>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</si>
  <si>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</si>
  <si>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</si>
  <si>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</si>
  <si>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</si>
  <si>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</si>
  <si>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</si>
  <si>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</si>
  <si>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</si>
  <si>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</si>
  <si>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</si>
  <si>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</si>
  <si>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</si>
  <si>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</si>
  <si>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</si>
  <si>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</si>
  <si>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</si>
  <si>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</si>
  <si>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</si>
  <si>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</si>
  <si>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</si>
  <si>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</si>
  <si>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</si>
  <si>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</si>
  <si>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</si>
  <si>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</si>
  <si>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</si>
  <si>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</si>
  <si>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</si>
  <si>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</si>
  <si>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</si>
  <si>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</si>
  <si>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</si>
  <si>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</si>
  <si>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</si>
  <si>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</si>
  <si>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</si>
  <si>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</si>
  <si>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</si>
  <si>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</si>
  <si>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</si>
  <si>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</si>
  <si>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</si>
  <si>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</si>
  <si>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</si>
  <si>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</si>
  <si>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</si>
  <si>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</si>
  <si>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</si>
  <si>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</si>
  <si>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</si>
  <si>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</si>
  <si>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</si>
  <si>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</si>
  <si>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</si>
  <si>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</si>
  <si>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</si>
  <si>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</si>
  <si>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</si>
  <si>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</si>
  <si>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</si>
  <si>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</si>
  <si>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</si>
  <si>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</si>
  <si>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</si>
  <si>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</si>
  <si>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</si>
  <si>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</si>
  <si>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</si>
  <si>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</si>
  <si>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</si>
  <si>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</si>
  <si>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</si>
  <si>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</si>
  <si>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</si>
  <si>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</si>
  <si>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</si>
  <si>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</si>
  <si>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</si>
  <si>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</si>
  <si>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</si>
  <si>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</si>
  <si>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</si>
  <si>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</si>
  <si>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</si>
  <si>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</si>
  <si>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</si>
  <si>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</si>
  <si>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</si>
  <si>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</si>
  <si>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</si>
  <si>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</si>
  <si>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</si>
  <si>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</si>
  <si>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</si>
  <si>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</si>
  <si>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</si>
  <si>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</si>
  <si>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</si>
  <si>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</si>
  <si>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</si>
  <si>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</si>
  <si>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</si>
  <si>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</si>
  <si>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</si>
  <si>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</si>
  <si>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</si>
  <si>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</si>
  <si>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</si>
  <si>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</si>
  <si>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</si>
  <si>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</si>
  <si>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</si>
  <si>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</si>
  <si>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</si>
  <si>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</si>
  <si>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</si>
  <si>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</si>
  <si>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</si>
  <si>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</si>
  <si>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</si>
  <si>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</si>
  <si>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</si>
  <si>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</si>
  <si>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</si>
  <si>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</si>
  <si>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</si>
  <si>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</si>
  <si>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</si>
  <si>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</si>
  <si>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</si>
  <si>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</si>
  <si>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</si>
  <si>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</si>
  <si>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</si>
  <si>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</si>
  <si>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</si>
  <si>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</si>
  <si>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</si>
  <si>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</si>
  <si>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</si>
  <si>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</si>
  <si>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</si>
  <si>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</si>
  <si>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</si>
  <si>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</si>
  <si>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</si>
  <si>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</si>
  <si>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</si>
  <si>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</si>
  <si>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</si>
  <si>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</si>
  <si>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</si>
  <si>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</si>
  <si>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</si>
  <si>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</si>
  <si>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</si>
  <si>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</si>
  <si>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</si>
  <si>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</si>
  <si>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</si>
  <si>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</si>
  <si>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</si>
  <si>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</si>
  <si>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</si>
  <si>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</si>
  <si>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</si>
  <si>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</si>
  <si>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</si>
  <si>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</si>
  <si>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</si>
  <si>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</si>
  <si>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</si>
  <si>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</si>
  <si>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</si>
  <si>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</si>
  <si>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</si>
  <si>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</si>
  <si>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</si>
  <si>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</si>
  <si>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</si>
  <si>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</si>
  <si>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</si>
  <si>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</si>
  <si>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</si>
  <si>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</si>
  <si>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</si>
  <si>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</si>
  <si>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</si>
  <si>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</si>
  <si>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</si>
  <si>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</si>
  <si>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</si>
  <si>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</si>
  <si>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</si>
  <si>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</si>
  <si>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</si>
  <si>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</si>
  <si>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</si>
  <si>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</si>
  <si>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</si>
  <si>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</si>
  <si>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</si>
  <si>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</si>
  <si>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</si>
  <si>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</si>
  <si>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</si>
  <si>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</si>
  <si>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</si>
  <si>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</si>
  <si>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</si>
  <si>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</si>
  <si>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</si>
  <si>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</si>
  <si>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</si>
  <si>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</si>
  <si>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</si>
  <si>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</si>
  <si>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</si>
  <si>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</si>
  <si>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</si>
  <si>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</si>
  <si>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</si>
  <si>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</si>
  <si>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</si>
  <si>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</si>
  <si>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</si>
  <si>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</si>
  <si>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</si>
  <si>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</si>
  <si>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</si>
  <si>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</si>
  <si>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</si>
  <si>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</si>
  <si>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</si>
  <si>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</si>
  <si>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</si>
  <si>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</si>
  <si>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</si>
  <si>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</si>
  <si>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</si>
  <si>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</si>
  <si>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</si>
  <si>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</si>
  <si>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</si>
  <si>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</si>
  <si>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</si>
  <si>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</si>
  <si>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</si>
  <si>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</si>
  <si>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</si>
  <si>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</si>
  <si>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</si>
  <si>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</si>
  <si>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</si>
  <si>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</si>
  <si>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</si>
  <si>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</si>
  <si>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</si>
  <si>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</si>
  <si>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</si>
  <si>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</si>
  <si>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</si>
  <si>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</si>
  <si>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</si>
  <si>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</si>
  <si>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</si>
  <si>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</si>
  <si>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</si>
  <si>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</si>
  <si>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</si>
  <si>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</si>
  <si>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</si>
  <si>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</si>
  <si>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</si>
  <si>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</si>
  <si>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</si>
  <si>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</si>
  <si>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</si>
  <si>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</si>
  <si>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</si>
  <si>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</si>
  <si>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</si>
  <si>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</si>
  <si>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</si>
  <si>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</si>
  <si>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</si>
  <si>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</si>
  <si>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</si>
  <si>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</si>
  <si>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</si>
  <si>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</si>
  <si>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</si>
  <si>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</si>
  <si>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</si>
  <si>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</si>
  <si>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</si>
  <si>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</si>
  <si>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</si>
  <si>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</si>
  <si>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</si>
  <si>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</si>
  <si>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</si>
  <si>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</si>
  <si>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</si>
  <si>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</si>
  <si>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</si>
  <si>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</si>
  <si>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</si>
  <si>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</si>
  <si>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</si>
  <si>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</si>
  <si>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</si>
  <si>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</si>
  <si>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</si>
  <si>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</si>
  <si>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</si>
  <si>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</si>
  <si>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</si>
  <si>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</si>
  <si>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</si>
  <si>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</si>
  <si>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</si>
  <si>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</si>
  <si>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</si>
  <si>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</si>
  <si>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</si>
  <si>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</si>
  <si>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</si>
  <si>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</si>
  <si>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</si>
  <si>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</si>
  <si>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</si>
  <si>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</si>
  <si>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</si>
  <si>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</si>
  <si>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</si>
  <si>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</si>
  <si>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</si>
  <si>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</si>
  <si>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</si>
  <si>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</si>
  <si>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</si>
  <si>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</si>
  <si>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</si>
  <si>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</si>
  <si>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</si>
  <si>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</si>
  <si>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</si>
  <si>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</si>
  <si>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</si>
  <si>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</si>
  <si>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</si>
  <si>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</si>
  <si>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</si>
  <si>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</si>
  <si>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</si>
  <si>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</si>
  <si>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</si>
  <si>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</si>
  <si>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</si>
  <si>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</si>
  <si>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</si>
  <si>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</si>
  <si>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</si>
  <si>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</si>
  <si>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</si>
  <si>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</si>
  <si>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</si>
  <si>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</si>
  <si>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</si>
  <si>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</si>
  <si>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</si>
  <si>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</si>
  <si>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</si>
  <si>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</si>
  <si>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</si>
  <si>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</si>
  <si>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</si>
  <si>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</si>
  <si>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</si>
  <si>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</si>
  <si>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</si>
  <si>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</si>
  <si>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</si>
  <si>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</si>
  <si>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</si>
  <si>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</si>
  <si>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</si>
  <si>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</si>
  <si>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</si>
  <si>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</si>
  <si>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</si>
  <si>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</si>
  <si>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</si>
  <si>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</si>
  <si>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</si>
  <si>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</si>
  <si>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</si>
  <si>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</si>
  <si>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</si>
  <si>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</si>
  <si>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</si>
  <si>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</si>
  <si>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</si>
  <si>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</si>
  <si>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</si>
  <si>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</si>
  <si>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</si>
  <si>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</si>
  <si>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</si>
  <si>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</si>
  <si>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</si>
  <si>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</si>
  <si>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</si>
  <si>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</si>
  <si>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</si>
  <si>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</si>
  <si>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</si>
  <si>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</si>
  <si>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</si>
  <si>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</si>
  <si>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</si>
  <si>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</si>
  <si>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</si>
  <si>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</si>
  <si>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</si>
  <si>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</si>
  <si>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</si>
  <si>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</si>
  <si>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</si>
  <si>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</si>
  <si>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</si>
  <si>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</si>
  <si>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</si>
  <si>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</si>
  <si>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</si>
  <si>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</si>
  <si>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</si>
  <si>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</si>
  <si>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</si>
  <si>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</si>
  <si>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</si>
  <si>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</si>
  <si>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</si>
  <si>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</si>
  <si>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</si>
  <si>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</si>
  <si>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</si>
  <si>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</si>
  <si>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</si>
  <si>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</si>
  <si>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</si>
  <si>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</si>
  <si>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</si>
  <si>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</si>
  <si>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</si>
  <si>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</si>
  <si>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</si>
  <si>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</si>
  <si>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</si>
  <si>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</si>
  <si>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</si>
  <si>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</si>
  <si>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</si>
  <si>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</si>
  <si>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</si>
  <si>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</si>
  <si>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</si>
  <si>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</si>
  <si>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</si>
  <si>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</si>
  <si>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</si>
  <si>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</si>
  <si>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</si>
  <si>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</si>
  <si>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</si>
  <si>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</si>
  <si>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</si>
  <si>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</si>
  <si>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</si>
  <si>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</si>
  <si>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</si>
  <si>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</si>
  <si>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</si>
  <si>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</si>
  <si>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</si>
  <si>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</si>
  <si>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</si>
  <si>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</si>
  <si>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</si>
  <si>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</si>
  <si>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</si>
  <si>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</si>
  <si>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</si>
  <si>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</si>
  <si>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</si>
  <si>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</si>
  <si>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</si>
  <si>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</si>
  <si>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</si>
  <si>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</si>
  <si>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</si>
  <si>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</si>
  <si>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</si>
  <si>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</si>
  <si>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</si>
  <si>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</si>
  <si>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</si>
  <si>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</si>
  <si>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</si>
  <si>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</si>
  <si>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</si>
  <si>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</si>
  <si>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</si>
  <si>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</si>
  <si>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</si>
  <si>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</si>
  <si>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</si>
  <si>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</si>
  <si>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</si>
  <si>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</si>
  <si>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</si>
  <si>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</si>
  <si>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</si>
  <si>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</si>
  <si>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</si>
  <si>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</si>
  <si>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</si>
  <si>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</si>
  <si>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</si>
  <si>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</si>
  <si>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</si>
  <si>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</si>
  <si>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</si>
  <si>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</si>
  <si>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</si>
  <si>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</si>
  <si>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</si>
  <si>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</si>
  <si>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</si>
  <si>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</si>
  <si>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</si>
  <si>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</si>
  <si>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</si>
  <si>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</si>
  <si>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</si>
  <si>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</si>
  <si>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</si>
  <si>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</si>
  <si>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</si>
  <si>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</si>
  <si>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</si>
  <si>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</si>
  <si>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</si>
  <si>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</si>
  <si>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</si>
  <si>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</si>
  <si>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</si>
  <si>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</si>
  <si>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</si>
  <si>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</si>
  <si>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</si>
  <si>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</si>
  <si>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</si>
  <si>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</si>
  <si>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</si>
  <si>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</si>
  <si>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</si>
  <si>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</si>
  <si>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</si>
  <si>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</si>
  <si>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</si>
  <si>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</si>
  <si>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</si>
  <si>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</si>
  <si>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</si>
  <si>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</si>
  <si>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</si>
  <si>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</si>
  <si>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</si>
  <si>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</si>
  <si>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</si>
  <si>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</si>
  <si>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</si>
  <si>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</si>
  <si>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</si>
  <si>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</si>
  <si>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</si>
  <si>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</si>
  <si>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</si>
  <si>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</si>
  <si>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</si>
  <si>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</si>
  <si>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</si>
  <si>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</si>
  <si>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</si>
  <si>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</si>
  <si>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</si>
  <si>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</si>
  <si>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</si>
  <si>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</si>
  <si>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</si>
  <si>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</si>
  <si>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</si>
  <si>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</si>
  <si>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</si>
  <si>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</si>
  <si>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</si>
  <si>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</si>
  <si>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</si>
  <si>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</si>
  <si>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</si>
  <si>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</si>
  <si>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</si>
  <si>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</si>
  <si>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</si>
  <si>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</si>
  <si>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</si>
  <si>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</si>
  <si>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</si>
  <si>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</si>
  <si>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</si>
  <si>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</si>
  <si>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</si>
  <si>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</si>
  <si>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</si>
  <si>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</si>
  <si>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</si>
  <si>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</si>
  <si>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</si>
  <si>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</si>
  <si>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</si>
  <si>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</si>
  <si>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</si>
  <si>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</si>
  <si>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</si>
  <si>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</si>
  <si>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</si>
  <si>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</si>
  <si>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</si>
  <si>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</si>
  <si>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</si>
  <si>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</si>
  <si>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</si>
  <si>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</si>
  <si>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</si>
  <si>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</si>
  <si>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</si>
  <si>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</si>
  <si>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</si>
  <si>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</si>
  <si>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</si>
  <si>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</si>
  <si>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</si>
  <si>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</si>
  <si>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</si>
  <si>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</si>
  <si>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</si>
  <si>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</si>
  <si>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</si>
  <si>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</si>
  <si>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</si>
  <si>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</si>
  <si>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</si>
  <si>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</si>
  <si>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</si>
  <si>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</si>
  <si>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</si>
  <si>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</si>
  <si>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</si>
  <si>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</si>
  <si>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</si>
  <si>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</si>
  <si>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</si>
  <si>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</si>
  <si>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</si>
  <si>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</si>
  <si>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</si>
  <si>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</si>
  <si>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</si>
  <si>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</si>
  <si>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</si>
  <si>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</si>
  <si>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</si>
  <si>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</si>
  <si>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</si>
  <si>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</si>
  <si>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</si>
  <si>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</si>
  <si>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</si>
  <si>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</si>
  <si>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</si>
  <si>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</si>
  <si>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</si>
  <si>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</si>
  <si>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</si>
  <si>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</si>
  <si>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</si>
  <si>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</si>
  <si>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</si>
  <si>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</si>
  <si>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</si>
  <si>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</si>
  <si>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</si>
  <si>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</si>
  <si>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</si>
  <si>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</si>
  <si>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</si>
  <si>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</si>
  <si>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</si>
  <si>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</si>
  <si>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</si>
  <si>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</si>
  <si>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</si>
  <si>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</si>
  <si>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</si>
  <si>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</si>
  <si>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</si>
  <si>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</si>
  <si>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</si>
  <si>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</si>
  <si>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</si>
  <si>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</si>
  <si>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</si>
  <si>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</si>
  <si>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</si>
  <si>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</si>
  <si>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</si>
  <si>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</si>
  <si>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</si>
  <si>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</si>
  <si>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</si>
  <si>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</si>
  <si>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</si>
  <si>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</si>
  <si>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</si>
  <si>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</si>
  <si>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</si>
  <si>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</si>
  <si>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</si>
  <si>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</si>
  <si>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</si>
  <si>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</si>
  <si>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</si>
  <si>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</si>
  <si>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</si>
  <si>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</si>
  <si>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</si>
  <si>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</si>
  <si>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</si>
  <si>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</si>
  <si>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</si>
  <si>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</si>
  <si>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</si>
  <si>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</si>
  <si>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</si>
  <si>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</si>
  <si>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</si>
  <si>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</si>
  <si>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</si>
  <si>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</si>
  <si>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</si>
  <si>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</si>
  <si>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</si>
  <si>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</si>
  <si>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</si>
  <si>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</si>
  <si>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</si>
  <si>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</si>
  <si>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</si>
  <si>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</si>
  <si>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</si>
  <si>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</si>
  <si>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</si>
  <si>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</si>
  <si>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</si>
  <si>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</si>
  <si>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</si>
  <si>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</si>
  <si>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</si>
  <si>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</si>
  <si>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</si>
  <si>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</si>
  <si>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</si>
  <si>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</si>
  <si>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</si>
  <si>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</si>
  <si>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</si>
  <si>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</si>
  <si>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</si>
  <si>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</si>
  <si>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</si>
  <si>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</si>
  <si>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</si>
  <si>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</si>
  <si>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</si>
  <si>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</si>
  <si>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</si>
  <si>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</si>
  <si>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</si>
  <si>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</si>
  <si>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</si>
  <si>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</si>
  <si>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</si>
  <si>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</si>
  <si>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</si>
  <si>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</si>
  <si>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</si>
  <si>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</si>
  <si>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</si>
  <si>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</si>
  <si>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</si>
  <si>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</si>
  <si>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</si>
  <si>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</si>
  <si>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</si>
  <si>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</si>
  <si>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</si>
  <si>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</si>
  <si>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</si>
  <si>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</si>
  <si>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</si>
  <si>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</si>
  <si>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</si>
  <si>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</si>
  <si>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</si>
  <si>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</si>
  <si>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</si>
  <si>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</si>
  <si>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</si>
  <si>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</si>
  <si>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</si>
  <si>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</si>
  <si>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</si>
  <si>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</si>
  <si>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</si>
  <si>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</si>
  <si>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</si>
  <si>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</si>
  <si>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</si>
  <si>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</si>
  <si>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</si>
  <si>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</si>
  <si>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</si>
  <si>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</si>
  <si>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</si>
  <si>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</si>
  <si>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</si>
  <si>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</si>
  <si>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</si>
  <si>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</si>
  <si>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</si>
  <si>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</si>
  <si>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</si>
  <si>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</si>
  <si>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</si>
  <si>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</si>
  <si>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</si>
  <si>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</si>
  <si>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</si>
  <si>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</si>
  <si>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</si>
  <si>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</si>
  <si>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</si>
  <si>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</si>
  <si>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</si>
  <si>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</si>
  <si>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</si>
  <si>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</si>
  <si>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</si>
  <si>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</si>
  <si>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</si>
  <si>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</si>
  <si>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</si>
  <si>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</si>
  <si>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</si>
  <si>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</si>
  <si>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</si>
  <si>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</si>
  <si>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</si>
  <si>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</si>
  <si>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</si>
  <si>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</si>
  <si>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</si>
  <si>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</si>
  <si>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</si>
  <si>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</si>
  <si>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</si>
  <si>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</si>
  <si>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</si>
  <si>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</si>
  <si>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</si>
  <si>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</si>
  <si>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</si>
  <si>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</si>
  <si>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</si>
  <si>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</si>
  <si>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</si>
  <si>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</si>
  <si>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</si>
  <si>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</si>
  <si>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</si>
  <si>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</si>
  <si>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</si>
  <si>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</si>
  <si>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</si>
  <si>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</si>
  <si>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</si>
  <si>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</si>
  <si>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</si>
  <si>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</si>
  <si>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</si>
  <si>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</si>
  <si>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</si>
  <si>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</si>
  <si>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</si>
  <si>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</si>
  <si>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</si>
  <si>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</si>
  <si>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</si>
  <si>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</si>
  <si>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</si>
  <si>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</si>
  <si>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</si>
  <si>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</si>
  <si>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</si>
  <si>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</si>
  <si>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</si>
  <si>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</si>
  <si>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</si>
  <si>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</si>
  <si>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</si>
  <si>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</si>
  <si>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</si>
  <si>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</si>
  <si>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</si>
  <si>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</si>
  <si>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</si>
  <si>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</si>
  <si>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</si>
  <si>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</si>
  <si>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</si>
  <si>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</si>
  <si>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</si>
  <si>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</si>
  <si>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</si>
  <si>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</si>
  <si>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</si>
  <si>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</si>
  <si>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</si>
  <si>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</si>
  <si>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</si>
  <si>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</si>
  <si>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</si>
  <si>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</si>
  <si>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</si>
  <si>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</si>
  <si>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</si>
  <si>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</si>
  <si>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</si>
  <si>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</si>
  <si>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</si>
  <si>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</si>
  <si>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</si>
  <si>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</si>
  <si>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</si>
  <si>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</si>
  <si>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</si>
  <si>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</si>
  <si>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</si>
  <si>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</si>
  <si>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</si>
  <si>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</si>
  <si>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</si>
  <si>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</si>
  <si>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</si>
  <si>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</si>
  <si>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</si>
  <si>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</si>
  <si>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</si>
  <si>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</si>
  <si>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</si>
  <si>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</si>
  <si>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</si>
  <si>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</si>
  <si>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</si>
  <si>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</si>
  <si>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</si>
  <si>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</si>
  <si>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</si>
  <si>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</si>
  <si>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</si>
  <si>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</si>
  <si>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</si>
  <si>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</si>
  <si>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</si>
  <si>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</si>
  <si>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</si>
  <si>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</si>
  <si>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</si>
  <si>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</si>
  <si>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</si>
  <si>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</si>
  <si>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</si>
  <si>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</si>
  <si>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</si>
  <si>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</si>
  <si>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</si>
  <si>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</si>
  <si>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</si>
  <si>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</si>
  <si>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</si>
  <si>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</si>
  <si>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</si>
  <si>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</si>
  <si>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</si>
  <si>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</si>
  <si>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</si>
  <si>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</si>
  <si>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</si>
  <si>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</si>
  <si>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</si>
  <si>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</si>
  <si>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</si>
  <si>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</si>
  <si>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</si>
  <si>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</si>
  <si>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</si>
  <si>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</si>
  <si>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</si>
  <si>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</si>
  <si>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</si>
  <si>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</si>
  <si>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</si>
  <si>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</si>
  <si>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</si>
  <si>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</si>
  <si>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</si>
  <si>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</si>
  <si>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</si>
  <si>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</si>
  <si>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</si>
  <si>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</si>
  <si>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</si>
  <si>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</si>
  <si>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</si>
  <si>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</si>
  <si>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</si>
  <si>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</si>
  <si>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</si>
  <si>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</si>
  <si>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</si>
  <si>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</si>
  <si>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</si>
  <si>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</si>
  <si>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</si>
  <si>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</si>
  <si>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</si>
  <si>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</si>
  <si>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</si>
  <si>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</si>
  <si>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</si>
  <si>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</si>
  <si>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</si>
  <si>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</si>
  <si>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</si>
  <si>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</si>
  <si>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</si>
  <si>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</si>
  <si>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</si>
  <si>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</si>
  <si>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</si>
  <si>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</si>
  <si>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</si>
  <si>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</si>
  <si>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</si>
  <si>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</si>
  <si>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</si>
  <si>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</si>
  <si>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</si>
  <si>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</si>
  <si>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</si>
  <si>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</si>
  <si>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</si>
  <si>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</si>
  <si>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</si>
  <si>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</si>
  <si>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</si>
  <si>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</si>
  <si>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</si>
  <si>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</si>
  <si>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</si>
  <si>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</si>
  <si>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</si>
  <si>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</si>
  <si>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</si>
  <si>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</si>
  <si>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</si>
  <si>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</si>
  <si>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</si>
  <si>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</si>
  <si>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</si>
  <si>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</si>
  <si>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</si>
  <si>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</si>
  <si>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</si>
  <si>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</si>
  <si>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</si>
  <si>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</si>
  <si>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</si>
  <si>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</si>
  <si>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</si>
  <si>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</si>
  <si>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</si>
  <si>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</si>
  <si>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</si>
  <si>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</si>
  <si>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</si>
  <si>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</si>
  <si>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</si>
  <si>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</si>
  <si>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</si>
  <si>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</si>
  <si>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</si>
  <si>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</si>
  <si>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</si>
  <si>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</si>
  <si>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</si>
  <si>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</si>
  <si>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</si>
  <si>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</si>
  <si>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</si>
  <si>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</si>
  <si>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</si>
  <si>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</si>
  <si>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</si>
  <si>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</si>
  <si>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</si>
  <si>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</si>
  <si>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</si>
  <si>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</si>
  <si>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</si>
  <si>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</si>
  <si>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</si>
  <si>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</si>
  <si>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</si>
  <si>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</si>
  <si>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</si>
  <si>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</si>
  <si>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</si>
  <si>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</si>
  <si>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</si>
  <si>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</si>
  <si>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</si>
  <si>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</si>
  <si>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</si>
  <si>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</si>
  <si>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</si>
  <si>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</si>
  <si>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</si>
  <si>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</si>
  <si>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</si>
  <si>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</si>
  <si>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</si>
  <si>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</si>
  <si>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</si>
  <si>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</si>
  <si>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</si>
  <si>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</si>
  <si>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</si>
  <si>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</si>
  <si>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</si>
  <si>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</si>
  <si>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</si>
  <si>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</si>
  <si>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</si>
  <si>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</si>
  <si>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</si>
  <si>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</si>
  <si>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</si>
  <si>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</si>
  <si>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</si>
  <si>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</si>
  <si>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</si>
  <si>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</si>
  <si>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</si>
  <si>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</si>
  <si>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</si>
  <si>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</si>
  <si>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</si>
  <si>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</si>
  <si>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</si>
  <si>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</si>
  <si>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</si>
  <si>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</si>
  <si>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</si>
  <si>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</si>
  <si>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</si>
  <si>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</si>
  <si>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</si>
  <si>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</si>
  <si>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</si>
  <si>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</si>
  <si>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</si>
  <si>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</si>
  <si>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</si>
  <si>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</si>
  <si>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</si>
  <si>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</si>
  <si>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</si>
  <si>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</si>
  <si>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</si>
  <si>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</si>
  <si>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</si>
  <si>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</si>
  <si>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</si>
  <si>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</si>
  <si>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</si>
  <si>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</si>
  <si>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</si>
  <si>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</si>
  <si>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</si>
  <si>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</si>
  <si>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</si>
  <si>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</si>
  <si>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</si>
  <si>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</si>
  <si>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</si>
  <si>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</si>
  <si>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</si>
  <si>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</si>
  <si>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</si>
  <si>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</si>
  <si>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</si>
  <si>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</si>
  <si>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</si>
  <si>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</si>
  <si>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</si>
  <si>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</si>
  <si>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</si>
  <si>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</si>
  <si>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</si>
  <si>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</si>
  <si>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</si>
  <si>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</si>
  <si>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</si>
  <si>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</si>
  <si>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</si>
  <si>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</si>
  <si>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</si>
  <si>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</si>
  <si>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</si>
  <si>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</si>
  <si>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</si>
  <si>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</si>
  <si>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</si>
  <si>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</si>
  <si>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</si>
  <si>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</si>
  <si>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</si>
  <si>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</si>
  <si>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</si>
  <si>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</si>
  <si>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</si>
  <si>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</si>
  <si>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</si>
  <si>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</si>
  <si>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</si>
  <si>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</si>
  <si>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</si>
  <si>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</si>
  <si>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</si>
  <si>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</si>
  <si>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</si>
  <si>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</si>
  <si>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</si>
  <si>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</si>
  <si>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</si>
  <si>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</si>
  <si>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</si>
  <si>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</si>
  <si>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</si>
  <si>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</si>
  <si>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</si>
  <si>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</si>
  <si>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</si>
  <si>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</si>
  <si>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</si>
  <si>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</si>
  <si>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</si>
  <si>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</si>
  <si>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</si>
  <si>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</si>
  <si>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</si>
  <si>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</si>
  <si>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</si>
  <si>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</si>
  <si>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</si>
  <si>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</si>
  <si>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</si>
  <si>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</si>
  <si>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</si>
  <si>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</si>
  <si>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</si>
  <si>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</si>
  <si>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</si>
  <si>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</si>
  <si>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</si>
  <si>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</si>
  <si>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</si>
  <si>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</si>
  <si>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</si>
  <si>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</si>
  <si>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</si>
  <si>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</si>
  <si>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</si>
  <si>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</si>
  <si>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</si>
  <si>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</si>
  <si>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</si>
  <si>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</si>
  <si>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</si>
  <si>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</si>
  <si>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</si>
  <si>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</si>
  <si>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</si>
  <si>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</si>
  <si>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</si>
  <si>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</si>
  <si>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</si>
  <si>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</si>
  <si>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</si>
  <si>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</si>
  <si>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</si>
  <si>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</si>
  <si>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</si>
  <si>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</si>
  <si>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</si>
  <si>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</si>
  <si>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</si>
  <si>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</si>
  <si>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</si>
  <si>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</si>
  <si>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</si>
  <si>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</si>
  <si>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</si>
  <si>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</si>
  <si>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</si>
  <si>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</si>
  <si>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</si>
  <si>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</si>
  <si>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</si>
  <si>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</si>
  <si>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</si>
  <si>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</si>
  <si>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</si>
  <si>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</si>
  <si>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</si>
  <si>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</si>
  <si>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</si>
  <si>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</si>
  <si>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</si>
  <si>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</si>
  <si>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</si>
  <si>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</si>
  <si>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</si>
  <si>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</si>
  <si>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</si>
  <si>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</si>
  <si>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</si>
  <si>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</si>
  <si>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</si>
  <si>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</si>
  <si>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</si>
  <si>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</si>
  <si>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</si>
  <si>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</si>
  <si>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</si>
  <si>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</si>
  <si>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</si>
  <si>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</si>
  <si>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</si>
  <si>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</si>
  <si>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</si>
  <si>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</si>
  <si>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</si>
  <si>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</si>
  <si>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</si>
  <si>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</si>
  <si>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</si>
  <si>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</si>
  <si>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</si>
  <si>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</si>
  <si>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</si>
  <si>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</si>
  <si>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</si>
  <si>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</si>
  <si>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</si>
  <si>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</si>
  <si>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</si>
  <si>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</si>
  <si>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</si>
  <si>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</si>
  <si>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</si>
  <si>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</si>
  <si>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</si>
  <si>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</si>
  <si>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</si>
  <si>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</si>
  <si>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</si>
  <si>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</si>
  <si>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</si>
  <si>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</si>
  <si>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</si>
  <si>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</si>
  <si>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</si>
  <si>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</si>
  <si>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</si>
  <si>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</si>
  <si>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</si>
  <si>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</si>
  <si>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</si>
  <si>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</si>
  <si>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</si>
  <si>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</si>
  <si>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</si>
  <si>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</si>
  <si>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</si>
  <si>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</si>
  <si>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</si>
  <si>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</si>
  <si>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</si>
  <si>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</si>
  <si>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</si>
  <si>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</si>
  <si>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</si>
  <si>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</si>
  <si>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</si>
  <si>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</si>
  <si>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</si>
  <si>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</si>
  <si>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</si>
  <si>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</si>
  <si>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</si>
  <si>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</si>
  <si>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</si>
  <si>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</si>
  <si>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</si>
  <si>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</si>
  <si>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</si>
  <si>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</si>
  <si>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</si>
  <si>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</si>
  <si>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</si>
  <si>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</si>
  <si>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</si>
  <si>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</si>
  <si>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</si>
  <si>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</si>
  <si>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</si>
  <si>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</si>
  <si>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</si>
  <si>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</si>
  <si>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</si>
  <si>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</si>
  <si>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</si>
  <si>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</si>
  <si>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</si>
  <si>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</si>
  <si>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</si>
  <si>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</si>
  <si>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</si>
  <si>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</si>
  <si>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</si>
  <si>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</si>
  <si>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</si>
  <si>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</si>
  <si>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</si>
  <si>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</si>
  <si>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</si>
  <si>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</si>
  <si>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</si>
  <si>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</si>
  <si>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</si>
  <si>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</si>
  <si>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</si>
  <si>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</si>
  <si>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</si>
  <si>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</si>
  <si>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</si>
  <si>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</si>
  <si>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</si>
  <si>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</si>
  <si>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</si>
  <si>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</si>
  <si>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</si>
  <si>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</si>
  <si>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</si>
  <si>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</si>
  <si>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</si>
  <si>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</si>
  <si>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</si>
  <si>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</si>
  <si>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</si>
  <si>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</si>
  <si>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</si>
  <si>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</si>
  <si>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</si>
  <si>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</si>
  <si>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</si>
  <si>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</si>
  <si>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</si>
  <si>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</si>
  <si>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</si>
  <si>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</si>
  <si>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</si>
  <si>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</si>
  <si>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</si>
  <si>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</si>
  <si>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</si>
  <si>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</si>
  <si>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</si>
  <si>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</si>
  <si>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</si>
  <si>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</si>
  <si>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</si>
  <si>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</si>
  <si>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</si>
  <si>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</si>
  <si>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</si>
  <si>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</si>
  <si>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</si>
  <si>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</si>
  <si>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</si>
  <si>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</si>
  <si>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</si>
  <si>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</si>
  <si>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</si>
  <si>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</si>
  <si>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</si>
  <si>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</si>
  <si>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</si>
  <si>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</si>
  <si>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</si>
  <si>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</si>
  <si>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</si>
  <si>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</si>
  <si>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</si>
  <si>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</si>
  <si>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</si>
  <si>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</si>
  <si>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</si>
  <si>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</si>
  <si>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</si>
  <si>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</si>
  <si>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</si>
  <si>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</si>
  <si>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</si>
  <si>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</si>
  <si>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</si>
  <si>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</si>
  <si>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</si>
  <si>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</si>
  <si>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</si>
  <si>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</si>
  <si>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</si>
  <si>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</si>
  <si>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</si>
  <si>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</si>
  <si>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</si>
  <si>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</si>
  <si>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</si>
  <si>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</si>
  <si>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</si>
  <si>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</si>
  <si>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</si>
  <si>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</si>
  <si>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</si>
  <si>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</si>
  <si>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</si>
  <si>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</si>
  <si>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</si>
  <si>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</si>
  <si>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</si>
  <si>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</si>
  <si>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</si>
  <si>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</si>
  <si>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</si>
  <si>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</si>
  <si>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</si>
  <si>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</si>
  <si>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</si>
  <si>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</si>
  <si>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</si>
  <si>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</si>
  <si>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</si>
  <si>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</si>
  <si>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</si>
  <si>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</si>
  <si>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</si>
  <si>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</si>
  <si>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</si>
  <si>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</si>
  <si>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</si>
  <si>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</si>
  <si>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</si>
  <si>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</si>
  <si>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</si>
  <si>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</si>
  <si>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</si>
  <si>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</si>
  <si>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</si>
  <si>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</si>
  <si>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</si>
  <si>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</si>
  <si>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</si>
  <si>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</si>
  <si>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</si>
  <si>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</si>
  <si>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</si>
  <si>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</si>
  <si>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</si>
  <si>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</si>
  <si>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</si>
  <si>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</si>
  <si>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</si>
  <si>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</si>
  <si>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</si>
  <si>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</si>
  <si>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</si>
  <si>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</si>
  <si>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</si>
  <si>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</si>
  <si>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</si>
  <si>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</si>
  <si>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</si>
  <si>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</si>
  <si>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</si>
  <si>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</si>
  <si>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</si>
  <si>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</si>
  <si>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</si>
  <si>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</si>
  <si>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</si>
  <si>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</si>
  <si>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</si>
  <si>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</si>
  <si>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</si>
  <si>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</si>
  <si>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</si>
  <si>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</si>
  <si>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</si>
  <si>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</si>
  <si>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</si>
  <si>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</si>
  <si>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</si>
  <si>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</si>
  <si>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</si>
  <si>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</si>
  <si>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</si>
  <si>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</si>
  <si>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</si>
  <si>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</si>
  <si>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</si>
  <si>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</si>
  <si>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</si>
  <si>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</si>
  <si>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</si>
  <si>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</si>
  <si>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</si>
  <si>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</si>
  <si>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</si>
  <si>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</si>
  <si>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</si>
  <si>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</si>
  <si>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</si>
  <si>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</si>
  <si>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</si>
  <si>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</si>
  <si>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</si>
  <si>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</si>
  <si>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</si>
  <si>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</si>
  <si>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</si>
  <si>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</si>
  <si>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</si>
  <si>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</si>
  <si>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</si>
  <si>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</si>
  <si>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</si>
  <si>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</si>
  <si>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</si>
  <si>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</si>
  <si>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</si>
  <si>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</si>
  <si>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</si>
  <si>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</si>
  <si>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</si>
  <si>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</si>
  <si>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</si>
  <si>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</si>
  <si>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</si>
  <si>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</si>
  <si>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</si>
  <si>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</si>
  <si>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</si>
  <si>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</si>
  <si>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</si>
  <si>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</si>
  <si>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</si>
  <si>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</si>
  <si>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</si>
  <si>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</si>
  <si>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</si>
  <si>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</si>
  <si>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</si>
  <si>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</si>
  <si>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</si>
  <si>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</si>
  <si>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</si>
  <si>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</si>
  <si>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</si>
  <si>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</si>
  <si>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</si>
  <si>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</si>
  <si>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</si>
  <si>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</si>
  <si>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</si>
  <si>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</si>
  <si>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</si>
  <si>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</si>
  <si>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</si>
  <si>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</si>
  <si>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</si>
  <si>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</si>
  <si>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</si>
  <si>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</si>
  <si>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</si>
  <si>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</si>
  <si>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</si>
  <si>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</si>
  <si>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</si>
  <si>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</si>
  <si>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</si>
  <si>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</si>
  <si>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</si>
  <si>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</si>
  <si>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</si>
  <si>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</si>
  <si>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</si>
  <si>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</si>
  <si>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</si>
  <si>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</si>
  <si>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</si>
  <si>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</si>
  <si>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</si>
  <si>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</si>
  <si>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</si>
  <si>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</si>
  <si>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</si>
  <si>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</si>
  <si>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</si>
  <si>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</si>
  <si>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</si>
  <si>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</si>
  <si>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</si>
  <si>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</si>
  <si>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</si>
  <si>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</si>
  <si>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</si>
  <si>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</si>
  <si>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</si>
  <si>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</si>
  <si>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</si>
  <si>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</si>
  <si>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</si>
  <si>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</si>
  <si>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</si>
  <si>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</si>
  <si>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</si>
  <si>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</si>
  <si>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</si>
  <si>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</si>
  <si>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</si>
  <si>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</si>
  <si>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</si>
  <si>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</si>
  <si>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</si>
  <si>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</si>
  <si>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</si>
  <si>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</si>
  <si>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</si>
  <si>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</si>
  <si>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</si>
  <si>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</si>
  <si>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</si>
  <si>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</si>
  <si>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</si>
  <si>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</si>
  <si>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</si>
  <si>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</si>
  <si>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</si>
  <si>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</si>
  <si>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</si>
  <si>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</si>
  <si>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</si>
  <si>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</si>
  <si>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</si>
  <si>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</si>
  <si>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</si>
  <si>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</si>
  <si>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</si>
  <si>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</si>
  <si>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</si>
  <si>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</si>
  <si>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</si>
  <si>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</si>
  <si>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</si>
  <si>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</si>
  <si>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</si>
  <si>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</si>
  <si>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</si>
  <si>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</si>
  <si>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</si>
  <si>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</si>
  <si>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</si>
  <si>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</si>
  <si>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</si>
  <si>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</si>
  <si>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</si>
  <si>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</si>
  <si>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</si>
  <si>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</si>
  <si>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</si>
  <si>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</si>
  <si>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</si>
  <si>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</si>
  <si>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</si>
  <si>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</si>
  <si>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</si>
  <si>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</si>
  <si>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</si>
  <si>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</si>
  <si>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</si>
  <si>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</si>
  <si>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</si>
  <si>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</si>
  <si>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</si>
  <si>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</si>
  <si>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</si>
  <si>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</si>
  <si>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</si>
  <si>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</si>
  <si>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</si>
  <si>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</si>
  <si>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</si>
  <si>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</si>
  <si>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</si>
  <si>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</si>
  <si>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</si>
  <si>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</si>
  <si>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</si>
  <si>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</si>
  <si>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</si>
  <si>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</si>
  <si>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</si>
  <si>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</si>
  <si>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</si>
  <si>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</si>
  <si>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</si>
  <si>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</si>
  <si>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</si>
  <si>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</si>
  <si>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</si>
  <si>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</si>
  <si>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</si>
  <si>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</si>
  <si>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</si>
  <si>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</si>
  <si>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</si>
  <si>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</si>
  <si>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</si>
  <si>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</si>
  <si>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</si>
  <si>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</si>
  <si>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</si>
  <si>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</si>
  <si>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</si>
  <si>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</si>
  <si>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</si>
  <si>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</si>
  <si>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</si>
  <si>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</si>
  <si>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</si>
  <si>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</si>
  <si>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</si>
  <si>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</si>
  <si>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</si>
  <si>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</si>
  <si>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</si>
  <si>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</si>
  <si>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</si>
  <si>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</si>
  <si>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</si>
  <si>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</si>
  <si>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</si>
  <si>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</si>
  <si>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</si>
  <si>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</si>
  <si>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</si>
  <si>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</si>
  <si>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</si>
  <si>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</si>
  <si>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</si>
  <si>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</si>
  <si>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</si>
  <si>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</si>
  <si>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</si>
  <si>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</si>
  <si>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</si>
  <si>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</si>
  <si>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</si>
  <si>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</si>
  <si>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</si>
  <si>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</si>
  <si>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</si>
  <si>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</si>
  <si>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</si>
  <si>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</si>
  <si>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</si>
  <si>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</si>
  <si>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</si>
  <si>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</si>
  <si>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</si>
  <si>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</si>
  <si>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</si>
  <si>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</si>
  <si>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</si>
  <si>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</si>
  <si>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</si>
  <si>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</si>
  <si>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</si>
  <si>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</si>
  <si>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</si>
  <si>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</si>
  <si>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</si>
  <si>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</si>
  <si>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</si>
  <si>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</si>
  <si>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</si>
  <si>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</si>
  <si>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</si>
  <si>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</si>
  <si>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</si>
  <si>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</si>
  <si>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</si>
  <si>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</si>
  <si>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</si>
  <si>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</si>
  <si>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</si>
  <si>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</si>
  <si>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</si>
  <si>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</si>
  <si>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</si>
  <si>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</si>
  <si>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</si>
  <si>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</si>
  <si>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</si>
  <si>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</si>
  <si>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</si>
  <si>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</si>
  <si>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</si>
  <si>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</si>
  <si>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</si>
  <si>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</si>
  <si>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</si>
  <si>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</si>
  <si>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</si>
  <si>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</si>
  <si>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</si>
  <si>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</si>
  <si>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</si>
  <si>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</si>
  <si>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</si>
  <si>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</si>
  <si>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</si>
  <si>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</si>
  <si>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</si>
  <si>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</si>
  <si>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</si>
  <si>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</si>
  <si>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</si>
  <si>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</si>
  <si>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</si>
  <si>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</si>
  <si>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</si>
  <si>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</si>
  <si>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</si>
  <si>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</si>
  <si>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</si>
  <si>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</si>
  <si>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</si>
  <si>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</si>
  <si>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</si>
  <si>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</si>
  <si>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</si>
  <si>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</si>
  <si>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</si>
  <si>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</si>
  <si>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</si>
  <si>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</si>
  <si>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</si>
  <si>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</si>
  <si>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</si>
  <si>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</si>
  <si>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</si>
  <si>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</si>
  <si>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</si>
  <si>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</si>
  <si>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</si>
  <si>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</si>
  <si>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</si>
  <si>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</si>
  <si>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</si>
  <si>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</si>
  <si>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</si>
  <si>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</si>
  <si>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</si>
  <si>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</si>
  <si>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</si>
  <si>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</si>
  <si>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</si>
  <si>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</si>
  <si>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</si>
  <si>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</si>
  <si>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</si>
  <si>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</si>
  <si>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</si>
  <si>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</si>
  <si>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</si>
  <si>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</si>
  <si>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</si>
  <si>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</si>
  <si>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</si>
  <si>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</si>
  <si>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</si>
  <si>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</si>
  <si>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</si>
  <si>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</si>
  <si>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</si>
  <si>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</si>
  <si>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</si>
  <si>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</si>
  <si>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</si>
  <si>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</si>
  <si>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</si>
  <si>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</si>
  <si>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</si>
  <si>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</si>
  <si>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</si>
  <si>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</si>
  <si>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</si>
  <si>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</si>
  <si>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</si>
  <si>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</si>
  <si>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</si>
  <si>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</si>
  <si>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</si>
  <si>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</si>
  <si>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</si>
  <si>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</si>
  <si>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</si>
  <si>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</si>
  <si>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</si>
  <si>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</si>
  <si>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</si>
  <si>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</si>
  <si>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</si>
  <si>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</si>
  <si>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</si>
  <si>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</si>
  <si>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</si>
  <si>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</si>
  <si>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</si>
  <si>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</si>
  <si>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</si>
  <si>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</si>
  <si>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</si>
  <si>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</si>
  <si>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</si>
  <si>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</si>
  <si>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</si>
  <si>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</si>
  <si>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</si>
  <si>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</si>
  <si>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</si>
  <si>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</si>
  <si>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</si>
  <si>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</si>
  <si>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</si>
  <si>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</si>
  <si>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</si>
  <si>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</si>
  <si>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</si>
  <si>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</si>
  <si>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</si>
  <si>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</si>
  <si>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</si>
  <si>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</si>
  <si>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</si>
  <si>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</si>
  <si>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</si>
  <si>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</si>
  <si>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</si>
  <si>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</si>
  <si>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</si>
  <si>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</si>
  <si>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</si>
  <si>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</si>
  <si>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</si>
  <si>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</si>
  <si>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</si>
  <si>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</si>
  <si>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</si>
  <si>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</si>
  <si>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</si>
  <si>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</si>
  <si>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</si>
  <si>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</si>
  <si>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</si>
  <si>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</si>
  <si>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</si>
  <si>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</si>
  <si>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</si>
  <si>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</si>
  <si>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</si>
  <si>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</si>
  <si>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</si>
  <si>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</si>
  <si>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</si>
  <si>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</si>
  <si>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</si>
  <si>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</si>
  <si>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</si>
  <si>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</si>
  <si>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</si>
  <si>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</si>
  <si>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</si>
  <si>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</si>
  <si>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</si>
  <si>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</si>
  <si>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</si>
  <si>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</si>
  <si>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</si>
  <si>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</si>
  <si>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</si>
  <si>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</si>
  <si>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</si>
  <si>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</si>
  <si>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</si>
  <si>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</si>
  <si>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</si>
  <si>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</si>
  <si>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</si>
  <si>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</si>
  <si>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</si>
  <si>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</si>
  <si>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</si>
  <si>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</si>
  <si>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</si>
  <si>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</si>
  <si>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</si>
  <si>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</si>
  <si>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</si>
  <si>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</si>
  <si>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</si>
  <si>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</si>
  <si>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</si>
  <si>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</si>
  <si>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</si>
  <si>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</si>
  <si>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</si>
  <si>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</si>
  <si>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</si>
  <si>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</si>
  <si>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</si>
  <si>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</si>
  <si>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</si>
  <si>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</si>
  <si>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</si>
  <si>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</si>
  <si>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</si>
  <si>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</si>
  <si>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</si>
  <si>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</si>
  <si>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</si>
  <si>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</si>
  <si>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</si>
  <si>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</si>
  <si>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</si>
  <si>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</si>
  <si>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</si>
  <si>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</si>
  <si>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</si>
  <si>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</si>
  <si>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</si>
  <si>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</si>
  <si>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</si>
  <si>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</si>
  <si>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</si>
  <si>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</si>
  <si>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</si>
  <si>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</si>
  <si>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</si>
  <si>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</si>
  <si>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</si>
  <si>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</si>
  <si>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</si>
  <si>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</si>
  <si>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</si>
  <si>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</si>
  <si>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</si>
  <si>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</si>
  <si>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</si>
  <si>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</si>
  <si>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</si>
  <si>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</si>
  <si>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</si>
  <si>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</si>
  <si>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</si>
  <si>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</si>
  <si>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</si>
  <si>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</si>
  <si>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</si>
  <si>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</si>
  <si>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</si>
  <si>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</si>
  <si>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</si>
  <si>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</si>
  <si>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</si>
  <si>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</si>
  <si>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</si>
  <si>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</si>
  <si>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</si>
  <si>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</si>
  <si>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</si>
  <si>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</si>
  <si>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</si>
  <si>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</si>
  <si>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</si>
  <si>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</si>
  <si>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</si>
  <si>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</si>
  <si>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</si>
  <si>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</si>
  <si>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</si>
  <si>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</si>
  <si>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</si>
  <si>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</si>
  <si>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</si>
  <si>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</si>
  <si>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</si>
  <si>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</si>
  <si>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</si>
  <si>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</si>
  <si>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</si>
  <si>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</si>
  <si>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</si>
  <si>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</si>
  <si>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</si>
  <si>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</si>
  <si>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</si>
  <si>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</si>
  <si>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</si>
  <si>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</si>
  <si>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</si>
  <si>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</si>
  <si>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</si>
  <si>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</si>
  <si>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</si>
  <si>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</si>
  <si>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</si>
  <si>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</si>
  <si>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</si>
  <si>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</si>
  <si>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</si>
  <si>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</si>
  <si>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</si>
  <si>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</si>
  <si>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</si>
  <si>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</si>
  <si>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</si>
  <si>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</si>
  <si>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</si>
  <si>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</si>
  <si>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</si>
  <si>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</si>
  <si>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</si>
  <si>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</si>
  <si>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</si>
  <si>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</si>
  <si>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</si>
  <si>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</si>
  <si>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</si>
  <si>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</si>
  <si>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</si>
  <si>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</si>
  <si>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</si>
  <si>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</si>
  <si>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</si>
  <si>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</si>
  <si>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</si>
  <si>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</si>
  <si>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</si>
  <si>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</si>
  <si>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</si>
  <si>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</si>
  <si>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</si>
  <si>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</si>
  <si>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</si>
  <si>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</si>
  <si>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</si>
  <si>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</si>
  <si>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</si>
  <si>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</si>
  <si>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</si>
  <si>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</si>
  <si>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</si>
  <si>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</si>
  <si>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</si>
  <si>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</si>
  <si>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</si>
  <si>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</si>
  <si>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</si>
  <si>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</si>
  <si>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</si>
  <si>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</si>
  <si>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</si>
  <si>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</si>
  <si>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</si>
  <si>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</si>
  <si>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</si>
  <si>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</si>
  <si>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</si>
  <si>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</si>
  <si>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</si>
  <si>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</si>
  <si>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</si>
  <si>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</si>
  <si>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</si>
  <si>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</si>
  <si>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</si>
  <si>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</si>
  <si>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</si>
  <si>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</si>
  <si>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</si>
  <si>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</si>
  <si>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</si>
  <si>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</si>
  <si>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</si>
  <si>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</si>
  <si>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</si>
  <si>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</si>
  <si>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</si>
  <si>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</si>
  <si>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</si>
  <si>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</si>
  <si>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</si>
  <si>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</si>
  <si>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</si>
  <si>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</si>
  <si>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</si>
  <si>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</si>
  <si>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</si>
  <si>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</si>
  <si>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</si>
  <si>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</si>
  <si>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</si>
  <si>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</si>
  <si>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</si>
  <si>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</si>
  <si>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</si>
  <si>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</si>
  <si>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</si>
  <si>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</si>
  <si>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</si>
  <si>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</si>
  <si>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</si>
  <si>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</si>
  <si>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</si>
  <si>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</si>
  <si>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</si>
  <si>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</si>
  <si>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</si>
  <si>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</si>
  <si>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</si>
  <si>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</si>
  <si>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</si>
  <si>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</si>
  <si>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</si>
  <si>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</si>
  <si>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</si>
  <si>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</si>
  <si>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</si>
  <si>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</si>
  <si>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</si>
  <si>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</si>
  <si>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</si>
  <si>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</si>
  <si>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</si>
  <si>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</si>
  <si>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</si>
  <si>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</si>
  <si>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</si>
  <si>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</si>
  <si>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</si>
  <si>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</si>
  <si>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</si>
  <si>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</si>
  <si>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</si>
  <si>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</si>
  <si>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</si>
  <si>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</si>
  <si>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</si>
  <si>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</si>
  <si>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</si>
  <si>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</si>
  <si>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</si>
  <si>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</si>
  <si>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</si>
  <si>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</si>
  <si>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</si>
  <si>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</si>
  <si>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</si>
  <si>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</si>
  <si>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</si>
  <si>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</si>
  <si>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</si>
  <si>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</si>
  <si>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</si>
  <si>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</si>
  <si>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</si>
  <si>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</si>
  <si>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</si>
  <si>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</si>
  <si>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</si>
  <si>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</si>
  <si>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</si>
  <si>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</si>
  <si>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</si>
  <si>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</si>
  <si>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</si>
  <si>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</si>
  <si>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</si>
  <si>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</si>
  <si>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</si>
  <si>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</si>
  <si>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</si>
  <si>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</si>
  <si>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</si>
  <si>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</si>
  <si>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</si>
  <si>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</si>
  <si>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</si>
  <si>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</si>
  <si>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</si>
  <si>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</si>
  <si>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</si>
  <si>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</si>
  <si>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</si>
  <si>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</si>
  <si>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</si>
  <si>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</si>
  <si>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</si>
  <si>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</si>
  <si>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</si>
  <si>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</si>
  <si>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</si>
  <si>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</si>
  <si>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</si>
  <si>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</si>
  <si>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</si>
  <si>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</si>
  <si>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</si>
  <si>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</si>
  <si>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</si>
  <si>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</si>
  <si>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</si>
  <si>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</si>
  <si>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</si>
  <si>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</si>
  <si>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</si>
  <si>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</si>
  <si>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</si>
  <si>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</si>
  <si>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</si>
  <si>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</si>
  <si>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</si>
  <si>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</si>
  <si>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</si>
  <si>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</si>
  <si>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</si>
  <si>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</si>
  <si>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</si>
  <si>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</si>
  <si>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</si>
  <si>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</si>
  <si>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</si>
  <si>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</si>
  <si>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</si>
  <si>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</si>
  <si>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</si>
  <si>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</si>
  <si>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</si>
  <si>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</si>
  <si>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</si>
  <si>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</si>
  <si>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</si>
  <si>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</si>
  <si>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</si>
  <si>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</si>
  <si>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</si>
  <si>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</si>
  <si>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</si>
  <si>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</si>
  <si>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</si>
  <si>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</si>
  <si>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</si>
  <si>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</si>
  <si>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</si>
  <si>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</si>
  <si>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</si>
  <si>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</si>
  <si>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</si>
  <si>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</si>
  <si>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</si>
  <si>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</si>
  <si>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</si>
  <si>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</si>
  <si>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</si>
  <si>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</si>
  <si>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</si>
  <si>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</si>
  <si>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</si>
  <si>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</si>
  <si>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</si>
  <si>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</si>
  <si>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</si>
  <si>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</si>
  <si>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</si>
  <si>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</si>
  <si>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</si>
  <si>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</si>
  <si>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</si>
  <si>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</si>
  <si>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</si>
  <si>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</si>
  <si>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</si>
  <si>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</si>
  <si>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</si>
  <si>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</si>
  <si>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</si>
  <si>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</si>
  <si>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</si>
  <si>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</si>
  <si>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</si>
  <si>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</si>
  <si>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</si>
  <si>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</si>
  <si>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</si>
  <si>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</si>
  <si>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</si>
  <si>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</si>
  <si>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</si>
  <si>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</si>
  <si>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</si>
  <si>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</si>
  <si>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</si>
  <si>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</si>
  <si>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</si>
  <si>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</si>
  <si>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</si>
  <si>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</si>
  <si>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</si>
  <si>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</si>
  <si>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</si>
  <si>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</si>
  <si>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</si>
  <si>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</si>
  <si>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</si>
  <si>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</si>
  <si>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</si>
  <si>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</si>
  <si>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</si>
  <si>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</si>
  <si>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</si>
  <si>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</si>
  <si>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</si>
  <si>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</si>
  <si>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</si>
  <si>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</si>
  <si>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</si>
  <si>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</si>
  <si>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</si>
  <si>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</si>
  <si>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</si>
  <si>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</si>
  <si>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</si>
  <si>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</si>
  <si>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</si>
  <si>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</si>
  <si>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</si>
  <si>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</si>
  <si>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</si>
  <si>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</si>
  <si>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</si>
  <si>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</si>
  <si>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</si>
  <si>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</si>
  <si>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</si>
  <si>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</si>
  <si>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</si>
  <si>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</si>
  <si>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</si>
  <si>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</si>
  <si>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</si>
  <si>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</si>
  <si>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</si>
  <si>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</si>
  <si>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</si>
  <si>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</si>
  <si>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</si>
  <si>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</si>
  <si>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</si>
  <si>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</si>
  <si>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</si>
  <si>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</si>
  <si>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</si>
  <si>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</si>
  <si>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</si>
  <si>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</si>
  <si>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</si>
  <si>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</si>
  <si>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</si>
  <si>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</si>
  <si>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</si>
  <si>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</si>
  <si>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</si>
  <si>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</si>
  <si>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</si>
  <si>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</si>
  <si>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</si>
  <si>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</si>
  <si>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</si>
  <si>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</si>
  <si>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</si>
  <si>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</si>
  <si>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</si>
  <si>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</si>
  <si>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</si>
  <si>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</si>
  <si>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</si>
  <si>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</si>
  <si>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</si>
  <si>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</si>
  <si>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</si>
  <si>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</si>
  <si>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</si>
  <si>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</si>
  <si>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</si>
  <si>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</si>
  <si>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</si>
  <si>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</si>
  <si>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</si>
  <si>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</si>
  <si>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</si>
  <si>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</si>
  <si>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</si>
  <si>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</si>
  <si>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</si>
  <si>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</si>
  <si>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</si>
  <si>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</si>
  <si>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</si>
  <si>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</si>
  <si>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</si>
  <si>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</si>
  <si>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</si>
  <si>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</si>
  <si>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</si>
  <si>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</si>
  <si>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</si>
  <si>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</si>
  <si>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</si>
  <si>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</si>
  <si>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</si>
  <si>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</si>
  <si>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</si>
  <si>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</si>
  <si>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</si>
  <si>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</si>
  <si>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</si>
  <si>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</si>
  <si>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</si>
  <si>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</si>
  <si>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</si>
  <si>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</si>
  <si>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</si>
  <si>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</si>
  <si>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</si>
  <si>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</si>
  <si>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</si>
  <si>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</si>
  <si>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</si>
  <si>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</si>
  <si>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</si>
  <si>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</si>
  <si>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</si>
  <si>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</si>
  <si>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</si>
  <si>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</si>
  <si>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</si>
  <si>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</si>
  <si>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</si>
  <si>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</si>
  <si>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</si>
  <si>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</si>
  <si>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</si>
  <si>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</si>
  <si>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</si>
  <si>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</si>
  <si>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</si>
  <si>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</si>
  <si>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</si>
  <si>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</si>
  <si>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</si>
  <si>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</si>
  <si>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</si>
  <si>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</si>
  <si>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</si>
  <si>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</si>
  <si>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</si>
  <si>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</si>
  <si>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</si>
  <si>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</si>
  <si>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</si>
  <si>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</si>
  <si>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</si>
  <si>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</si>
  <si>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</si>
  <si>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</si>
  <si>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</si>
  <si>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</si>
  <si>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</si>
  <si>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</si>
  <si>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</si>
  <si>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</si>
  <si>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</si>
  <si>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</si>
  <si>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</si>
  <si>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</si>
  <si>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</si>
  <si>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</si>
  <si>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</si>
  <si>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</si>
  <si>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</si>
  <si>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</si>
  <si>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</si>
  <si>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</si>
  <si>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</si>
  <si>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</si>
  <si>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</si>
  <si>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</si>
  <si>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</si>
  <si>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</si>
  <si>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</si>
  <si>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</si>
  <si>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</si>
  <si>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</si>
  <si>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</si>
  <si>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</si>
  <si>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</si>
  <si>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</si>
  <si>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</si>
  <si>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</si>
  <si>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</si>
  <si>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</si>
  <si>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</si>
  <si>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</si>
  <si>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</si>
  <si>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</si>
  <si>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</si>
  <si>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</si>
  <si>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</si>
  <si>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</si>
  <si>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</si>
  <si>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</si>
  <si>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</si>
  <si>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</si>
  <si>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</si>
  <si>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</si>
  <si>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</si>
  <si>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</si>
  <si>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</si>
  <si>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</si>
  <si>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</si>
  <si>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</si>
  <si>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</si>
  <si>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</si>
  <si>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</si>
  <si>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</si>
  <si>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</si>
  <si>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</si>
  <si>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</si>
  <si>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</si>
  <si>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</si>
  <si>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</si>
  <si>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</si>
  <si>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</si>
  <si>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</si>
  <si>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</si>
  <si>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</si>
  <si>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</si>
  <si>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</si>
  <si>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</si>
  <si>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</si>
  <si>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</si>
  <si>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</si>
  <si>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</si>
  <si>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</si>
  <si>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</si>
  <si>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</si>
  <si>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</si>
  <si>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</si>
  <si>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</si>
  <si>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</si>
  <si>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</si>
  <si>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</si>
  <si>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</si>
  <si>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</si>
  <si>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</si>
  <si>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</si>
  <si>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</si>
  <si>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</si>
  <si>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</si>
  <si>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</si>
  <si>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</si>
  <si>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</si>
  <si>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</si>
  <si>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</si>
  <si>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</si>
  <si>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</si>
  <si>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</si>
  <si>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</si>
  <si>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</si>
  <si>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</si>
  <si>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</si>
  <si>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</si>
  <si>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</si>
  <si>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</si>
  <si>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</si>
  <si>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</si>
  <si>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</si>
  <si>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</si>
  <si>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</si>
  <si>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</si>
  <si>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</si>
  <si>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</si>
  <si>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</si>
  <si>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</si>
  <si>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</si>
  <si>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</si>
  <si>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</si>
  <si>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</si>
  <si>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</si>
  <si>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</si>
  <si>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</si>
  <si>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</si>
  <si>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</si>
  <si>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</si>
  <si>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</si>
  <si>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</si>
  <si>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</si>
  <si>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</si>
  <si>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</si>
  <si>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</si>
  <si>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</si>
  <si>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</si>
  <si>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</si>
  <si>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</si>
  <si>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</si>
  <si>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</si>
  <si>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</si>
  <si>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</si>
  <si>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</si>
  <si>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</si>
  <si>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</si>
  <si>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</si>
  <si>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</si>
  <si>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</si>
  <si>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</si>
  <si>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</si>
  <si>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</si>
  <si>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</si>
  <si>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</si>
  <si>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</si>
  <si>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</si>
  <si>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</si>
  <si>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</si>
  <si>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</si>
  <si>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</si>
  <si>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</si>
  <si>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</si>
  <si>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</si>
  <si>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</si>
  <si>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</si>
  <si>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</si>
  <si>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</si>
  <si>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</si>
  <si>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</si>
  <si>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</si>
  <si>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</si>
  <si>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</si>
  <si>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</si>
  <si>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</si>
  <si>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</si>
  <si>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</si>
  <si>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</si>
  <si>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</si>
  <si>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</si>
  <si>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</si>
  <si>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</si>
  <si>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</si>
  <si>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</si>
  <si>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</si>
  <si>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</si>
  <si>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</si>
  <si>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</si>
  <si>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</si>
  <si>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</si>
  <si>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</si>
  <si>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</si>
  <si>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</si>
  <si>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</si>
  <si>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</si>
  <si>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</si>
  <si>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</si>
  <si>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</si>
  <si>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</si>
  <si>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</si>
  <si>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</si>
  <si>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</si>
  <si>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</si>
  <si>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</si>
  <si>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</si>
  <si>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</si>
  <si>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</si>
  <si>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</si>
  <si>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</si>
  <si>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</si>
  <si>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</si>
  <si>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</si>
  <si>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</si>
  <si>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</si>
  <si>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</si>
  <si>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</si>
  <si>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</si>
  <si>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</si>
  <si>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</si>
  <si>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</si>
  <si>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</si>
  <si>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</si>
  <si>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</si>
  <si>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</si>
  <si>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</si>
  <si>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</si>
  <si>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</si>
  <si>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</si>
  <si>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</si>
  <si>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</si>
  <si>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</si>
  <si>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</si>
  <si>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</si>
  <si>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</si>
  <si>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</si>
  <si>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</si>
  <si>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</si>
  <si>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</si>
  <si>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</si>
  <si>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</si>
  <si>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</si>
  <si>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</si>
  <si>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</si>
  <si>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</si>
  <si>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</si>
  <si>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</si>
  <si>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</si>
  <si>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</si>
  <si>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</si>
  <si>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</si>
  <si>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</si>
  <si>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</si>
  <si>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</si>
  <si>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</si>
  <si>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</si>
  <si>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</si>
  <si>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</si>
  <si>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</si>
  <si>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</si>
  <si>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</si>
  <si>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</si>
  <si>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</si>
  <si>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</si>
  <si>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</si>
  <si>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</si>
  <si>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</si>
  <si>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</si>
  <si>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</si>
  <si>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</si>
  <si>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</si>
  <si>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</si>
  <si>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</si>
  <si>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</si>
  <si>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</si>
  <si>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</si>
  <si>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</si>
  <si>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</si>
  <si>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</si>
  <si>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</si>
  <si>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</si>
  <si>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</si>
  <si>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</si>
  <si>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</si>
  <si>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</si>
  <si>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</si>
  <si>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</si>
  <si>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</si>
  <si>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</si>
  <si>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</si>
  <si>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</si>
  <si>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</si>
  <si>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</si>
  <si>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</si>
  <si>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</si>
  <si>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</si>
  <si>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</si>
  <si>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</si>
  <si>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</si>
  <si>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</si>
  <si>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</si>
  <si>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</si>
  <si>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吴薇</t>
  </si>
  <si>
    <t>抵押</t>
  </si>
  <si>
    <t>房地产抵押价值</t>
  </si>
  <si>
    <t>已注销</t>
  </si>
  <si>
    <t>是</t>
  </si>
  <si>
    <t>Ⅱ—13</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</si>
  <si>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</si>
  <si>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</si>
  <si>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</si>
  <si>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</si>
  <si>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</si>
  <si>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</si>
  <si>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</si>
  <si>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</si>
  <si>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</si>
  <si>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</si>
  <si>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</si>
  <si>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</si>
  <si>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</si>
  <si>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</si>
  <si>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</si>
  <si>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</si>
  <si>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</si>
  <si>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</si>
  <si>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</si>
  <si>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</si>
  <si>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</si>
  <si>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</si>
  <si>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</si>
  <si>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</si>
  <si>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</si>
  <si>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</si>
  <si>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</si>
  <si>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建筑面积</t>
    <phoneticPr fontId="135" type="noConversion"/>
  </si>
  <si>
    <t>已出租面积</t>
    <phoneticPr fontId="135" type="noConversion"/>
  </si>
  <si>
    <t>租金</t>
    <phoneticPr fontId="135" type="noConversion"/>
  </si>
  <si>
    <t>1层</t>
    <phoneticPr fontId="135" type="noConversion"/>
  </si>
  <si>
    <t>商业，其余为爱奇艺</t>
    <phoneticPr fontId="135" type="noConversion"/>
  </si>
  <si>
    <t>2层</t>
    <phoneticPr fontId="135" type="noConversion"/>
  </si>
  <si>
    <t>商业（爱奇艺）</t>
    <phoneticPr fontId="135" type="noConversion"/>
  </si>
  <si>
    <t>3层</t>
    <phoneticPr fontId="135" type="noConversion"/>
  </si>
  <si>
    <t>4层</t>
    <phoneticPr fontId="135" type="noConversion"/>
  </si>
  <si>
    <t>地下1层</t>
    <phoneticPr fontId="135" type="noConversion"/>
  </si>
  <si>
    <t>商业</t>
    <phoneticPr fontId="135" type="noConversion"/>
  </si>
  <si>
    <t>地下2-4层</t>
    <phoneticPr fontId="135" type="noConversion"/>
  </si>
  <si>
    <t>车库</t>
    <phoneticPr fontId="135" type="noConversion"/>
  </si>
  <si>
    <t>地上</t>
  </si>
  <si>
    <t>其他</t>
    <phoneticPr fontId="4" type="noConversion"/>
  </si>
  <si>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</si>
  <si>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</si>
  <si>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</si>
  <si>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</si>
  <si>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</si>
  <si>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</si>
  <si>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</si>
  <si>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</si>
  <si>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</si>
  <si>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</si>
  <si>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</si>
  <si>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</si>
  <si>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</si>
  <si>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</si>
  <si>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</si>
  <si>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</si>
  <si>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</si>
  <si>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</si>
  <si>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</si>
  <si>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</si>
  <si>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</si>
  <si>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产权车位个数</t>
    <phoneticPr fontId="135" type="noConversion"/>
  </si>
  <si>
    <t>项目局部</t>
  </si>
  <si>
    <t>成本法</t>
  </si>
  <si>
    <t>收益法（汇总）</t>
  </si>
  <si>
    <t>地上商业</t>
    <phoneticPr fontId="8" type="noConversion"/>
  </si>
  <si>
    <t>地下商业</t>
    <phoneticPr fontId="8" type="noConversion"/>
  </si>
  <si>
    <t>地下车库</t>
    <phoneticPr fontId="8" type="noConversion"/>
  </si>
  <si>
    <r>
      <rPr>
        <sz val="11"/>
        <color theme="1"/>
        <rFont val="华文细黑"/>
        <family val="3"/>
        <charset val="134"/>
      </rPr>
      <t>序号</t>
    </r>
    <phoneticPr fontId="135" type="noConversion"/>
  </si>
  <si>
    <r>
      <rPr>
        <sz val="11"/>
        <color theme="1"/>
        <rFont val="华文细黑"/>
        <family val="3"/>
        <charset val="134"/>
      </rPr>
      <t>楼层</t>
    </r>
    <phoneticPr fontId="135" type="noConversion"/>
  </si>
  <si>
    <r>
      <rPr>
        <sz val="11"/>
        <color theme="1"/>
        <rFont val="华文细黑"/>
        <family val="3"/>
        <charset val="134"/>
      </rPr>
      <t>房号</t>
    </r>
    <phoneticPr fontId="135" type="noConversion"/>
  </si>
  <si>
    <r>
      <rPr>
        <sz val="11"/>
        <color theme="1"/>
        <rFont val="华文细黑"/>
        <family val="3"/>
        <charset val="134"/>
      </rPr>
      <t>建筑面积</t>
    </r>
    <phoneticPr fontId="135" type="noConversion"/>
  </si>
  <si>
    <r>
      <t>-4</t>
    </r>
    <r>
      <rPr>
        <sz val="11"/>
        <color theme="1"/>
        <rFont val="华文细黑"/>
        <family val="3"/>
        <charset val="134"/>
      </rPr>
      <t>层</t>
    </r>
    <phoneticPr fontId="135" type="noConversion"/>
  </si>
  <si>
    <r>
      <t>-3</t>
    </r>
    <r>
      <rPr>
        <sz val="11"/>
        <color theme="1"/>
        <rFont val="华文细黑"/>
        <family val="3"/>
        <charset val="134"/>
      </rPr>
      <t>层</t>
    </r>
    <phoneticPr fontId="135" type="noConversion"/>
  </si>
  <si>
    <r>
      <t>-3</t>
    </r>
    <r>
      <rPr>
        <sz val="11"/>
        <color theme="1"/>
        <rFont val="华文细黑"/>
        <family val="3"/>
        <charset val="134"/>
      </rPr>
      <t>层</t>
    </r>
    <phoneticPr fontId="135" type="noConversion"/>
  </si>
  <si>
    <r>
      <t>-2</t>
    </r>
    <r>
      <rPr>
        <sz val="11"/>
        <color theme="1"/>
        <rFont val="华文细黑"/>
        <family val="3"/>
        <charset val="134"/>
      </rPr>
      <t>层</t>
    </r>
    <phoneticPr fontId="135" type="noConversion"/>
  </si>
  <si>
    <r>
      <t>-1</t>
    </r>
    <r>
      <rPr>
        <sz val="11"/>
        <color theme="1"/>
        <rFont val="华文细黑"/>
        <family val="3"/>
        <charset val="134"/>
      </rPr>
      <t>层</t>
    </r>
    <phoneticPr fontId="135" type="noConversion"/>
  </si>
  <si>
    <r>
      <t>1</t>
    </r>
    <r>
      <rPr>
        <sz val="11"/>
        <color theme="1"/>
        <rFont val="华文细黑"/>
        <family val="3"/>
        <charset val="134"/>
      </rPr>
      <t>层</t>
    </r>
    <phoneticPr fontId="135" type="noConversion"/>
  </si>
  <si>
    <r>
      <t>1</t>
    </r>
    <r>
      <rPr>
        <sz val="11"/>
        <color theme="1"/>
        <rFont val="华文细黑"/>
        <family val="3"/>
        <charset val="134"/>
      </rPr>
      <t>层小计</t>
    </r>
    <phoneticPr fontId="135" type="noConversion"/>
  </si>
  <si>
    <r>
      <t>2</t>
    </r>
    <r>
      <rPr>
        <sz val="11"/>
        <color theme="1"/>
        <rFont val="华文细黑"/>
        <family val="3"/>
        <charset val="134"/>
      </rPr>
      <t>层</t>
    </r>
    <phoneticPr fontId="135" type="noConversion"/>
  </si>
  <si>
    <r>
      <t>3</t>
    </r>
    <r>
      <rPr>
        <sz val="11"/>
        <color theme="1"/>
        <rFont val="华文细黑"/>
        <family val="3"/>
        <charset val="134"/>
      </rPr>
      <t>层</t>
    </r>
    <phoneticPr fontId="135" type="noConversion"/>
  </si>
  <si>
    <r>
      <t>3</t>
    </r>
    <r>
      <rPr>
        <sz val="11"/>
        <color theme="1"/>
        <rFont val="华文细黑"/>
        <family val="3"/>
        <charset val="134"/>
      </rPr>
      <t>层小计</t>
    </r>
    <phoneticPr fontId="135" type="noConversion"/>
  </si>
  <si>
    <r>
      <t>4</t>
    </r>
    <r>
      <rPr>
        <sz val="11"/>
        <color theme="1"/>
        <rFont val="华文细黑"/>
        <family val="3"/>
        <charset val="134"/>
      </rPr>
      <t>层</t>
    </r>
    <phoneticPr fontId="135" type="noConversion"/>
  </si>
  <si>
    <r>
      <t>4</t>
    </r>
    <r>
      <rPr>
        <sz val="11"/>
        <color theme="1"/>
        <rFont val="华文细黑"/>
        <family val="3"/>
        <charset val="134"/>
      </rPr>
      <t>层小计</t>
    </r>
    <phoneticPr fontId="135" type="noConversion"/>
  </si>
  <si>
    <t>规划用途</t>
    <phoneticPr fontId="135" type="noConversion"/>
  </si>
  <si>
    <t>办公</t>
    <phoneticPr fontId="135" type="noConversion"/>
  </si>
  <si>
    <t>地上车库</t>
    <phoneticPr fontId="135" type="noConversion"/>
  </si>
  <si>
    <t>车位</t>
    <phoneticPr fontId="135" type="noConversion"/>
  </si>
  <si>
    <r>
      <t>14</t>
    </r>
    <r>
      <rPr>
        <sz val="11"/>
        <color theme="1"/>
        <rFont val="宋体"/>
        <family val="3"/>
        <charset val="134"/>
      </rPr>
      <t>层小计</t>
    </r>
    <phoneticPr fontId="135" type="noConversion"/>
  </si>
  <si>
    <r>
      <t>-3</t>
    </r>
    <r>
      <rPr>
        <sz val="11"/>
        <color theme="1"/>
        <rFont val="宋体"/>
        <family val="3"/>
        <charset val="134"/>
      </rPr>
      <t>层小计</t>
    </r>
    <phoneticPr fontId="135" type="noConversion"/>
  </si>
  <si>
    <t>地下商业</t>
    <phoneticPr fontId="135" type="noConversion"/>
  </si>
  <si>
    <t>地下2层</t>
  </si>
  <si>
    <t>地下3层</t>
  </si>
  <si>
    <t>地下4层</t>
  </si>
  <si>
    <t>合计</t>
    <phoneticPr fontId="135" type="noConversion"/>
  </si>
  <si>
    <t>未标注用途</t>
    <phoneticPr fontId="135" type="noConversion"/>
  </si>
  <si>
    <t>合计</t>
    <phoneticPr fontId="135" type="noConversion"/>
  </si>
  <si>
    <t>商务金融用地</t>
  </si>
  <si>
    <t>容积率</t>
    <phoneticPr fontId="135" type="noConversion"/>
  </si>
  <si>
    <t>地下合计</t>
    <phoneticPr fontId="135" type="noConversion"/>
  </si>
  <si>
    <t>地上合计</t>
    <phoneticPr fontId="135" type="noConversion"/>
  </si>
  <si>
    <t>土地面积</t>
    <phoneticPr fontId="135" type="noConversion"/>
  </si>
  <si>
    <t>收益法办</t>
  </si>
  <si>
    <t>收益法办</t>
    <phoneticPr fontId="17" type="noConversion"/>
  </si>
  <si>
    <t>基准地价修正办</t>
  </si>
  <si>
    <t>基准地价修正办</t>
    <phoneticPr fontId="17" type="noConversion"/>
  </si>
  <si>
    <t>基准地价修正车</t>
  </si>
  <si>
    <t>基准地价修正车</t>
    <phoneticPr fontId="17" type="noConversion"/>
  </si>
  <si>
    <t>收益法上车</t>
    <phoneticPr fontId="17" type="noConversion"/>
  </si>
  <si>
    <t>车库</t>
    <phoneticPr fontId="135" type="noConversion"/>
  </si>
  <si>
    <t>未包含在土地购买价格中</t>
  </si>
  <si>
    <t>全部缴纳</t>
  </si>
  <si>
    <t>已包含在土地取得成本中</t>
  </si>
  <si>
    <t>综合</t>
    <phoneticPr fontId="4" type="noConversion"/>
  </si>
  <si>
    <t>综合</t>
  </si>
  <si>
    <t>成本比率</t>
  </si>
  <si>
    <t>总价</t>
  </si>
  <si>
    <t>综合</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</si>
</sst>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0" fontId="99" fillId="0" borderId="1" xfId="0" applyFont="1" applyBorder="1">
      <alignment vertical="center"/>
    </xf>
    <xf numFmtId="49" fontId="99" fillId="0" borderId="1" xfId="0" applyNumberFormat="1" applyFont="1" applyBorder="1">
      <alignment vertical="center"/>
    </xf>
    <xf numFmtId="1" fontId="165" fillId="0" borderId="1" xfId="0" applyNumberFormat="1" applyFont="1" applyFill="1" applyBorder="1" applyAlignment="1">
      <alignment horizontal="center" vertical="center" wrapText="1"/>
    </xf>
    <xf numFmtId="2" fontId="165" fillId="0" borderId="1" xfId="0" applyNumberFormat="1" applyFont="1" applyFill="1" applyBorder="1" applyAlignment="1">
      <alignment horizontal="center" vertical="center" wrapText="1"/>
    </xf>
    <xf numFmtId="1" fontId="165" fillId="0" borderId="1" xfId="0" applyNumberFormat="1" applyFont="1" applyFill="1" applyBorder="1" applyAlignment="1">
      <alignment horizontal="center" wrapText="1"/>
    </xf>
    <xf numFmtId="196" fontId="165" fillId="0" borderId="1" xfId="0" applyNumberFormat="1" applyFont="1" applyFill="1" applyBorder="1" applyAlignment="1">
      <alignment horizontal="center" vertical="center" wrapText="1"/>
    </xf>
    <xf numFmtId="2" fontId="165" fillId="0" borderId="1" xfId="0" applyNumberFormat="1" applyFont="1" applyFill="1" applyBorder="1" applyAlignment="1">
      <alignment horizontal="center" wrapText="1"/>
    </xf>
    <xf numFmtId="0" fontId="99" fillId="0" borderId="1" xfId="0" applyFont="1" applyFill="1" applyBorder="1" applyAlignment="1">
      <alignment horizontal="center" vertical="center" wrapText="1"/>
    </xf>
    <xf numFmtId="0" fontId="165" fillId="0" borderId="1" xfId="0" applyNumberFormat="1" applyFont="1" applyFill="1" applyBorder="1" applyAlignment="1">
      <alignment horizontal="center" vertical="center" wrapText="1"/>
    </xf>
    <xf numFmtId="1" fontId="267" fillId="0" borderId="1" xfId="0" applyNumberFormat="1" applyFont="1" applyFill="1" applyBorder="1" applyAlignment="1">
      <alignment horizontal="center" vertical="center" wrapText="1"/>
    </xf>
    <xf numFmtId="2" fontId="267" fillId="0" borderId="1" xfId="0" applyNumberFormat="1" applyFont="1" applyFill="1" applyBorder="1" applyAlignment="1">
      <alignment horizontal="center" vertical="center" wrapText="1"/>
    </xf>
    <xf numFmtId="1" fontId="267" fillId="0" borderId="1" xfId="0" applyNumberFormat="1" applyFont="1" applyFill="1" applyBorder="1" applyAlignment="1">
      <alignment horizontal="center" wrapText="1"/>
    </xf>
    <xf numFmtId="1" fontId="267" fillId="5" borderId="1" xfId="0" applyNumberFormat="1" applyFont="1" applyFill="1" applyBorder="1" applyAlignment="1">
      <alignment horizontal="center" vertical="center" wrapText="1"/>
    </xf>
    <xf numFmtId="2" fontId="267" fillId="5" borderId="1" xfId="0" applyNumberFormat="1" applyFont="1" applyFill="1" applyBorder="1" applyAlignment="1">
      <alignment horizontal="center" vertical="center" wrapText="1"/>
    </xf>
    <xf numFmtId="0" fontId="99" fillId="5" borderId="0" xfId="0" applyFont="1" applyFill="1">
      <alignment vertical="center"/>
    </xf>
    <xf numFmtId="49" fontId="99" fillId="0" borderId="0" xfId="0" applyNumberFormat="1" applyFont="1">
      <alignment vertical="center"/>
    </xf>
    <xf numFmtId="0" fontId="115" fillId="0" borderId="1" xfId="0" applyFont="1" applyBorder="1">
      <alignment vertical="center"/>
    </xf>
    <xf numFmtId="2" fontId="164" fillId="0" borderId="1" xfId="0" applyNumberFormat="1" applyFont="1" applyFill="1" applyBorder="1" applyAlignment="1">
      <alignment horizontal="center" vertical="center" wrapText="1"/>
    </xf>
    <xf numFmtId="196" fontId="164" fillId="0" borderId="1" xfId="0" applyNumberFormat="1" applyFont="1" applyFill="1" applyBorder="1" applyAlignment="1">
      <alignment horizontal="center" vertical="center" wrapText="1"/>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2" fontId="96" fillId="0" borderId="1" xfId="10" applyNumberFormat="1" applyBorder="1" applyAlignment="1">
      <alignment vertical="center"/>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179" fontId="99" fillId="0" borderId="0" xfId="0" applyNumberFormat="1" applyFont="1">
      <alignment vertical="center"/>
    </xf>
    <xf numFmtId="0" fontId="99" fillId="0" borderId="0" xfId="0" applyNumberFormat="1" applyFont="1">
      <alignment vertical="center"/>
    </xf>
    <xf numFmtId="0" fontId="54" fillId="22" borderId="29" xfId="0" applyFont="1" applyFill="1" applyBorder="1" applyAlignment="1" applyProtection="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49" fontId="99" fillId="0" borderId="1" xfId="0" applyNumberFormat="1" applyFont="1" applyBorder="1" applyAlignment="1">
      <alignment horizontal="center" vertical="center"/>
    </xf>
    <xf numFmtId="49" fontId="99" fillId="0" borderId="5" xfId="0" applyNumberFormat="1" applyFont="1" applyBorder="1" applyAlignment="1">
      <alignment horizontal="center" vertical="center"/>
    </xf>
    <xf numFmtId="49" fontId="99" fillId="0" borderId="3" xfId="0" applyNumberFormat="1" applyFont="1" applyBorder="1" applyAlignment="1">
      <alignment horizontal="center" vertical="center"/>
    </xf>
    <xf numFmtId="49" fontId="115" fillId="0" borderId="1" xfId="0" applyNumberFormat="1"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298-&#27704;&#21033;&#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row r="31">
          <cell r="G31">
            <v>0</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37037.009999999995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郑燚（注册号：1120070131)、吴薇（注册号：1419970001)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估价对象为房地产，为所有。根据《国有土地使用证》[]，估价对象（分摊）出让国有建设用地使用权面积为10858.85平方米，建筑面积为78855.1300000001平方米。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10858.85平方米，规划建筑面积为78855.1300000001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2024年7月4日（评估专业人员实地查勘之日）</v>
      </c>
    </row>
    <row r="13" spans="1:2" s="1198" customFormat="1">
      <c r="A13" s="1196" t="s">
        <v>529</v>
      </c>
      <c r="B13" s="1197"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235323</v>
      </c>
    </row>
    <row r="21" spans="1:2" s="1198" customFormat="1">
      <c r="A21" s="1196" t="s">
        <v>537</v>
      </c>
      <c r="B21" s="1197">
        <f ca="1">'预评函-2'!D7</f>
        <v>29842</v>
      </c>
    </row>
    <row r="22" spans="1:2" s="1198" customFormat="1">
      <c r="A22" s="1196" t="s">
        <v>538</v>
      </c>
      <c r="B22" s="1197" t="str">
        <f ca="1">'预评函-2'!D6</f>
        <v>贰拾叁亿伍仟叁佰贰拾叁万元整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235323</v>
      </c>
    </row>
    <row r="35" spans="1:2" s="1198" customFormat="1">
      <c r="A35" s="1196" t="s">
        <v>577</v>
      </c>
      <c r="B35" s="1197">
        <f ca="1">'预评函-2'!D18</f>
        <v>29842</v>
      </c>
    </row>
    <row r="36" spans="1:2" s="1198" customFormat="1">
      <c r="A36" s="1196" t="s">
        <v>544</v>
      </c>
      <c r="B36" s="1197" t="str">
        <f ca="1">'预评函-2'!D17</f>
        <v>贰拾叁亿伍仟叁佰贰拾叁万元整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78855.130000000063</v>
      </c>
    </row>
    <row r="44" spans="1:2" s="1198" customFormat="1">
      <c r="A44" s="1196" t="s">
        <v>575</v>
      </c>
      <c r="B44" s="1197" t="str">
        <f>'预评函-3'!C2</f>
        <v>(分摊)土地面积</v>
      </c>
    </row>
    <row r="45" spans="1:2" s="1198" customFormat="1">
      <c r="A45" s="1196" t="s">
        <v>547</v>
      </c>
      <c r="B45" s="1197">
        <f>'预评函-3'!C4</f>
        <v>10858.85</v>
      </c>
    </row>
    <row r="46" spans="1:2" s="1198" customFormat="1">
      <c r="A46" s="1196" t="s">
        <v>573</v>
      </c>
      <c r="B46" s="1197" t="str">
        <f>'预评函-3'!D2</f>
        <v>出让国有建设用地使用权价值</v>
      </c>
    </row>
    <row r="47" spans="1:2" s="1198" customFormat="1">
      <c r="A47" s="1196" t="s">
        <v>548</v>
      </c>
      <c r="B47" s="1197">
        <f ca="1">'预评函-3'!D4</f>
        <v>177198</v>
      </c>
    </row>
    <row r="48" spans="1:2" s="1198" customFormat="1">
      <c r="A48" s="1196" t="s">
        <v>549</v>
      </c>
      <c r="B48" s="1197">
        <f ca="1">'预评函-3'!E4</f>
        <v>22471</v>
      </c>
    </row>
    <row r="49" spans="1:2" s="1198" customFormat="1">
      <c r="A49" s="1196" t="s">
        <v>550</v>
      </c>
      <c r="B49" s="1197" t="str">
        <f ca="1">'预评函-3'!D5</f>
        <v>壹拾柒亿柒仟壹佰玖拾捌万元整</v>
      </c>
    </row>
    <row r="50" spans="1:2" s="1198" customFormat="1">
      <c r="A50" s="1196" t="s">
        <v>574</v>
      </c>
      <c r="B50" s="1197" t="str">
        <f>'预评函-3'!F2</f>
        <v>在建建筑物价值</v>
      </c>
    </row>
    <row r="51" spans="1:2" s="1198" customFormat="1">
      <c r="A51" s="1196" t="s">
        <v>551</v>
      </c>
      <c r="B51" s="1197">
        <f ca="1">'预评函-3'!F4</f>
        <v>58125</v>
      </c>
    </row>
    <row r="52" spans="1:2" s="1198" customFormat="1">
      <c r="A52" s="1196" t="s">
        <v>552</v>
      </c>
      <c r="B52" s="1197">
        <f ca="1">'预评函-3'!G4</f>
        <v>7371</v>
      </c>
    </row>
    <row r="53" spans="1:2" s="1198" customFormat="1">
      <c r="A53" s="1196" t="s">
        <v>580</v>
      </c>
      <c r="B53" s="1197" t="str">
        <f ca="1">'预评函-3'!F5</f>
        <v>伍亿捌仟壹佰贰拾伍万元整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吴薇</v>
      </c>
    </row>
    <row r="73" spans="1:2" s="1192" customFormat="1" ht="15" thickBot="1">
      <c r="A73" s="1199" t="s">
        <v>565</v>
      </c>
      <c r="B73" s="1200">
        <f ca="1">'预评函-4'!B5</f>
        <v>1419970001</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3449</v>
      </c>
      <c r="C19" s="1542"/>
    </row>
    <row r="20" spans="1:3">
      <c r="A20" s="1541" t="s">
        <v>1048</v>
      </c>
      <c r="B20" s="1541" t="s">
        <v>3492</v>
      </c>
      <c r="C20" s="1542"/>
    </row>
    <row r="21" spans="1:3">
      <c r="A21" s="1541" t="s">
        <v>1049</v>
      </c>
      <c r="B21" s="1541" t="s">
        <v>3494</v>
      </c>
      <c r="C21" s="1542"/>
    </row>
    <row r="22" spans="1:3">
      <c r="A22" s="1541" t="s">
        <v>1050</v>
      </c>
      <c r="B22" s="1541" t="s">
        <v>3496</v>
      </c>
      <c r="C22" s="1542"/>
    </row>
    <row r="23" spans="1:3">
      <c r="A23" s="1541" t="s">
        <v>1051</v>
      </c>
      <c r="B23" s="1541" t="s">
        <v>3497</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68"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49" t="s">
        <v>385</v>
      </c>
      <c r="C54" s="1546" t="s">
        <v>583</v>
      </c>
    </row>
    <row r="55" spans="1:4">
      <c r="A55" s="3568"/>
      <c r="B55" s="1549" t="s">
        <v>386</v>
      </c>
      <c r="C55" s="1546" t="s">
        <v>584</v>
      </c>
    </row>
    <row r="56" spans="1:4">
      <c r="A56" s="3568"/>
      <c r="B56" s="1549" t="s">
        <v>387</v>
      </c>
      <c r="C56" s="1546" t="s">
        <v>588</v>
      </c>
    </row>
    <row r="57" spans="1:4">
      <c r="A57" s="3568"/>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69" t="s">
        <v>2580</v>
      </c>
      <c r="J2" s="3569"/>
      <c r="K2" s="3569"/>
      <c r="L2" s="3569"/>
      <c r="M2" s="3569"/>
      <c r="N2" s="3569"/>
      <c r="O2" s="3569"/>
      <c r="P2" s="3569"/>
      <c r="Q2" s="3569"/>
      <c r="R2" s="3569"/>
    </row>
    <row r="3" spans="1:18">
      <c r="A3" s="3014" t="s">
        <v>2501</v>
      </c>
      <c r="B3" s="3015">
        <f>项目基本情况!D3</f>
        <v>45477</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2.46</v>
      </c>
      <c r="D5" s="3019">
        <f>IF(ISERROR(ROUND(POWER(1+E5,A5-C5)*(POWER(1+E5,C5)-1)/(POWER(1+E5,A5)-1),3)),0,ROUND(POWER(1+E5,A5-C5)*(POWER(1+E5,C5)-1)/(POWER(1+E5,A5)-1),4))</f>
        <v>0.1162</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12.46</v>
      </c>
      <c r="D6" s="3019">
        <f>IF(ISERROR(ROUND(POWER(1+E6,A6-C6)*(POWER(1+E6,C6)-1)/(POWER(1+E6,A6)-1),3)),0,ROUND(POWER(1+E6,A6-C6)*(POWER(1+E6,C6)-1)/(POWER(1+E6,A6)-1),4))</f>
        <v>0.44990000000000002</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32.479999999999997</v>
      </c>
      <c r="D7" s="3019">
        <f>IF(ISERROR(ROUND(POWER(1+E7,A7-C7)*(POWER(1+E7,C7)-1)/(POWER(1+E7,A7)-1),3)),0,ROUND(POWER(1+E7,A7-C7)*(POWER(1+E7,C7)-1)/(POWER(1+E7,A7)-1),4))</f>
        <v>0.76970000000000005</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570" t="str">
        <f>IF(B10="北京市","北京市",C10)&amp;F10&amp;IF(结果表!G1="在建","出让国有建设用地使用权及在建建筑物",IF(结果表!G1="土地","出让国有建设用地使用权",))&amp;B9&amp;"预评估"</f>
        <v>房地产抵押价值预评估</v>
      </c>
      <c r="C1" s="3571"/>
      <c r="D1" s="3571"/>
      <c r="E1" s="3571"/>
      <c r="F1" s="3571"/>
      <c r="G1" s="3571"/>
      <c r="H1" s="3571"/>
      <c r="I1" s="3572"/>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45477</v>
      </c>
      <c r="C3" s="2369" t="s">
        <v>2171</v>
      </c>
      <c r="D3" s="2368">
        <f>B3</f>
        <v>45477</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3381</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3382</v>
      </c>
      <c r="C8" s="2385"/>
      <c r="D8" s="3573" t="s">
        <v>2177</v>
      </c>
      <c r="E8" s="2386" t="s">
        <v>3384</v>
      </c>
      <c r="F8" s="2387"/>
      <c r="G8" s="2657"/>
      <c r="H8" s="2657"/>
      <c r="I8" s="2657"/>
      <c r="J8" s="2434"/>
      <c r="K8" s="2609"/>
      <c r="L8" s="2608"/>
      <c r="M8" s="2608"/>
      <c r="N8" s="2434"/>
      <c r="O8" s="2445"/>
      <c r="P8" s="2434"/>
      <c r="Q8" s="2434"/>
      <c r="R8" s="2434"/>
    </row>
    <row r="9" spans="1:30" ht="13.5" thickBot="1">
      <c r="A9" s="2388" t="s">
        <v>2178</v>
      </c>
      <c r="B9" s="2389" t="s">
        <v>3383</v>
      </c>
      <c r="C9" s="2390"/>
      <c r="D9" s="3574"/>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851">
        <v>52730</v>
      </c>
      <c r="E13" s="851">
        <v>56382</v>
      </c>
      <c r="F13" s="851">
        <v>56382</v>
      </c>
      <c r="G13" s="851"/>
      <c r="H13" s="851">
        <v>56382</v>
      </c>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v>50</v>
      </c>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19.87</v>
      </c>
      <c r="E15" s="2405">
        <f>IF(A13="出让",IF(E13="","",ROUNDDOWN(MIN((E13-$D$3)/365,E14),2)),E14)</f>
        <v>29.87</v>
      </c>
      <c r="F15" s="2405">
        <f>IF(A13="出让",IF(F13="","",ROUNDDOWN(MIN((F13-$D$3)/365,F14),2)),F14)</f>
        <v>29.87</v>
      </c>
      <c r="G15" s="2405" t="str">
        <f>IF(A13="出让",IF(G13="","",ROUNDDOWN(MIN((G13-$D$3)/365,G14),2)),G14)</f>
        <v/>
      </c>
      <c r="H15" s="2405">
        <f>IF(A13="出让",IF(H13="","",ROUNDDOWN(MIN((H13-$D$3)/365,H14),2)),H14)</f>
        <v>29.87</v>
      </c>
      <c r="I15" s="2405" t="str">
        <f>IF(A13="出让",IF(I13="","",ROUNDDOWN(MIN((I13-$D$3)/365,I14),2)),I14)</f>
        <v/>
      </c>
      <c r="J15" s="3058"/>
      <c r="K15" s="2446"/>
      <c r="L15" s="2446"/>
      <c r="M15" s="2504"/>
      <c r="N15" s="2446"/>
      <c r="O15" s="2504"/>
      <c r="P15" s="2434"/>
      <c r="Q15" s="2434"/>
      <c r="AD15" s="1740"/>
    </row>
    <row r="16" spans="1:30">
      <c r="A16" s="2395" t="s">
        <v>2193</v>
      </c>
      <c r="B16" s="3580"/>
      <c r="C16" s="3581"/>
      <c r="D16" s="3582"/>
      <c r="E16" s="2408" t="s">
        <v>2194</v>
      </c>
      <c r="F16" s="3583"/>
      <c r="G16" s="3584"/>
      <c r="H16" s="3584"/>
      <c r="I16" s="3585"/>
      <c r="J16" s="2434"/>
      <c r="K16" s="2612"/>
      <c r="L16" s="2446"/>
      <c r="M16" s="2446"/>
      <c r="N16" s="2504"/>
      <c r="O16" s="2446"/>
      <c r="P16" s="2504"/>
      <c r="Q16" s="2434"/>
      <c r="R16" s="2434"/>
    </row>
    <row r="17" spans="1:28">
      <c r="A17" s="313" t="s">
        <v>2195</v>
      </c>
      <c r="B17" s="302" t="s">
        <v>2196</v>
      </c>
      <c r="C17" s="8">
        <f>'数据-汇总表'!E3</f>
        <v>78855.130000000063</v>
      </c>
      <c r="D17" s="2317" t="s">
        <v>2197</v>
      </c>
      <c r="E17" s="3586" t="s">
        <v>2198</v>
      </c>
      <c r="F17" s="3587"/>
      <c r="G17" s="3587"/>
      <c r="H17" s="3587"/>
      <c r="I17" s="3588"/>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10858.85</v>
      </c>
      <c r="D18" s="1087" t="s">
        <v>2201</v>
      </c>
      <c r="E18" s="3589" t="s">
        <v>2202</v>
      </c>
      <c r="F18" s="3590"/>
      <c r="G18" s="3590"/>
      <c r="H18" s="3590"/>
      <c r="I18" s="3591"/>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3385</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576" t="s">
        <v>2206</v>
      </c>
      <c r="C20" s="3577"/>
      <c r="D20" s="3578" t="s">
        <v>2207</v>
      </c>
      <c r="E20" s="3579"/>
      <c r="F20" s="2642" t="s">
        <v>1056</v>
      </c>
      <c r="G20" s="2658"/>
      <c r="H20" s="2658"/>
      <c r="I20" s="2658"/>
      <c r="J20" s="2434"/>
      <c r="K20" s="357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593" t="s">
        <v>2214</v>
      </c>
      <c r="B27" s="320" t="s">
        <v>2215</v>
      </c>
      <c r="C27" s="2411" t="s">
        <v>3394</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593"/>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593"/>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594"/>
      <c r="B30" s="302" t="s">
        <v>2218</v>
      </c>
      <c r="C30" s="3595"/>
      <c r="D30" s="3596"/>
      <c r="E30" s="2658"/>
      <c r="F30" s="2658"/>
      <c r="G30" s="2658"/>
      <c r="H30" s="2658"/>
      <c r="I30" s="2658"/>
      <c r="J30" s="2434"/>
      <c r="K30" s="2611"/>
      <c r="L30" s="2608"/>
      <c r="M30" s="2608"/>
      <c r="N30" s="2434"/>
      <c r="O30" s="2445"/>
      <c r="P30" s="2434"/>
      <c r="Q30" s="2434"/>
      <c r="R30" s="2434"/>
      <c r="S30" s="2434"/>
      <c r="T30" s="2434"/>
      <c r="U30" s="2434"/>
      <c r="V30" s="2434"/>
    </row>
    <row r="31" spans="1:28">
      <c r="A31" s="3597" t="s">
        <v>2219</v>
      </c>
      <c r="B31" s="2417" t="s">
        <v>3393</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598"/>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598"/>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3387</v>
      </c>
      <c r="C34" s="2021" t="s">
        <v>3388</v>
      </c>
      <c r="D34" s="2021" t="s">
        <v>3389</v>
      </c>
      <c r="E34" s="2021" t="s">
        <v>3390</v>
      </c>
      <c r="F34" s="2021" t="s">
        <v>3391</v>
      </c>
      <c r="G34" s="2021" t="s">
        <v>3392</v>
      </c>
      <c r="H34" s="2021"/>
      <c r="I34" s="2658"/>
      <c r="J34" s="2434"/>
      <c r="K34" s="2422">
        <f>COUNTIF(B34:H34,"——")</f>
        <v>0</v>
      </c>
      <c r="L34" s="323" t="s">
        <v>2221</v>
      </c>
      <c r="M34" s="323" t="s">
        <v>2222</v>
      </c>
      <c r="N34" s="323" t="s">
        <v>2223</v>
      </c>
      <c r="O34" s="323" t="s">
        <v>2224</v>
      </c>
      <c r="P34" s="323" t="s">
        <v>2225</v>
      </c>
      <c r="Q34" s="323" t="s">
        <v>2226</v>
      </c>
      <c r="R34" s="323" t="s">
        <v>2227</v>
      </c>
      <c r="S34" s="3592" t="s">
        <v>2228</v>
      </c>
      <c r="T34" s="2423" t="str">
        <f>NUMBERSTRING(7-K34,1)&amp;"通"</f>
        <v>七通</v>
      </c>
      <c r="U34" s="2434"/>
      <c r="V34" s="2434"/>
    </row>
    <row r="35" spans="1:30">
      <c r="A35" s="2424"/>
      <c r="B35" s="3599" t="s">
        <v>2229</v>
      </c>
      <c r="C35" s="3599"/>
      <c r="D35" s="3599"/>
      <c r="E35" s="3599"/>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92"/>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184</v>
      </c>
      <c r="C37" s="2426" t="s">
        <v>184</v>
      </c>
      <c r="D37" s="2426"/>
      <c r="E37" s="2426" t="s">
        <v>184</v>
      </c>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3386</v>
      </c>
      <c r="C38" s="2427" t="s">
        <v>3386</v>
      </c>
      <c r="D38" s="2427"/>
      <c r="E38" s="2427" t="s">
        <v>168</v>
      </c>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19323.38</v>
      </c>
      <c r="B3" s="11">
        <f>IF(C3="否",G5-AT5,G5)</f>
        <v>140323.06</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140323.06</v>
      </c>
      <c r="H5" s="13">
        <f t="shared" ref="H5:AT5" si="0">SUM(H13:H656)</f>
        <v>140323.06</v>
      </c>
      <c r="I5" s="13">
        <f t="shared" si="0"/>
        <v>33505.360000000008</v>
      </c>
      <c r="J5" s="13">
        <f t="shared" si="0"/>
        <v>0</v>
      </c>
      <c r="K5" s="13">
        <f t="shared" si="0"/>
        <v>4295.38</v>
      </c>
      <c r="L5" s="13">
        <f t="shared" si="0"/>
        <v>0</v>
      </c>
      <c r="M5" s="13">
        <f t="shared" si="0"/>
        <v>33365.060000000063</v>
      </c>
      <c r="N5" s="13">
        <f t="shared" si="0"/>
        <v>0</v>
      </c>
      <c r="O5" s="13">
        <f t="shared" si="0"/>
        <v>794.49</v>
      </c>
      <c r="P5" s="13">
        <f t="shared" si="0"/>
        <v>0</v>
      </c>
      <c r="Q5" s="13">
        <f t="shared" si="0"/>
        <v>6894.84</v>
      </c>
      <c r="R5" s="13">
        <f t="shared" si="0"/>
        <v>0</v>
      </c>
      <c r="S5" s="13">
        <f t="shared" si="0"/>
        <v>61467.929999999949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78855.130000000063</v>
      </c>
      <c r="BA5" s="15">
        <f t="shared" si="1"/>
        <v>78855.130000000063</v>
      </c>
      <c r="BB5" s="15">
        <f t="shared" si="1"/>
        <v>33505.360000000008</v>
      </c>
      <c r="BC5" s="15">
        <f t="shared" si="1"/>
        <v>4295.38</v>
      </c>
      <c r="BD5" s="15">
        <f t="shared" si="1"/>
        <v>33365.060000000063</v>
      </c>
      <c r="BE5" s="15">
        <f t="shared" si="1"/>
        <v>794.49</v>
      </c>
      <c r="BF5" s="15">
        <f t="shared" si="1"/>
        <v>6894.84</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19323.379999999997</v>
      </c>
      <c r="F6" s="13" t="s">
        <v>0</v>
      </c>
      <c r="G6" s="13" t="s">
        <v>1</v>
      </c>
      <c r="H6" s="17">
        <f>SUMIF(I$12:AB$12,"总值",I6:AB6)</f>
        <v>19323.379999999997</v>
      </c>
      <c r="I6" s="13">
        <f t="shared" ref="I6:AB6" si="2">ROUND($A$3*I5/$B$3,2)</f>
        <v>4613.8999999999996</v>
      </c>
      <c r="J6" s="13">
        <f t="shared" si="2"/>
        <v>0</v>
      </c>
      <c r="K6" s="13">
        <f t="shared" si="2"/>
        <v>591.5</v>
      </c>
      <c r="L6" s="13">
        <f t="shared" si="2"/>
        <v>0</v>
      </c>
      <c r="M6" s="13">
        <f t="shared" si="2"/>
        <v>4594.58</v>
      </c>
      <c r="N6" s="13">
        <f t="shared" si="2"/>
        <v>0</v>
      </c>
      <c r="O6" s="13">
        <f t="shared" si="2"/>
        <v>109.41</v>
      </c>
      <c r="P6" s="13">
        <f t="shared" si="2"/>
        <v>0</v>
      </c>
      <c r="Q6" s="13">
        <f t="shared" si="2"/>
        <v>949.46</v>
      </c>
      <c r="R6" s="13">
        <f t="shared" si="2"/>
        <v>0</v>
      </c>
      <c r="S6" s="13">
        <f t="shared" si="2"/>
        <v>8464.5300000000007</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10858.85</v>
      </c>
      <c r="AZ6" s="13" t="s">
        <v>2</v>
      </c>
      <c r="BA6" s="13">
        <f>ROUND($AY$6*BA5/$AZ$5,2)</f>
        <v>10858.85</v>
      </c>
      <c r="BB6" s="13">
        <f>ROUND($AY$6*BB5/$AZ$5,2)</f>
        <v>4613.8999999999996</v>
      </c>
      <c r="BC6" s="13">
        <f t="shared" ref="BC6:BH6" si="4">ROUND($AY$6*BC5/$AZ$5,2)</f>
        <v>591.5</v>
      </c>
      <c r="BD6" s="13">
        <f t="shared" si="4"/>
        <v>4594.58</v>
      </c>
      <c r="BE6" s="13">
        <f t="shared" si="4"/>
        <v>109.41</v>
      </c>
      <c r="BF6" s="13">
        <f t="shared" si="4"/>
        <v>949.46</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3427</v>
      </c>
      <c r="J9" s="804"/>
      <c r="K9" s="1598" t="s">
        <v>3430</v>
      </c>
      <c r="L9" s="804"/>
      <c r="M9" s="1598" t="s">
        <v>3430</v>
      </c>
      <c r="N9" s="804"/>
      <c r="O9" s="1598" t="s">
        <v>3427</v>
      </c>
      <c r="P9" s="804"/>
      <c r="Q9" s="1598" t="s">
        <v>3427</v>
      </c>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t="s">
        <v>3</v>
      </c>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t="str">
        <f>Q9</f>
        <v>地上</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t="s">
        <v>3333</v>
      </c>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t="str">
        <f>Q10</f>
        <v>工业</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t="str">
        <f>Q11</f>
        <v>车库</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t="str">
        <f>取值过程!B24</f>
        <v>1层</v>
      </c>
      <c r="D13" s="1620" t="s">
        <v>3385</v>
      </c>
      <c r="E13" s="13">
        <f>IF($C$3="是",ROUND($A$3*G13/$B$3,2),ROUND($A$3*(G13-AT13)/$B$3,2))</f>
        <v>1373.07</v>
      </c>
      <c r="F13" s="29"/>
      <c r="G13" s="30">
        <f>H13+AC13+AT13</f>
        <v>9970.9700000000012</v>
      </c>
      <c r="H13" s="17">
        <f>SUMIF(I$12:AB$12,"总值",I13:AB13)</f>
        <v>9970.9700000000012</v>
      </c>
      <c r="I13" s="1621">
        <f>取值过程!C36</f>
        <v>9970.9700000000012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1层</v>
      </c>
      <c r="AY13" s="1344">
        <f>ROUND($AY$6*AZ13/$AZ$5,2)</f>
        <v>1373.07</v>
      </c>
      <c r="AZ13" s="13">
        <f>BA13+BL13</f>
        <v>9970.9700000000012</v>
      </c>
      <c r="BA13" s="13">
        <f>SUM(BB13:BK13)</f>
        <v>9970.9700000000012</v>
      </c>
      <c r="BB13" s="13">
        <f>IF($D13="是",I13-J13,0)</f>
        <v>9970.9700000000012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t="str">
        <f>取值过程!B25</f>
        <v>2层</v>
      </c>
      <c r="D14" s="1620" t="s">
        <v>3385</v>
      </c>
      <c r="E14" s="13">
        <f>IF($C$3="是",ROUND($A$3*G14/$B$3,2),ROUND($A$3*(G14-AT14)/$B$3,2))</f>
        <v>1406.55</v>
      </c>
      <c r="F14" s="29"/>
      <c r="G14" s="30">
        <f>H14+AC14+AT14</f>
        <v>10214.120000000001</v>
      </c>
      <c r="H14" s="17">
        <f>SUMIF(I$12:AB$12,"总值",I14:AB14)</f>
        <v>10214.120000000001</v>
      </c>
      <c r="I14" s="1621">
        <f>取值过程!C37</f>
        <v>10214.120000000001</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v>
      </c>
      <c r="AY14" s="1344">
        <f>ROUND($AY$6*AZ14/$AZ$5,2)</f>
        <v>1406.55</v>
      </c>
      <c r="AZ14" s="13">
        <f>BA14+BL14</f>
        <v>10214.120000000001</v>
      </c>
      <c r="BA14" s="13">
        <f>SUM(BB14:BK14)</f>
        <v>10214.120000000001</v>
      </c>
      <c r="BB14" s="13">
        <f>IF($D14="是",I14-J14,0)</f>
        <v>10214.120000000001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t="str">
        <f>取值过程!B26</f>
        <v>3层</v>
      </c>
      <c r="D15" s="1620" t="s">
        <v>3385</v>
      </c>
      <c r="E15" s="13">
        <f>IF($C$3="是",ROUND($A$3*G15/$B$3,2),ROUND($A$3*(G15-AT15)/$B$3,2))</f>
        <v>1414.05</v>
      </c>
      <c r="F15" s="29"/>
      <c r="G15" s="30">
        <f>H15+AC15+AT15</f>
        <v>10268.580000000002</v>
      </c>
      <c r="H15" s="17">
        <f>SUMIF(I$12:AB$12,"总值",I15:AB15)</f>
        <v>10268.580000000002</v>
      </c>
      <c r="I15" s="1621">
        <f>取值过程!C38</f>
        <v>9474.090000000002</v>
      </c>
      <c r="J15" s="1621"/>
      <c r="K15" s="1621"/>
      <c r="L15" s="1621"/>
      <c r="M15" s="1621"/>
      <c r="N15" s="1621"/>
      <c r="O15" s="1621">
        <f>取值过程!D38</f>
        <v>794.49</v>
      </c>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3层</v>
      </c>
      <c r="AY15" s="1344">
        <f>ROUND($AY$6*AZ15/$AZ$5,2)</f>
        <v>1414.05</v>
      </c>
      <c r="AZ15" s="13">
        <f>BA15+BL15</f>
        <v>10268.580000000002</v>
      </c>
      <c r="BA15" s="13">
        <f>SUM(BB15:BK15)</f>
        <v>10268.580000000002</v>
      </c>
      <c r="BB15" s="13">
        <f>IF($D15="是",I15-J15,0)</f>
        <v>9474.090000000002</v>
      </c>
      <c r="BC15" s="13">
        <f>IF($D15="是",K15-L15,0)</f>
        <v>0</v>
      </c>
      <c r="BD15" s="13">
        <f>IF($D15="是",M15-N15,0)</f>
        <v>0</v>
      </c>
      <c r="BE15" s="13">
        <f>IF($D15="是",O15-P15,0)</f>
        <v>794.49</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t="str">
        <f>取值过程!B27</f>
        <v>4层</v>
      </c>
      <c r="D16" s="1620" t="s">
        <v>3385</v>
      </c>
      <c r="E16" s="13">
        <f>IF($C$3="是",ROUND($A$3*G16/$B$3,2),ROUND($A$3*(G16-AT16)/$B$3,2))</f>
        <v>1479.11</v>
      </c>
      <c r="F16" s="29"/>
      <c r="G16" s="30">
        <f>H16+AC16+AT16</f>
        <v>10741.02</v>
      </c>
      <c r="H16" s="17">
        <f>SUMIF(I$12:AB$12,"总值",I16:AB16)</f>
        <v>10741.02</v>
      </c>
      <c r="I16" s="1621">
        <f>取值过程!C39</f>
        <v>3846.18</v>
      </c>
      <c r="J16" s="1621"/>
      <c r="K16" s="1621"/>
      <c r="L16" s="1621"/>
      <c r="M16" s="1621"/>
      <c r="N16" s="1621"/>
      <c r="O16" s="1621"/>
      <c r="P16" s="1621"/>
      <c r="Q16" s="1621">
        <f>取值过程!E39</f>
        <v>6894.84</v>
      </c>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4层</v>
      </c>
      <c r="AY16" s="1344">
        <f>ROUND($AY$6*AZ16/$AZ$5,2)</f>
        <v>1479.11</v>
      </c>
      <c r="AZ16" s="13">
        <f>BA16+BL16</f>
        <v>10741.02</v>
      </c>
      <c r="BA16" s="13">
        <f>SUM(BB16:BK16)</f>
        <v>10741.02</v>
      </c>
      <c r="BB16" s="13">
        <f>IF($D16="是",I16-J16,0)</f>
        <v>3846.18</v>
      </c>
      <c r="BC16" s="13">
        <f>IF($D16="是",K16-L16,0)</f>
        <v>0</v>
      </c>
      <c r="BD16" s="13">
        <f>IF($D16="是",M16-N16,0)</f>
        <v>0</v>
      </c>
      <c r="BE16" s="13">
        <f>IF($D16="是",O16-P16,0)</f>
        <v>0</v>
      </c>
      <c r="BF16" s="13">
        <f>IF($D16="是",Q16-R16,0)</f>
        <v>6894.84</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t="str">
        <f>取值过程!B28</f>
        <v>地下1层</v>
      </c>
      <c r="D17" s="1620" t="s">
        <v>3385</v>
      </c>
      <c r="E17" s="13">
        <f>IF($C$3="是",ROUND($A$3*G17/$B$3,2),ROUND($A$3*(G17-AT17)/$B$3,2))</f>
        <v>591.5</v>
      </c>
      <c r="F17" s="29"/>
      <c r="G17" s="30">
        <f>H17+AC17+AT17</f>
        <v>4295.38</v>
      </c>
      <c r="H17" s="17">
        <f>SUMIF(I$12:AB$12,"总值",I17:AB17)</f>
        <v>4295.38</v>
      </c>
      <c r="I17" s="1621"/>
      <c r="J17" s="1621"/>
      <c r="K17" s="1621">
        <f>取值过程!C40</f>
        <v>4295.38</v>
      </c>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地下1层</v>
      </c>
      <c r="AY17" s="1344">
        <f>ROUND($AY$6*AZ17/$AZ$5,2)</f>
        <v>591.5</v>
      </c>
      <c r="AZ17" s="13">
        <f>BA17+BL17</f>
        <v>4295.38</v>
      </c>
      <c r="BA17" s="13">
        <f>SUM(BB17:BK17)</f>
        <v>4295.38</v>
      </c>
      <c r="BB17" s="13">
        <f>IF($D17="是",I17-J17,0)</f>
        <v>0</v>
      </c>
      <c r="BC17" s="13">
        <f>IF($D17="是",K17-L17,0)</f>
        <v>4295.38</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t="str">
        <f>取值过程!B29</f>
        <v>地下2-4层</v>
      </c>
      <c r="D18" s="1620" t="s">
        <v>3385</v>
      </c>
      <c r="E18" s="32">
        <f t="shared" ref="E18:E112" si="7">IF($C$3="是",ROUND($A$3*G18/$B$3,2),ROUND($A$3*(G18-AT18)/$B$3,2))</f>
        <v>4594.58</v>
      </c>
      <c r="F18" s="33"/>
      <c r="G18" s="34">
        <f t="shared" ref="G18:G109" si="8">H18+AC18+AT18</f>
        <v>33365.060000000063</v>
      </c>
      <c r="H18" s="35">
        <f t="shared" ref="H18:H109" si="9">SUMIF(I$12:AB$12,"总值",I18:AB18)</f>
        <v>33365.060000000063</v>
      </c>
      <c r="I18" s="36"/>
      <c r="J18" s="36"/>
      <c r="K18" s="36"/>
      <c r="L18" s="36"/>
      <c r="M18" s="36">
        <f>取值过程!E40+取值过程!E41+取值过程!E42+取值过程!E43</f>
        <v>33365.060000000063</v>
      </c>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地下2-4层</v>
      </c>
      <c r="AY18" s="39">
        <f t="shared" ref="AY18:AY109" si="14">ROUND($AY$6*AZ18/$AZ$5,2)</f>
        <v>4594.58</v>
      </c>
      <c r="AZ18" s="32">
        <f t="shared" ref="AZ18:AZ109" si="15">BA18+BL18</f>
        <v>33365.060000000063</v>
      </c>
      <c r="BA18" s="32">
        <f t="shared" ref="BA18:BA109" si="16">SUM(BB18:BK18)</f>
        <v>33365.060000000063</v>
      </c>
      <c r="BB18" s="32">
        <f t="shared" ref="BB18:BB109" si="17">IF($D18="是",I18-J18,0)</f>
        <v>0</v>
      </c>
      <c r="BC18" s="32">
        <f t="shared" ref="BC18:BC109" si="18">IF($D18="是",K18-L18,0)</f>
        <v>0</v>
      </c>
      <c r="BD18" s="32">
        <f t="shared" ref="BD18:BD109" si="19">IF($D18="是",M18-N18,0)</f>
        <v>33365.060000000063</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f>取值过程!B30</f>
        <v>0</v>
      </c>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f>取值过程!B31</f>
        <v>0</v>
      </c>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t="s">
        <v>3428</v>
      </c>
      <c r="D21" s="1625" t="s">
        <v>3429</v>
      </c>
      <c r="E21" s="32">
        <f t="shared" si="7"/>
        <v>8464.5300000000007</v>
      </c>
      <c r="F21" s="33"/>
      <c r="G21" s="34">
        <f t="shared" si="8"/>
        <v>61467.929999999949</v>
      </c>
      <c r="H21" s="35">
        <f t="shared" si="9"/>
        <v>61467.929999999949</v>
      </c>
      <c r="I21" s="36"/>
      <c r="J21" s="36"/>
      <c r="K21" s="36"/>
      <c r="L21" s="36"/>
      <c r="M21" s="36"/>
      <c r="N21" s="36"/>
      <c r="O21" s="36"/>
      <c r="P21" s="36"/>
      <c r="Q21" s="36"/>
      <c r="R21" s="36"/>
      <c r="S21" s="36">
        <f>140323.06-I13-I14-I15-I16-K17-M18-O15-Q16</f>
        <v>61467.929999999949</v>
      </c>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其他</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70"/>
  <sheetViews>
    <sheetView topLeftCell="A28" workbookViewId="0">
      <selection activeCell="C71" sqref="C71"/>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3395</v>
      </c>
    </row>
    <row r="3" spans="2:8">
      <c r="B3" s="3466"/>
      <c r="C3" s="3467" t="s">
        <v>2328</v>
      </c>
      <c r="D3" s="3467" t="s">
        <v>3396</v>
      </c>
      <c r="E3" s="3467" t="s">
        <v>3397</v>
      </c>
      <c r="F3" s="3466"/>
      <c r="G3" s="3468" t="s">
        <v>3398</v>
      </c>
    </row>
    <row r="4" spans="2:8">
      <c r="B4" s="3469" t="s">
        <v>3399</v>
      </c>
      <c r="C4" s="3470">
        <f>C5+C6</f>
        <v>37037.009999999995</v>
      </c>
      <c r="D4" s="3470">
        <f>E4/C4</f>
        <v>1999.9999999999998</v>
      </c>
      <c r="E4" s="3470">
        <f>E5+E6</f>
        <v>74074019.999999985</v>
      </c>
      <c r="F4" s="3466"/>
      <c r="G4" s="3471">
        <v>1</v>
      </c>
    </row>
    <row r="5" spans="2:8">
      <c r="B5" s="3467" t="s">
        <v>3400</v>
      </c>
      <c r="C5" s="3472">
        <f>'[5]数据-汇总表'!F19</f>
        <v>37037.009999999995</v>
      </c>
      <c r="D5" s="3466">
        <v>2000</v>
      </c>
      <c r="E5" s="3466">
        <f>D5*C5</f>
        <v>74074019.999999985</v>
      </c>
      <c r="F5" s="3466"/>
      <c r="G5" s="3466"/>
    </row>
    <row r="6" spans="2:8">
      <c r="B6" s="3467" t="s">
        <v>3401</v>
      </c>
      <c r="C6" s="3466">
        <f>'[1]数据-汇总表'!G31</f>
        <v>0</v>
      </c>
      <c r="D6" s="3466">
        <v>4700</v>
      </c>
      <c r="E6" s="3466">
        <f t="shared" ref="E6:E9" si="0">D6*C6</f>
        <v>0</v>
      </c>
      <c r="F6" s="3466"/>
      <c r="G6" s="3466"/>
    </row>
    <row r="7" spans="2:8">
      <c r="B7" s="3469" t="s">
        <v>3402</v>
      </c>
      <c r="C7" s="3470">
        <f>C4</f>
        <v>37037.009999999995</v>
      </c>
      <c r="D7" s="3470">
        <v>1000</v>
      </c>
      <c r="E7" s="3470">
        <f>D7*C7</f>
        <v>37037009.999999993</v>
      </c>
      <c r="F7" s="3466"/>
      <c r="G7" s="3471">
        <v>1</v>
      </c>
    </row>
    <row r="8" spans="2:8">
      <c r="B8" s="3469" t="s">
        <v>3403</v>
      </c>
      <c r="C8" s="3470">
        <f>C4</f>
        <v>37037.009999999995</v>
      </c>
      <c r="D8" s="3470">
        <v>2500</v>
      </c>
      <c r="E8" s="3470">
        <f>D8*C8</f>
        <v>92592524.999999985</v>
      </c>
      <c r="F8" s="3466"/>
      <c r="G8" s="3471">
        <v>1</v>
      </c>
    </row>
    <row r="9" spans="2:8">
      <c r="B9" s="3469" t="s">
        <v>3404</v>
      </c>
      <c r="C9" s="3470">
        <v>0</v>
      </c>
      <c r="D9" s="3470">
        <f>D6</f>
        <v>4700</v>
      </c>
      <c r="E9" s="3470">
        <f t="shared" si="0"/>
        <v>0</v>
      </c>
      <c r="F9" s="3466"/>
      <c r="G9" s="3466"/>
    </row>
    <row r="10" spans="2:8">
      <c r="B10" s="3467" t="s">
        <v>3405</v>
      </c>
      <c r="C10" s="3466">
        <f>C4</f>
        <v>37037.009999999995</v>
      </c>
      <c r="D10" s="3466">
        <f>E10/C10</f>
        <v>5499.9999999999991</v>
      </c>
      <c r="E10" s="3466">
        <f>E4+E7+E8+E9</f>
        <v>203703554.99999994</v>
      </c>
      <c r="F10" s="3466"/>
      <c r="G10" s="3469">
        <f>(G4*E4+G7*E7+G8*E8)/E10</f>
        <v>1</v>
      </c>
    </row>
    <row r="14" spans="2:8">
      <c r="B14" s="3464" t="s">
        <v>3406</v>
      </c>
    </row>
    <row r="15" spans="2:8">
      <c r="B15" s="3466"/>
      <c r="C15" s="3467" t="s">
        <v>3407</v>
      </c>
      <c r="D15" s="3467"/>
      <c r="E15" s="3467" t="s">
        <v>3408</v>
      </c>
      <c r="F15" s="3467" t="s">
        <v>3409</v>
      </c>
      <c r="G15" s="3467" t="s">
        <v>3410</v>
      </c>
      <c r="H15" s="3468" t="s">
        <v>3411</v>
      </c>
    </row>
    <row r="16" spans="2:8">
      <c r="B16" s="3469" t="s">
        <v>3412</v>
      </c>
      <c r="C16" s="3470">
        <v>2011</v>
      </c>
      <c r="D16" s="3470">
        <v>2024</v>
      </c>
      <c r="E16" s="3470">
        <v>50</v>
      </c>
      <c r="F16" s="3466">
        <v>60</v>
      </c>
      <c r="G16" s="3466">
        <v>0</v>
      </c>
      <c r="H16" s="3473">
        <f>ROUND((1-G16)-(D16-C16)/F16,2)</f>
        <v>0.78</v>
      </c>
    </row>
    <row r="17" spans="2:10">
      <c r="B17" s="3467" t="s">
        <v>3413</v>
      </c>
      <c r="C17" s="3472"/>
      <c r="D17" s="3466"/>
      <c r="E17" s="3466"/>
      <c r="F17" s="3466"/>
      <c r="G17" s="3466"/>
      <c r="H17" s="3471">
        <v>0.9</v>
      </c>
    </row>
    <row r="18" spans="2:10">
      <c r="B18" s="3467"/>
      <c r="C18" s="3466"/>
      <c r="D18" s="3466"/>
      <c r="E18" s="3466"/>
      <c r="F18" s="3466"/>
      <c r="G18" s="3466"/>
      <c r="H18" s="3474">
        <f>ROUND((H17+H16)/2,2)</f>
        <v>0.84</v>
      </c>
    </row>
    <row r="23" spans="2:10">
      <c r="B23" s="3475"/>
      <c r="C23" s="3476"/>
      <c r="D23" s="3476" t="s">
        <v>3414</v>
      </c>
      <c r="E23" s="3477" t="s">
        <v>3415</v>
      </c>
      <c r="F23" s="3477" t="s">
        <v>3416</v>
      </c>
    </row>
    <row r="24" spans="2:10">
      <c r="B24" s="3475" t="s">
        <v>3417</v>
      </c>
      <c r="C24" s="3477" t="s">
        <v>3418</v>
      </c>
      <c r="D24" s="3478">
        <v>9970.9699999999993</v>
      </c>
      <c r="E24" s="3478">
        <v>5862.25</v>
      </c>
      <c r="F24" s="3478">
        <v>8.5</v>
      </c>
    </row>
    <row r="25" spans="2:10">
      <c r="B25" s="3475" t="s">
        <v>3419</v>
      </c>
      <c r="C25" s="3477" t="s">
        <v>3420</v>
      </c>
      <c r="D25" s="3478">
        <v>10214.120000000001</v>
      </c>
      <c r="E25" s="3479">
        <v>9824.1200000000008</v>
      </c>
      <c r="F25" s="3480">
        <v>7.73</v>
      </c>
    </row>
    <row r="26" spans="2:10">
      <c r="B26" s="3475" t="s">
        <v>3421</v>
      </c>
      <c r="C26" s="3477"/>
      <c r="D26" s="3478">
        <v>8263.26</v>
      </c>
      <c r="E26" s="3479">
        <f>D26</f>
        <v>8263.26</v>
      </c>
      <c r="F26" s="3479">
        <v>7.18</v>
      </c>
    </row>
    <row r="27" spans="2:10">
      <c r="B27" s="3475" t="s">
        <v>3422</v>
      </c>
      <c r="C27" s="3477"/>
      <c r="D27" s="3478">
        <v>8588.66</v>
      </c>
      <c r="E27" s="3479">
        <f>D27</f>
        <v>8588.66</v>
      </c>
      <c r="F27" s="3479">
        <f>F26</f>
        <v>7.18</v>
      </c>
    </row>
    <row r="28" spans="2:10">
      <c r="B28" s="3475" t="s">
        <v>3423</v>
      </c>
      <c r="C28" s="3477" t="s">
        <v>3424</v>
      </c>
      <c r="D28" s="3478">
        <v>11774.05</v>
      </c>
      <c r="E28" s="3478">
        <v>3542.46</v>
      </c>
      <c r="F28" s="3478">
        <v>4.1399999999999997</v>
      </c>
      <c r="I28" s="3465" t="s">
        <v>3450</v>
      </c>
    </row>
    <row r="29" spans="2:10">
      <c r="B29" s="3475" t="s">
        <v>3425</v>
      </c>
      <c r="C29" s="3477" t="s">
        <v>3426</v>
      </c>
      <c r="D29" s="3478">
        <v>28027.74</v>
      </c>
      <c r="E29" s="3478">
        <v>28027.74</v>
      </c>
      <c r="F29" s="3478"/>
      <c r="I29" s="3465">
        <v>893</v>
      </c>
      <c r="J29" s="3465">
        <f>D29/I29</f>
        <v>31.386047032474806</v>
      </c>
    </row>
    <row r="30" spans="2:10">
      <c r="B30" s="3475"/>
      <c r="C30" s="3477"/>
      <c r="D30" s="3478">
        <f>SUM(D24:D29)</f>
        <v>76838.8</v>
      </c>
      <c r="E30" s="3478">
        <f>SUM(E24:E29)</f>
        <v>64108.490000000005</v>
      </c>
      <c r="F30" s="3479">
        <f>SUMPRODUCT(F24:F29,E24:E29)/E30</f>
        <v>4.0779644412151956</v>
      </c>
      <c r="G30" s="3465">
        <f>F30*E30/D30</f>
        <v>3.4023454634897994</v>
      </c>
    </row>
    <row r="31" spans="2:10">
      <c r="B31" s="3481"/>
      <c r="D31" s="3465">
        <f>SUM(D24:D28)</f>
        <v>48811.06</v>
      </c>
      <c r="E31" s="3465">
        <f>SUM(E24:E28)</f>
        <v>36080.75</v>
      </c>
      <c r="F31" s="3479">
        <f>SUMPRODUCT(F24:F28,E24:E28)/E31</f>
        <v>7.2457513383175236</v>
      </c>
      <c r="G31" s="3465">
        <f>F31*E31/D31</f>
        <v>5.356002156068727</v>
      </c>
    </row>
    <row r="32" spans="2:10">
      <c r="B32" s="3481"/>
    </row>
    <row r="33" spans="2:10">
      <c r="B33" s="3481"/>
    </row>
    <row r="34" spans="2:10">
      <c r="B34" s="3481"/>
    </row>
    <row r="35" spans="2:10">
      <c r="B35" s="3481"/>
      <c r="C35" s="3475" t="s">
        <v>3424</v>
      </c>
      <c r="D35" s="3475" t="s">
        <v>3474</v>
      </c>
      <c r="E35" s="3475" t="s">
        <v>3498</v>
      </c>
      <c r="F35" s="3475" t="s">
        <v>3484</v>
      </c>
      <c r="G35" s="3475" t="s">
        <v>3485</v>
      </c>
    </row>
    <row r="36" spans="2:10">
      <c r="B36" s="3475" t="s">
        <v>3417</v>
      </c>
      <c r="C36" s="3475">
        <f>面积清单!D830</f>
        <v>9970.9700000000012</v>
      </c>
      <c r="D36" s="3475"/>
      <c r="E36" s="3475"/>
      <c r="F36" s="3475"/>
      <c r="G36" s="3475">
        <f>SUM(C36:F36)</f>
        <v>9970.9700000000012</v>
      </c>
      <c r="H36" s="3465">
        <f>E24</f>
        <v>5862.25</v>
      </c>
      <c r="I36" s="3465">
        <f>F24</f>
        <v>8.5</v>
      </c>
    </row>
    <row r="37" spans="2:10">
      <c r="B37" s="3475" t="s">
        <v>3419</v>
      </c>
      <c r="C37" s="3475">
        <f>面积清单!D831</f>
        <v>10214.120000000001</v>
      </c>
      <c r="D37" s="3475"/>
      <c r="E37" s="3475"/>
      <c r="F37" s="3475"/>
      <c r="G37" s="3475">
        <f t="shared" ref="G37:G43" si="1">SUM(C37:F37)</f>
        <v>10214.120000000001</v>
      </c>
      <c r="H37" s="3465">
        <f>E25</f>
        <v>9824.1200000000008</v>
      </c>
      <c r="I37" s="3465">
        <f>F25</f>
        <v>7.73</v>
      </c>
    </row>
    <row r="38" spans="2:10">
      <c r="B38" s="3475" t="s">
        <v>3421</v>
      </c>
      <c r="C38" s="3475">
        <f>SUM(面积清单!D832,面积清单!D843:D859)</f>
        <v>9474.090000000002</v>
      </c>
      <c r="D38" s="3475">
        <f>SUM(面积清单!D833:D842)</f>
        <v>794.49</v>
      </c>
      <c r="E38" s="3475"/>
      <c r="F38" s="3475"/>
      <c r="G38" s="3475">
        <f t="shared" si="1"/>
        <v>10268.580000000002</v>
      </c>
      <c r="H38" s="3507">
        <f>C38</f>
        <v>9474.090000000002</v>
      </c>
      <c r="I38" s="3465">
        <f>F26</f>
        <v>7.18</v>
      </c>
    </row>
    <row r="39" spans="2:10">
      <c r="B39" s="3475" t="s">
        <v>3422</v>
      </c>
      <c r="C39" s="3475">
        <f>SUM(面积清单!D862:D889)</f>
        <v>3846.18</v>
      </c>
      <c r="D39" s="3475"/>
      <c r="E39" s="3475">
        <f>SUM(面积清单!D861)</f>
        <v>6894.84</v>
      </c>
      <c r="F39" s="3475"/>
      <c r="G39" s="3475">
        <f t="shared" si="1"/>
        <v>10741.02</v>
      </c>
      <c r="H39" s="3507">
        <f>C39</f>
        <v>3846.18</v>
      </c>
      <c r="I39" s="3465">
        <f>F27</f>
        <v>7.18</v>
      </c>
    </row>
    <row r="40" spans="2:10">
      <c r="B40" s="3475" t="s">
        <v>3423</v>
      </c>
      <c r="C40" s="3475">
        <f>面积清单!D819</f>
        <v>4295.38</v>
      </c>
      <c r="D40" s="3475"/>
      <c r="E40" s="3475">
        <f>面积清单!D827-取值过程!C40-F40</f>
        <v>5337.320000000007</v>
      </c>
      <c r="F40" s="3475">
        <f>面积清单!D797+面积清单!D808+面积清单!D786</f>
        <v>2141.35</v>
      </c>
      <c r="G40" s="3475">
        <f t="shared" si="1"/>
        <v>11774.050000000008</v>
      </c>
      <c r="H40" s="3507">
        <f>C40</f>
        <v>4295.38</v>
      </c>
      <c r="I40" s="3465">
        <f>F28</f>
        <v>4.1399999999999997</v>
      </c>
    </row>
    <row r="41" spans="2:10">
      <c r="B41" s="3475" t="s">
        <v>3480</v>
      </c>
      <c r="C41" s="3475"/>
      <c r="D41" s="3475"/>
      <c r="E41" s="3475">
        <f>面积清单!D776</f>
        <v>13007.800000000021</v>
      </c>
      <c r="F41" s="3475"/>
      <c r="G41" s="3475">
        <f t="shared" si="1"/>
        <v>13007.800000000021</v>
      </c>
      <c r="H41" s="3465">
        <f>SUM(H36:H40)</f>
        <v>33302.020000000004</v>
      </c>
      <c r="I41" s="3513">
        <f>SUMPRODUCT(I36:I40,H36:H40)/H41</f>
        <v>7.1825067788680688</v>
      </c>
      <c r="J41" s="3507">
        <f>I41*H41/C44</f>
        <v>6.3277063993985303</v>
      </c>
    </row>
    <row r="42" spans="2:10">
      <c r="B42" s="3475" t="s">
        <v>3481</v>
      </c>
      <c r="C42" s="3475"/>
      <c r="D42" s="3475"/>
      <c r="E42" s="3475">
        <f>面积清单!D417</f>
        <v>13053.430000000031</v>
      </c>
      <c r="F42" s="3475"/>
      <c r="G42" s="3475">
        <f t="shared" si="1"/>
        <v>13053.430000000031</v>
      </c>
    </row>
    <row r="43" spans="2:10">
      <c r="B43" s="3475" t="s">
        <v>3482</v>
      </c>
      <c r="C43" s="3475"/>
      <c r="D43" s="3475"/>
      <c r="E43" s="3475">
        <f>面积清单!D53</f>
        <v>1966.5100000000004</v>
      </c>
      <c r="F43" s="3475"/>
      <c r="G43" s="3475">
        <f t="shared" si="1"/>
        <v>1966.5100000000004</v>
      </c>
    </row>
    <row r="44" spans="2:10">
      <c r="B44" s="3475"/>
      <c r="C44" s="3475">
        <f>SUM(C36:C43)</f>
        <v>37800.740000000005</v>
      </c>
      <c r="D44" s="3475">
        <f t="shared" ref="D44:F44" si="2">SUM(D36:D43)</f>
        <v>794.49</v>
      </c>
      <c r="E44" s="3475">
        <f t="shared" si="2"/>
        <v>40259.90000000006</v>
      </c>
      <c r="F44" s="3475">
        <f t="shared" si="2"/>
        <v>2141.35</v>
      </c>
      <c r="G44" s="3475">
        <f>SUM(C44:F44)</f>
        <v>80996.480000000069</v>
      </c>
    </row>
    <row r="45" spans="2:10">
      <c r="B45" s="3481"/>
      <c r="G45" s="3507"/>
      <c r="H45" s="3479"/>
    </row>
    <row r="46" spans="2:10">
      <c r="B46" s="3481" t="s">
        <v>3490</v>
      </c>
      <c r="C46" s="3465">
        <f>'数据-基础表'!A3</f>
        <v>19323.38</v>
      </c>
    </row>
    <row r="47" spans="2:10">
      <c r="B47" s="3481" t="s">
        <v>3487</v>
      </c>
      <c r="C47" s="3507">
        <f>C49/C46</f>
        <v>5.202054195487535</v>
      </c>
    </row>
    <row r="48" spans="2:10">
      <c r="B48" s="3481" t="s">
        <v>3488</v>
      </c>
      <c r="C48" s="3507">
        <f>G40+G41+G42+G43</f>
        <v>39801.790000000059</v>
      </c>
    </row>
    <row r="49" spans="2:3">
      <c r="B49" s="3481" t="s">
        <v>3489</v>
      </c>
      <c r="C49" s="3507">
        <f>C50-C48</f>
        <v>100521.26999999993</v>
      </c>
    </row>
    <row r="50" spans="2:3">
      <c r="B50" s="3481"/>
      <c r="C50" s="3465">
        <v>140323.06</v>
      </c>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3"/>
  <sheetViews>
    <sheetView workbookViewId="0">
      <pane xSplit="1" ySplit="1" topLeftCell="B867" activePane="bottomRight" state="frozen"/>
      <selection pane="topRight" activeCell="B1" sqref="B1"/>
      <selection pane="bottomLeft" activeCell="A2" sqref="A2"/>
      <selection pane="bottomRight" activeCell="D893" sqref="D893"/>
    </sheetView>
  </sheetViews>
  <sheetFormatPr defaultRowHeight="14.25"/>
  <cols>
    <col min="1" max="1" width="9" style="1472"/>
    <col min="2" max="2" width="9" style="3503"/>
    <col min="3" max="3" width="11.875" style="1472" customWidth="1"/>
    <col min="4" max="5" width="15.25" style="1472" customWidth="1"/>
    <col min="6" max="16384" width="9" style="1472"/>
  </cols>
  <sheetData>
    <row r="1" spans="1:5" ht="15.75">
      <c r="A1" s="3488" t="s">
        <v>3457</v>
      </c>
      <c r="B1" s="3489" t="s">
        <v>3458</v>
      </c>
      <c r="C1" s="3488" t="s">
        <v>3459</v>
      </c>
      <c r="D1" s="3488" t="s">
        <v>3460</v>
      </c>
      <c r="E1" s="3504" t="s">
        <v>3473</v>
      </c>
    </row>
    <row r="2" spans="1:5" ht="15.75">
      <c r="A2" s="3510">
        <v>1</v>
      </c>
      <c r="B2" s="3489" t="s">
        <v>3461</v>
      </c>
      <c r="C2" s="3490">
        <v>4093</v>
      </c>
      <c r="D2" s="3491">
        <v>40.5</v>
      </c>
      <c r="E2" s="3505" t="s">
        <v>3476</v>
      </c>
    </row>
    <row r="3" spans="1:5" ht="15.75">
      <c r="A3" s="3510">
        <v>2</v>
      </c>
      <c r="B3" s="3489" t="s">
        <v>3461</v>
      </c>
      <c r="C3" s="3490">
        <v>4100</v>
      </c>
      <c r="D3" s="3491">
        <v>39.020000000000003</v>
      </c>
      <c r="E3" s="3505" t="s">
        <v>3476</v>
      </c>
    </row>
    <row r="4" spans="1:5" ht="15.75">
      <c r="A4" s="3510">
        <v>3</v>
      </c>
      <c r="B4" s="3489" t="s">
        <v>3461</v>
      </c>
      <c r="C4" s="3490">
        <v>4101</v>
      </c>
      <c r="D4" s="3491">
        <v>33.93</v>
      </c>
      <c r="E4" s="3505" t="s">
        <v>3476</v>
      </c>
    </row>
    <row r="5" spans="1:5" ht="15.75">
      <c r="A5" s="3510">
        <v>4</v>
      </c>
      <c r="B5" s="3489" t="s">
        <v>3461</v>
      </c>
      <c r="C5" s="3490">
        <v>4102</v>
      </c>
      <c r="D5" s="3491">
        <v>31.54</v>
      </c>
      <c r="E5" s="3505" t="s">
        <v>3476</v>
      </c>
    </row>
    <row r="6" spans="1:5" ht="15.75">
      <c r="A6" s="3510">
        <v>5</v>
      </c>
      <c r="B6" s="3489" t="s">
        <v>3461</v>
      </c>
      <c r="C6" s="3490">
        <v>4103</v>
      </c>
      <c r="D6" s="3491">
        <v>33.93</v>
      </c>
      <c r="E6" s="3505" t="s">
        <v>3476</v>
      </c>
    </row>
    <row r="7" spans="1:5" ht="15.75">
      <c r="A7" s="3510">
        <v>6</v>
      </c>
      <c r="B7" s="3489" t="s">
        <v>3461</v>
      </c>
      <c r="C7" s="3492">
        <v>4104</v>
      </c>
      <c r="D7" s="3491">
        <v>33.93</v>
      </c>
      <c r="E7" s="3505" t="s">
        <v>3476</v>
      </c>
    </row>
    <row r="8" spans="1:5" ht="15.75">
      <c r="A8" s="3510">
        <v>7</v>
      </c>
      <c r="B8" s="3489" t="s">
        <v>3461</v>
      </c>
      <c r="C8" s="3490">
        <v>4105</v>
      </c>
      <c r="D8" s="3491">
        <v>31.54</v>
      </c>
      <c r="E8" s="3505" t="s">
        <v>3476</v>
      </c>
    </row>
    <row r="9" spans="1:5" ht="15.75">
      <c r="A9" s="3510">
        <v>8</v>
      </c>
      <c r="B9" s="3489" t="s">
        <v>3461</v>
      </c>
      <c r="C9" s="3490">
        <v>4106</v>
      </c>
      <c r="D9" s="3491">
        <v>33.93</v>
      </c>
      <c r="E9" s="3505" t="s">
        <v>3476</v>
      </c>
    </row>
    <row r="10" spans="1:5" ht="15.75">
      <c r="A10" s="3510">
        <v>9</v>
      </c>
      <c r="B10" s="3489" t="s">
        <v>3461</v>
      </c>
      <c r="C10" s="3490">
        <v>4107</v>
      </c>
      <c r="D10" s="3491">
        <v>33.130000000000003</v>
      </c>
      <c r="E10" s="3505" t="s">
        <v>3476</v>
      </c>
    </row>
    <row r="11" spans="1:5" ht="15.75">
      <c r="A11" s="3510">
        <v>10</v>
      </c>
      <c r="B11" s="3489" t="s">
        <v>3461</v>
      </c>
      <c r="C11" s="3490">
        <v>4108</v>
      </c>
      <c r="D11" s="3491">
        <v>33.130000000000003</v>
      </c>
      <c r="E11" s="3505" t="s">
        <v>3476</v>
      </c>
    </row>
    <row r="12" spans="1:5" ht="15.75">
      <c r="A12" s="3510">
        <v>11</v>
      </c>
      <c r="B12" s="3489" t="s">
        <v>3461</v>
      </c>
      <c r="C12" s="3490">
        <v>4109</v>
      </c>
      <c r="D12" s="3491">
        <v>40.5</v>
      </c>
      <c r="E12" s="3505" t="s">
        <v>3476</v>
      </c>
    </row>
    <row r="13" spans="1:5" ht="15.75">
      <c r="A13" s="3510">
        <v>12</v>
      </c>
      <c r="B13" s="3489" t="s">
        <v>3461</v>
      </c>
      <c r="C13" s="3490">
        <v>4110</v>
      </c>
      <c r="D13" s="3491">
        <v>40.5</v>
      </c>
      <c r="E13" s="3505" t="s">
        <v>3476</v>
      </c>
    </row>
    <row r="14" spans="1:5" ht="15.75">
      <c r="A14" s="3510">
        <v>13</v>
      </c>
      <c r="B14" s="3489" t="s">
        <v>3461</v>
      </c>
      <c r="C14" s="3490">
        <v>4114</v>
      </c>
      <c r="D14" s="3491">
        <v>39.020000000000003</v>
      </c>
      <c r="E14" s="3505" t="s">
        <v>3476</v>
      </c>
    </row>
    <row r="15" spans="1:5" ht="15.75">
      <c r="A15" s="3510">
        <v>14</v>
      </c>
      <c r="B15" s="3489" t="s">
        <v>3461</v>
      </c>
      <c r="C15" s="3490">
        <v>4153</v>
      </c>
      <c r="D15" s="3491">
        <v>40.5</v>
      </c>
      <c r="E15" s="3505" t="s">
        <v>3476</v>
      </c>
    </row>
    <row r="16" spans="1:5" ht="15.75">
      <c r="A16" s="3510">
        <v>15</v>
      </c>
      <c r="B16" s="3489" t="s">
        <v>3461</v>
      </c>
      <c r="C16" s="3490">
        <v>4154</v>
      </c>
      <c r="D16" s="3491">
        <v>39.020000000000003</v>
      </c>
      <c r="E16" s="3505" t="s">
        <v>3476</v>
      </c>
    </row>
    <row r="17" spans="1:5" ht="15.75">
      <c r="A17" s="3510">
        <v>16</v>
      </c>
      <c r="B17" s="3489" t="s">
        <v>3461</v>
      </c>
      <c r="C17" s="3490">
        <v>4186</v>
      </c>
      <c r="D17" s="3491">
        <v>39.97</v>
      </c>
      <c r="E17" s="3505" t="s">
        <v>3476</v>
      </c>
    </row>
    <row r="18" spans="1:5" ht="15.75">
      <c r="A18" s="3510">
        <v>17</v>
      </c>
      <c r="B18" s="3489" t="s">
        <v>3461</v>
      </c>
      <c r="C18" s="3490">
        <v>4187</v>
      </c>
      <c r="D18" s="3491">
        <v>37.14</v>
      </c>
      <c r="E18" s="3505" t="s">
        <v>3476</v>
      </c>
    </row>
    <row r="19" spans="1:5" ht="15.75">
      <c r="A19" s="3510">
        <v>18</v>
      </c>
      <c r="B19" s="3489" t="s">
        <v>3461</v>
      </c>
      <c r="C19" s="3490">
        <v>4188</v>
      </c>
      <c r="D19" s="3491">
        <v>39.97</v>
      </c>
      <c r="E19" s="3505" t="s">
        <v>3476</v>
      </c>
    </row>
    <row r="20" spans="1:5" ht="15.75">
      <c r="A20" s="3510">
        <v>19</v>
      </c>
      <c r="B20" s="3489" t="s">
        <v>3461</v>
      </c>
      <c r="C20" s="3490">
        <v>4189</v>
      </c>
      <c r="D20" s="3491">
        <v>33.93</v>
      </c>
      <c r="E20" s="3505" t="s">
        <v>3476</v>
      </c>
    </row>
    <row r="21" spans="1:5" ht="15.75">
      <c r="A21" s="3510">
        <v>20</v>
      </c>
      <c r="B21" s="3489" t="s">
        <v>3461</v>
      </c>
      <c r="C21" s="3490">
        <v>4190</v>
      </c>
      <c r="D21" s="3491">
        <v>31.54</v>
      </c>
      <c r="E21" s="3505" t="s">
        <v>3476</v>
      </c>
    </row>
    <row r="22" spans="1:5" ht="15.75">
      <c r="A22" s="3510">
        <v>21</v>
      </c>
      <c r="B22" s="3489" t="s">
        <v>3461</v>
      </c>
      <c r="C22" s="3490">
        <v>4191</v>
      </c>
      <c r="D22" s="3491">
        <v>33.93</v>
      </c>
      <c r="E22" s="3505" t="s">
        <v>3476</v>
      </c>
    </row>
    <row r="23" spans="1:5" ht="15.75">
      <c r="A23" s="3510">
        <v>22</v>
      </c>
      <c r="B23" s="3489" t="s">
        <v>3461</v>
      </c>
      <c r="C23" s="3492">
        <v>4225</v>
      </c>
      <c r="D23" s="3494">
        <v>39.020000000000003</v>
      </c>
      <c r="E23" s="3505" t="s">
        <v>3476</v>
      </c>
    </row>
    <row r="24" spans="1:5" ht="15.75">
      <c r="A24" s="3510">
        <v>23</v>
      </c>
      <c r="B24" s="3489" t="s">
        <v>3461</v>
      </c>
      <c r="C24" s="3490">
        <v>4226</v>
      </c>
      <c r="D24" s="3491">
        <v>39.020000000000003</v>
      </c>
      <c r="E24" s="3505" t="s">
        <v>3476</v>
      </c>
    </row>
    <row r="25" spans="1:5" ht="15.75">
      <c r="A25" s="3510">
        <v>24</v>
      </c>
      <c r="B25" s="3489" t="s">
        <v>3461</v>
      </c>
      <c r="C25" s="3490">
        <v>4269</v>
      </c>
      <c r="D25" s="3491">
        <v>36.81</v>
      </c>
      <c r="E25" s="3505" t="s">
        <v>3476</v>
      </c>
    </row>
    <row r="26" spans="1:5" ht="15.75">
      <c r="A26" s="3510">
        <v>25</v>
      </c>
      <c r="B26" s="3489" t="s">
        <v>3461</v>
      </c>
      <c r="C26" s="3490">
        <v>4270</v>
      </c>
      <c r="D26" s="3491">
        <v>39.08</v>
      </c>
      <c r="E26" s="3505" t="s">
        <v>3476</v>
      </c>
    </row>
    <row r="27" spans="1:5" ht="15.75">
      <c r="A27" s="3510">
        <v>26</v>
      </c>
      <c r="B27" s="3489" t="s">
        <v>3461</v>
      </c>
      <c r="C27" s="3490">
        <v>4271</v>
      </c>
      <c r="D27" s="3494">
        <v>74.930000000000007</v>
      </c>
      <c r="E27" s="3505" t="s">
        <v>3476</v>
      </c>
    </row>
    <row r="28" spans="1:5" ht="15.75">
      <c r="A28" s="3510">
        <v>27</v>
      </c>
      <c r="B28" s="3489" t="s">
        <v>3461</v>
      </c>
      <c r="C28" s="3490">
        <v>4273</v>
      </c>
      <c r="D28" s="3491">
        <v>39.97</v>
      </c>
      <c r="E28" s="3505" t="s">
        <v>3476</v>
      </c>
    </row>
    <row r="29" spans="1:5" ht="15.75">
      <c r="A29" s="3510">
        <v>28</v>
      </c>
      <c r="B29" s="3489" t="s">
        <v>3461</v>
      </c>
      <c r="C29" s="3490">
        <v>4274</v>
      </c>
      <c r="D29" s="3491">
        <v>39.020000000000003</v>
      </c>
      <c r="E29" s="3505" t="s">
        <v>3476</v>
      </c>
    </row>
    <row r="30" spans="1:5" ht="15.75">
      <c r="A30" s="3510">
        <v>29</v>
      </c>
      <c r="B30" s="3489" t="s">
        <v>3461</v>
      </c>
      <c r="C30" s="3490">
        <v>4275</v>
      </c>
      <c r="D30" s="3491">
        <v>39.020000000000003</v>
      </c>
      <c r="E30" s="3505" t="s">
        <v>3476</v>
      </c>
    </row>
    <row r="31" spans="1:5" ht="15.75">
      <c r="A31" s="3510">
        <v>30</v>
      </c>
      <c r="B31" s="3489" t="s">
        <v>3461</v>
      </c>
      <c r="C31" s="3490">
        <v>4276</v>
      </c>
      <c r="D31" s="3491">
        <v>39.020000000000003</v>
      </c>
      <c r="E31" s="3505" t="s">
        <v>3476</v>
      </c>
    </row>
    <row r="32" spans="1:5" ht="15.75">
      <c r="A32" s="3510">
        <v>31</v>
      </c>
      <c r="B32" s="3489" t="s">
        <v>3461</v>
      </c>
      <c r="C32" s="3490">
        <v>4277</v>
      </c>
      <c r="D32" s="3491">
        <v>39.97</v>
      </c>
      <c r="E32" s="3505" t="s">
        <v>3476</v>
      </c>
    </row>
    <row r="33" spans="1:5" ht="15.75">
      <c r="A33" s="3510">
        <v>32</v>
      </c>
      <c r="B33" s="3489" t="s">
        <v>3461</v>
      </c>
      <c r="C33" s="3490">
        <v>4278</v>
      </c>
      <c r="D33" s="3491">
        <v>37.14</v>
      </c>
      <c r="E33" s="3505" t="s">
        <v>3476</v>
      </c>
    </row>
    <row r="34" spans="1:5" ht="15.75">
      <c r="A34" s="3510">
        <v>33</v>
      </c>
      <c r="B34" s="3489" t="s">
        <v>3461</v>
      </c>
      <c r="C34" s="3490">
        <v>4279</v>
      </c>
      <c r="D34" s="3491">
        <v>39.97</v>
      </c>
      <c r="E34" s="3505" t="s">
        <v>3476</v>
      </c>
    </row>
    <row r="35" spans="1:5" ht="15.75">
      <c r="A35" s="3510">
        <v>34</v>
      </c>
      <c r="B35" s="3489" t="s">
        <v>3461</v>
      </c>
      <c r="C35" s="3490">
        <v>4280</v>
      </c>
      <c r="D35" s="3491">
        <v>39.020000000000003</v>
      </c>
      <c r="E35" s="3505" t="s">
        <v>3476</v>
      </c>
    </row>
    <row r="36" spans="1:5" ht="15.75">
      <c r="A36" s="3510">
        <v>35</v>
      </c>
      <c r="B36" s="3489" t="s">
        <v>3461</v>
      </c>
      <c r="C36" s="3490">
        <v>4281</v>
      </c>
      <c r="D36" s="3491">
        <v>39.020000000000003</v>
      </c>
      <c r="E36" s="3505" t="s">
        <v>3476</v>
      </c>
    </row>
    <row r="37" spans="1:5" ht="15.75">
      <c r="A37" s="3510">
        <v>36</v>
      </c>
      <c r="B37" s="3489" t="s">
        <v>3461</v>
      </c>
      <c r="C37" s="3490">
        <v>4317</v>
      </c>
      <c r="D37" s="3491">
        <v>39.97</v>
      </c>
      <c r="E37" s="3505" t="s">
        <v>3476</v>
      </c>
    </row>
    <row r="38" spans="1:5" ht="15.75">
      <c r="A38" s="3510">
        <v>37</v>
      </c>
      <c r="B38" s="3489" t="s">
        <v>3461</v>
      </c>
      <c r="C38" s="3490">
        <v>4318</v>
      </c>
      <c r="D38" s="3491">
        <v>37.200000000000003</v>
      </c>
      <c r="E38" s="3505" t="s">
        <v>3476</v>
      </c>
    </row>
    <row r="39" spans="1:5" ht="15.75">
      <c r="A39" s="3510">
        <v>38</v>
      </c>
      <c r="B39" s="3489" t="s">
        <v>3461</v>
      </c>
      <c r="C39" s="3492">
        <v>4319</v>
      </c>
      <c r="D39" s="3491">
        <v>40.409999999999997</v>
      </c>
      <c r="E39" s="3505" t="s">
        <v>3476</v>
      </c>
    </row>
    <row r="40" spans="1:5" ht="15.75">
      <c r="A40" s="3510">
        <v>39</v>
      </c>
      <c r="B40" s="3489" t="s">
        <v>3461</v>
      </c>
      <c r="C40" s="3490">
        <v>4320</v>
      </c>
      <c r="D40" s="3491">
        <v>39.020000000000003</v>
      </c>
      <c r="E40" s="3505" t="s">
        <v>3476</v>
      </c>
    </row>
    <row r="41" spans="1:5" ht="15.75">
      <c r="A41" s="3510">
        <v>40</v>
      </c>
      <c r="B41" s="3489" t="s">
        <v>3461</v>
      </c>
      <c r="C41" s="3490">
        <v>4333</v>
      </c>
      <c r="D41" s="3491">
        <v>39.020000000000003</v>
      </c>
      <c r="E41" s="3505" t="s">
        <v>3476</v>
      </c>
    </row>
    <row r="42" spans="1:5" ht="15.75">
      <c r="A42" s="3510">
        <v>41</v>
      </c>
      <c r="B42" s="3489" t="s">
        <v>3461</v>
      </c>
      <c r="C42" s="3490">
        <v>4334</v>
      </c>
      <c r="D42" s="3491">
        <v>39.020000000000003</v>
      </c>
      <c r="E42" s="3505" t="s">
        <v>3476</v>
      </c>
    </row>
    <row r="43" spans="1:5" ht="15.75">
      <c r="A43" s="3510">
        <v>42</v>
      </c>
      <c r="B43" s="3489" t="s">
        <v>3461</v>
      </c>
      <c r="C43" s="3490">
        <v>4335</v>
      </c>
      <c r="D43" s="3491">
        <v>39.97</v>
      </c>
      <c r="E43" s="3505" t="s">
        <v>3476</v>
      </c>
    </row>
    <row r="44" spans="1:5" ht="15.75">
      <c r="A44" s="3510">
        <v>43</v>
      </c>
      <c r="B44" s="3489" t="s">
        <v>3461</v>
      </c>
      <c r="C44" s="3490">
        <v>4336</v>
      </c>
      <c r="D44" s="3491">
        <v>37.14</v>
      </c>
      <c r="E44" s="3505" t="s">
        <v>3476</v>
      </c>
    </row>
    <row r="45" spans="1:5" ht="15.75">
      <c r="A45" s="3510">
        <v>44</v>
      </c>
      <c r="B45" s="3489" t="s">
        <v>3461</v>
      </c>
      <c r="C45" s="3490">
        <v>4337</v>
      </c>
      <c r="D45" s="3491">
        <v>39.97</v>
      </c>
      <c r="E45" s="3505" t="s">
        <v>3476</v>
      </c>
    </row>
    <row r="46" spans="1:5" ht="15.75">
      <c r="A46" s="3510">
        <v>45</v>
      </c>
      <c r="B46" s="3489" t="s">
        <v>3461</v>
      </c>
      <c r="C46" s="3490">
        <v>4338</v>
      </c>
      <c r="D46" s="3491">
        <v>39.020000000000003</v>
      </c>
      <c r="E46" s="3505" t="s">
        <v>3476</v>
      </c>
    </row>
    <row r="47" spans="1:5" ht="15.75">
      <c r="A47" s="3510">
        <v>46</v>
      </c>
      <c r="B47" s="3489" t="s">
        <v>3461</v>
      </c>
      <c r="C47" s="3490">
        <v>4339</v>
      </c>
      <c r="D47" s="3491">
        <v>39.97</v>
      </c>
      <c r="E47" s="3505" t="s">
        <v>3476</v>
      </c>
    </row>
    <row r="48" spans="1:5" ht="15.75">
      <c r="A48" s="3510">
        <v>47</v>
      </c>
      <c r="B48" s="3489" t="s">
        <v>3461</v>
      </c>
      <c r="C48" s="3490">
        <v>4340</v>
      </c>
      <c r="D48" s="3491">
        <v>37.14</v>
      </c>
      <c r="E48" s="3505" t="s">
        <v>3476</v>
      </c>
    </row>
    <row r="49" spans="1:5" ht="15.75">
      <c r="A49" s="3510">
        <v>48</v>
      </c>
      <c r="B49" s="3489" t="s">
        <v>3461</v>
      </c>
      <c r="C49" s="3490">
        <v>4341</v>
      </c>
      <c r="D49" s="3491">
        <v>39.97</v>
      </c>
      <c r="E49" s="3505" t="s">
        <v>3476</v>
      </c>
    </row>
    <row r="50" spans="1:5" ht="15.75">
      <c r="A50" s="3510">
        <v>49</v>
      </c>
      <c r="B50" s="3489" t="s">
        <v>3461</v>
      </c>
      <c r="C50" s="3490">
        <v>4342</v>
      </c>
      <c r="D50" s="3491">
        <v>39.97</v>
      </c>
      <c r="E50" s="3505" t="s">
        <v>3476</v>
      </c>
    </row>
    <row r="51" spans="1:5" ht="15.75">
      <c r="A51" s="3510">
        <v>50</v>
      </c>
      <c r="B51" s="3489" t="s">
        <v>3461</v>
      </c>
      <c r="C51" s="3490">
        <v>4343</v>
      </c>
      <c r="D51" s="3491">
        <v>37.14</v>
      </c>
      <c r="E51" s="3505" t="s">
        <v>3476</v>
      </c>
    </row>
    <row r="52" spans="1:5" ht="15.75">
      <c r="A52" s="3510">
        <v>51</v>
      </c>
      <c r="B52" s="3489" t="s">
        <v>3461</v>
      </c>
      <c r="C52" s="3490">
        <v>4344</v>
      </c>
      <c r="D52" s="3491">
        <v>39.97</v>
      </c>
      <c r="E52" s="3505" t="s">
        <v>3476</v>
      </c>
    </row>
    <row r="53" spans="1:5">
      <c r="A53" s="3488"/>
      <c r="B53" s="3601" t="s">
        <v>3477</v>
      </c>
      <c r="C53" s="3602"/>
      <c r="D53" s="3491">
        <f>SUM(D2:D52)</f>
        <v>1966.5100000000004</v>
      </c>
      <c r="E53" s="3490"/>
    </row>
    <row r="54" spans="1:5" ht="15.75">
      <c r="A54" s="3510">
        <v>52</v>
      </c>
      <c r="B54" s="3489" t="s">
        <v>3462</v>
      </c>
      <c r="C54" s="3490">
        <v>3001</v>
      </c>
      <c r="D54" s="3491">
        <v>26.3</v>
      </c>
      <c r="E54" s="3505" t="s">
        <v>3476</v>
      </c>
    </row>
    <row r="55" spans="1:5" ht="15.75">
      <c r="A55" s="3510">
        <v>53</v>
      </c>
      <c r="B55" s="3489" t="s">
        <v>3462</v>
      </c>
      <c r="C55" s="3490">
        <v>3002</v>
      </c>
      <c r="D55" s="3491">
        <v>26.3</v>
      </c>
      <c r="E55" s="3505" t="s">
        <v>3476</v>
      </c>
    </row>
    <row r="56" spans="1:5" ht="15.75">
      <c r="A56" s="3510">
        <v>54</v>
      </c>
      <c r="B56" s="3489" t="s">
        <v>3462</v>
      </c>
      <c r="C56" s="3490">
        <v>3003</v>
      </c>
      <c r="D56" s="3491">
        <v>26.92</v>
      </c>
      <c r="E56" s="3505" t="s">
        <v>3476</v>
      </c>
    </row>
    <row r="57" spans="1:5" ht="15.75">
      <c r="A57" s="3510">
        <v>55</v>
      </c>
      <c r="B57" s="3489" t="s">
        <v>3462</v>
      </c>
      <c r="C57" s="3490">
        <v>3004</v>
      </c>
      <c r="D57" s="3491">
        <v>25.03</v>
      </c>
      <c r="E57" s="3505" t="s">
        <v>3476</v>
      </c>
    </row>
    <row r="58" spans="1:5" ht="15.75">
      <c r="A58" s="3510">
        <v>56</v>
      </c>
      <c r="B58" s="3489" t="s">
        <v>3462</v>
      </c>
      <c r="C58" s="3490">
        <v>3005</v>
      </c>
      <c r="D58" s="3491">
        <v>26.92</v>
      </c>
      <c r="E58" s="3505" t="s">
        <v>3476</v>
      </c>
    </row>
    <row r="59" spans="1:5" ht="15.75">
      <c r="A59" s="3510">
        <v>57</v>
      </c>
      <c r="B59" s="3489" t="s">
        <v>3462</v>
      </c>
      <c r="C59" s="3490">
        <v>3006</v>
      </c>
      <c r="D59" s="3491">
        <v>36.6</v>
      </c>
      <c r="E59" s="3505" t="s">
        <v>3476</v>
      </c>
    </row>
    <row r="60" spans="1:5" ht="15.75">
      <c r="A60" s="3510">
        <v>58</v>
      </c>
      <c r="B60" s="3489" t="s">
        <v>3462</v>
      </c>
      <c r="C60" s="3490">
        <v>3007</v>
      </c>
      <c r="D60" s="3491">
        <v>34.01</v>
      </c>
      <c r="E60" s="3505" t="s">
        <v>3476</v>
      </c>
    </row>
    <row r="61" spans="1:5" ht="15.75">
      <c r="A61" s="3510">
        <v>59</v>
      </c>
      <c r="B61" s="3489" t="s">
        <v>3462</v>
      </c>
      <c r="C61" s="3490">
        <v>3008</v>
      </c>
      <c r="D61" s="3491">
        <v>36.6</v>
      </c>
      <c r="E61" s="3505" t="s">
        <v>3476</v>
      </c>
    </row>
    <row r="62" spans="1:5" ht="15.75">
      <c r="A62" s="3510">
        <v>60</v>
      </c>
      <c r="B62" s="3489" t="s">
        <v>3462</v>
      </c>
      <c r="C62" s="3490">
        <v>3009</v>
      </c>
      <c r="D62" s="3491">
        <v>34.630000000000003</v>
      </c>
      <c r="E62" s="3505" t="s">
        <v>3476</v>
      </c>
    </row>
    <row r="63" spans="1:5" ht="15.75">
      <c r="A63" s="3510">
        <v>61</v>
      </c>
      <c r="B63" s="3489" t="s">
        <v>3462</v>
      </c>
      <c r="C63" s="3490">
        <v>3010</v>
      </c>
      <c r="D63" s="3491">
        <v>34.31</v>
      </c>
      <c r="E63" s="3505" t="s">
        <v>3476</v>
      </c>
    </row>
    <row r="64" spans="1:5" ht="15.75">
      <c r="A64" s="3510">
        <v>62</v>
      </c>
      <c r="B64" s="3489" t="s">
        <v>3462</v>
      </c>
      <c r="C64" s="3490">
        <v>3011</v>
      </c>
      <c r="D64" s="3491">
        <v>35.74</v>
      </c>
      <c r="E64" s="3505" t="s">
        <v>3476</v>
      </c>
    </row>
    <row r="65" spans="1:5" ht="15.75">
      <c r="A65" s="3510">
        <v>63</v>
      </c>
      <c r="B65" s="3489" t="s">
        <v>3462</v>
      </c>
      <c r="C65" s="3492">
        <v>3012</v>
      </c>
      <c r="D65" s="3494">
        <v>35.74</v>
      </c>
      <c r="E65" s="3505" t="s">
        <v>3476</v>
      </c>
    </row>
    <row r="66" spans="1:5" ht="15.75">
      <c r="A66" s="3510">
        <v>64</v>
      </c>
      <c r="B66" s="3489" t="s">
        <v>3462</v>
      </c>
      <c r="C66" s="3492">
        <v>3013</v>
      </c>
      <c r="D66" s="3494">
        <v>36.6</v>
      </c>
      <c r="E66" s="3505" t="s">
        <v>3476</v>
      </c>
    </row>
    <row r="67" spans="1:5" ht="15.75">
      <c r="A67" s="3510">
        <v>65</v>
      </c>
      <c r="B67" s="3489" t="s">
        <v>3462</v>
      </c>
      <c r="C67" s="3492">
        <v>3014</v>
      </c>
      <c r="D67" s="3494">
        <v>34.01</v>
      </c>
      <c r="E67" s="3505" t="s">
        <v>3476</v>
      </c>
    </row>
    <row r="68" spans="1:5" ht="15.75">
      <c r="A68" s="3510">
        <v>66</v>
      </c>
      <c r="B68" s="3489" t="s">
        <v>3462</v>
      </c>
      <c r="C68" s="3490">
        <v>3015</v>
      </c>
      <c r="D68" s="3491">
        <v>36.6</v>
      </c>
      <c r="E68" s="3505" t="s">
        <v>3476</v>
      </c>
    </row>
    <row r="69" spans="1:5" ht="15.75">
      <c r="A69" s="3510">
        <v>67</v>
      </c>
      <c r="B69" s="3489" t="s">
        <v>3462</v>
      </c>
      <c r="C69" s="3490">
        <v>3016</v>
      </c>
      <c r="D69" s="3493">
        <v>36.6</v>
      </c>
      <c r="E69" s="3505" t="s">
        <v>3476</v>
      </c>
    </row>
    <row r="70" spans="1:5" ht="15.75">
      <c r="A70" s="3510">
        <v>68</v>
      </c>
      <c r="B70" s="3489" t="s">
        <v>3462</v>
      </c>
      <c r="C70" s="3490">
        <v>3017</v>
      </c>
      <c r="D70" s="3491">
        <v>34.01</v>
      </c>
      <c r="E70" s="3505" t="s">
        <v>3476</v>
      </c>
    </row>
    <row r="71" spans="1:5" ht="15.75">
      <c r="A71" s="3510">
        <v>69</v>
      </c>
      <c r="B71" s="3489" t="s">
        <v>3462</v>
      </c>
      <c r="C71" s="3490">
        <v>3018</v>
      </c>
      <c r="D71" s="3491">
        <v>36.6</v>
      </c>
      <c r="E71" s="3505" t="s">
        <v>3476</v>
      </c>
    </row>
    <row r="72" spans="1:5" ht="15.75">
      <c r="A72" s="3510">
        <v>70</v>
      </c>
      <c r="B72" s="3489" t="s">
        <v>3462</v>
      </c>
      <c r="C72" s="3490">
        <v>3019</v>
      </c>
      <c r="D72" s="3491">
        <v>36.6</v>
      </c>
      <c r="E72" s="3505" t="s">
        <v>3476</v>
      </c>
    </row>
    <row r="73" spans="1:5" ht="15.75">
      <c r="A73" s="3510">
        <v>71</v>
      </c>
      <c r="B73" s="3489" t="s">
        <v>3462</v>
      </c>
      <c r="C73" s="3490">
        <v>3020</v>
      </c>
      <c r="D73" s="3491">
        <v>34.01</v>
      </c>
      <c r="E73" s="3505" t="s">
        <v>3476</v>
      </c>
    </row>
    <row r="74" spans="1:5" ht="15.75">
      <c r="A74" s="3510">
        <v>72</v>
      </c>
      <c r="B74" s="3489" t="s">
        <v>3462</v>
      </c>
      <c r="C74" s="3490">
        <v>3021</v>
      </c>
      <c r="D74" s="3491">
        <v>36.6</v>
      </c>
      <c r="E74" s="3505" t="s">
        <v>3476</v>
      </c>
    </row>
    <row r="75" spans="1:5" ht="15.75">
      <c r="A75" s="3510">
        <v>73</v>
      </c>
      <c r="B75" s="3489" t="s">
        <v>3462</v>
      </c>
      <c r="C75" s="3492">
        <v>3022</v>
      </c>
      <c r="D75" s="3494">
        <v>36.6</v>
      </c>
      <c r="E75" s="3505" t="s">
        <v>3476</v>
      </c>
    </row>
    <row r="76" spans="1:5" ht="15.75">
      <c r="A76" s="3510">
        <v>74</v>
      </c>
      <c r="B76" s="3489" t="s">
        <v>3462</v>
      </c>
      <c r="C76" s="3490">
        <v>3023</v>
      </c>
      <c r="D76" s="3491">
        <v>34.01</v>
      </c>
      <c r="E76" s="3505" t="s">
        <v>3476</v>
      </c>
    </row>
    <row r="77" spans="1:5" ht="15.75">
      <c r="A77" s="3510">
        <v>75</v>
      </c>
      <c r="B77" s="3489" t="s">
        <v>3462</v>
      </c>
      <c r="C77" s="3492">
        <v>3024</v>
      </c>
      <c r="D77" s="3494">
        <v>36.6</v>
      </c>
      <c r="E77" s="3505" t="s">
        <v>3476</v>
      </c>
    </row>
    <row r="78" spans="1:5" ht="15.75">
      <c r="A78" s="3510">
        <v>76</v>
      </c>
      <c r="B78" s="3489" t="s">
        <v>3462</v>
      </c>
      <c r="C78" s="3492">
        <v>3025</v>
      </c>
      <c r="D78" s="3494">
        <v>36.14</v>
      </c>
      <c r="E78" s="3505" t="s">
        <v>3476</v>
      </c>
    </row>
    <row r="79" spans="1:5" ht="15.75">
      <c r="A79" s="3510">
        <v>77</v>
      </c>
      <c r="B79" s="3489" t="s">
        <v>3462</v>
      </c>
      <c r="C79" s="3490">
        <v>3026</v>
      </c>
      <c r="D79" s="3491">
        <v>36.6</v>
      </c>
      <c r="E79" s="3505" t="s">
        <v>3476</v>
      </c>
    </row>
    <row r="80" spans="1:5" ht="15.75">
      <c r="A80" s="3510">
        <v>78</v>
      </c>
      <c r="B80" s="3489" t="s">
        <v>3462</v>
      </c>
      <c r="C80" s="3490">
        <v>3027</v>
      </c>
      <c r="D80" s="3491">
        <v>34.01</v>
      </c>
      <c r="E80" s="3505" t="s">
        <v>3476</v>
      </c>
    </row>
    <row r="81" spans="1:5" ht="15.75">
      <c r="A81" s="3510">
        <v>79</v>
      </c>
      <c r="B81" s="3489" t="s">
        <v>3462</v>
      </c>
      <c r="C81" s="3490">
        <v>3028</v>
      </c>
      <c r="D81" s="3491">
        <v>36.6</v>
      </c>
      <c r="E81" s="3505" t="s">
        <v>3476</v>
      </c>
    </row>
    <row r="82" spans="1:5" ht="15.75">
      <c r="A82" s="3510">
        <v>80</v>
      </c>
      <c r="B82" s="3489" t="s">
        <v>3462</v>
      </c>
      <c r="C82" s="3490">
        <v>3029</v>
      </c>
      <c r="D82" s="3494">
        <v>35.74</v>
      </c>
      <c r="E82" s="3505" t="s">
        <v>3476</v>
      </c>
    </row>
    <row r="83" spans="1:5" ht="15.75">
      <c r="A83" s="3510">
        <v>81</v>
      </c>
      <c r="B83" s="3489" t="s">
        <v>3462</v>
      </c>
      <c r="C83" s="3490">
        <v>3030</v>
      </c>
      <c r="D83" s="3491">
        <v>35.74</v>
      </c>
      <c r="E83" s="3505" t="s">
        <v>3476</v>
      </c>
    </row>
    <row r="84" spans="1:5" ht="15.75">
      <c r="A84" s="3510">
        <v>82</v>
      </c>
      <c r="B84" s="3489" t="s">
        <v>3462</v>
      </c>
      <c r="C84" s="3490">
        <v>3031</v>
      </c>
      <c r="D84" s="3491">
        <v>36.6</v>
      </c>
      <c r="E84" s="3505" t="s">
        <v>3476</v>
      </c>
    </row>
    <row r="85" spans="1:5" ht="15.75">
      <c r="A85" s="3510">
        <v>83</v>
      </c>
      <c r="B85" s="3489" t="s">
        <v>3462</v>
      </c>
      <c r="C85" s="3490">
        <v>3032</v>
      </c>
      <c r="D85" s="3491">
        <v>34.01</v>
      </c>
      <c r="E85" s="3505" t="s">
        <v>3476</v>
      </c>
    </row>
    <row r="86" spans="1:5" ht="15.75">
      <c r="A86" s="3510">
        <v>84</v>
      </c>
      <c r="B86" s="3489" t="s">
        <v>3462</v>
      </c>
      <c r="C86" s="3490">
        <v>3033</v>
      </c>
      <c r="D86" s="3491">
        <v>36.6</v>
      </c>
      <c r="E86" s="3505" t="s">
        <v>3476</v>
      </c>
    </row>
    <row r="87" spans="1:5" ht="15.75">
      <c r="A87" s="3510">
        <v>85</v>
      </c>
      <c r="B87" s="3489" t="s">
        <v>3462</v>
      </c>
      <c r="C87" s="3490">
        <v>3034</v>
      </c>
      <c r="D87" s="3491">
        <v>36.6</v>
      </c>
      <c r="E87" s="3505" t="s">
        <v>3476</v>
      </c>
    </row>
    <row r="88" spans="1:5" ht="15.75">
      <c r="A88" s="3510">
        <v>86</v>
      </c>
      <c r="B88" s="3489" t="s">
        <v>3462</v>
      </c>
      <c r="C88" s="3490">
        <v>3035</v>
      </c>
      <c r="D88" s="3491">
        <v>34.01</v>
      </c>
      <c r="E88" s="3505" t="s">
        <v>3476</v>
      </c>
    </row>
    <row r="89" spans="1:5" ht="15.75">
      <c r="A89" s="3510">
        <v>87</v>
      </c>
      <c r="B89" s="3489" t="s">
        <v>3462</v>
      </c>
      <c r="C89" s="3490">
        <v>3036</v>
      </c>
      <c r="D89" s="3491">
        <v>36.6</v>
      </c>
      <c r="E89" s="3505" t="s">
        <v>3476</v>
      </c>
    </row>
    <row r="90" spans="1:5" ht="15.75">
      <c r="A90" s="3510">
        <v>88</v>
      </c>
      <c r="B90" s="3489" t="s">
        <v>3462</v>
      </c>
      <c r="C90" s="3490">
        <v>3037</v>
      </c>
      <c r="D90" s="3491">
        <v>36.6</v>
      </c>
      <c r="E90" s="3505" t="s">
        <v>3476</v>
      </c>
    </row>
    <row r="91" spans="1:5" ht="15.75">
      <c r="A91" s="3510">
        <v>89</v>
      </c>
      <c r="B91" s="3489" t="s">
        <v>3462</v>
      </c>
      <c r="C91" s="3490">
        <v>3038</v>
      </c>
      <c r="D91" s="3491">
        <v>34.01</v>
      </c>
      <c r="E91" s="3505" t="s">
        <v>3476</v>
      </c>
    </row>
    <row r="92" spans="1:5" ht="15.75">
      <c r="A92" s="3510">
        <v>90</v>
      </c>
      <c r="B92" s="3489" t="s">
        <v>3462</v>
      </c>
      <c r="C92" s="3490">
        <v>3039</v>
      </c>
      <c r="D92" s="3491">
        <v>36.6</v>
      </c>
      <c r="E92" s="3505" t="s">
        <v>3476</v>
      </c>
    </row>
    <row r="93" spans="1:5" ht="15.75">
      <c r="A93" s="3510">
        <v>91</v>
      </c>
      <c r="B93" s="3489" t="s">
        <v>3462</v>
      </c>
      <c r="C93" s="3490">
        <v>3040</v>
      </c>
      <c r="D93" s="3491">
        <v>36.6</v>
      </c>
      <c r="E93" s="3505" t="s">
        <v>3476</v>
      </c>
    </row>
    <row r="94" spans="1:5" ht="15.75">
      <c r="A94" s="3510">
        <v>92</v>
      </c>
      <c r="B94" s="3489" t="s">
        <v>3462</v>
      </c>
      <c r="C94" s="3490">
        <v>3041</v>
      </c>
      <c r="D94" s="3491">
        <v>34.01</v>
      </c>
      <c r="E94" s="3505" t="s">
        <v>3476</v>
      </c>
    </row>
    <row r="95" spans="1:5" ht="15.75">
      <c r="A95" s="3510">
        <v>93</v>
      </c>
      <c r="B95" s="3489" t="s">
        <v>3462</v>
      </c>
      <c r="C95" s="3490">
        <v>3042</v>
      </c>
      <c r="D95" s="3491">
        <v>36.6</v>
      </c>
      <c r="E95" s="3505" t="s">
        <v>3476</v>
      </c>
    </row>
    <row r="96" spans="1:5" ht="15.75">
      <c r="A96" s="3510">
        <v>94</v>
      </c>
      <c r="B96" s="3489" t="s">
        <v>3462</v>
      </c>
      <c r="C96" s="3492">
        <v>3043</v>
      </c>
      <c r="D96" s="3494">
        <v>36.6</v>
      </c>
      <c r="E96" s="3505" t="s">
        <v>3476</v>
      </c>
    </row>
    <row r="97" spans="1:5" ht="15.75">
      <c r="A97" s="3510">
        <v>95</v>
      </c>
      <c r="B97" s="3489" t="s">
        <v>3462</v>
      </c>
      <c r="C97" s="3492">
        <v>3044</v>
      </c>
      <c r="D97" s="3494">
        <v>34.01</v>
      </c>
      <c r="E97" s="3505" t="s">
        <v>3476</v>
      </c>
    </row>
    <row r="98" spans="1:5" ht="15.75">
      <c r="A98" s="3510">
        <v>96</v>
      </c>
      <c r="B98" s="3489" t="s">
        <v>3462</v>
      </c>
      <c r="C98" s="3492">
        <v>3045</v>
      </c>
      <c r="D98" s="3494">
        <v>36.6</v>
      </c>
      <c r="E98" s="3505" t="s">
        <v>3476</v>
      </c>
    </row>
    <row r="99" spans="1:5" ht="15.75">
      <c r="A99" s="3510">
        <v>97</v>
      </c>
      <c r="B99" s="3489" t="s">
        <v>3462</v>
      </c>
      <c r="C99" s="3490">
        <v>3046</v>
      </c>
      <c r="D99" s="3494">
        <v>35.74</v>
      </c>
      <c r="E99" s="3505" t="s">
        <v>3476</v>
      </c>
    </row>
    <row r="100" spans="1:5" ht="15.75">
      <c r="A100" s="3510">
        <v>98</v>
      </c>
      <c r="B100" s="3489" t="s">
        <v>3462</v>
      </c>
      <c r="C100" s="3490">
        <v>3047</v>
      </c>
      <c r="D100" s="3494">
        <v>36.6</v>
      </c>
      <c r="E100" s="3505" t="s">
        <v>3476</v>
      </c>
    </row>
    <row r="101" spans="1:5" ht="15.75">
      <c r="A101" s="3510">
        <v>99</v>
      </c>
      <c r="B101" s="3489" t="s">
        <v>3462</v>
      </c>
      <c r="C101" s="3490">
        <v>3048</v>
      </c>
      <c r="D101" s="3494">
        <v>34.01</v>
      </c>
      <c r="E101" s="3505" t="s">
        <v>3476</v>
      </c>
    </row>
    <row r="102" spans="1:5" ht="15.75">
      <c r="A102" s="3510">
        <v>100</v>
      </c>
      <c r="B102" s="3489" t="s">
        <v>3462</v>
      </c>
      <c r="C102" s="3490">
        <v>3049</v>
      </c>
      <c r="D102" s="3491">
        <v>36.6</v>
      </c>
      <c r="E102" s="3505" t="s">
        <v>3476</v>
      </c>
    </row>
    <row r="103" spans="1:5" ht="15.75">
      <c r="A103" s="3510">
        <v>101</v>
      </c>
      <c r="B103" s="3489" t="s">
        <v>3462</v>
      </c>
      <c r="C103" s="3490">
        <v>3050</v>
      </c>
      <c r="D103" s="3491">
        <v>36.6</v>
      </c>
      <c r="E103" s="3505" t="s">
        <v>3476</v>
      </c>
    </row>
    <row r="104" spans="1:5" ht="15.75">
      <c r="A104" s="3510">
        <v>102</v>
      </c>
      <c r="B104" s="3489" t="s">
        <v>3462</v>
      </c>
      <c r="C104" s="3490">
        <v>3051</v>
      </c>
      <c r="D104" s="3491">
        <v>34.01</v>
      </c>
      <c r="E104" s="3505" t="s">
        <v>3476</v>
      </c>
    </row>
    <row r="105" spans="1:5" ht="15.75">
      <c r="A105" s="3510">
        <v>103</v>
      </c>
      <c r="B105" s="3489" t="s">
        <v>3462</v>
      </c>
      <c r="C105" s="3490">
        <v>3052</v>
      </c>
      <c r="D105" s="3491">
        <v>36.6</v>
      </c>
      <c r="E105" s="3505" t="s">
        <v>3476</v>
      </c>
    </row>
    <row r="106" spans="1:5" ht="15.75">
      <c r="A106" s="3510">
        <v>104</v>
      </c>
      <c r="B106" s="3489" t="s">
        <v>3462</v>
      </c>
      <c r="C106" s="3490">
        <v>3053</v>
      </c>
      <c r="D106" s="3491">
        <v>36.6</v>
      </c>
      <c r="E106" s="3505" t="s">
        <v>3476</v>
      </c>
    </row>
    <row r="107" spans="1:5" ht="15.75">
      <c r="A107" s="3510">
        <v>105</v>
      </c>
      <c r="B107" s="3489" t="s">
        <v>3462</v>
      </c>
      <c r="C107" s="3490">
        <v>3054</v>
      </c>
      <c r="D107" s="3491">
        <v>34.01</v>
      </c>
      <c r="E107" s="3505" t="s">
        <v>3476</v>
      </c>
    </row>
    <row r="108" spans="1:5" ht="15.75">
      <c r="A108" s="3510">
        <v>106</v>
      </c>
      <c r="B108" s="3489" t="s">
        <v>3462</v>
      </c>
      <c r="C108" s="3490">
        <v>3055</v>
      </c>
      <c r="D108" s="3491">
        <v>36.6</v>
      </c>
      <c r="E108" s="3505" t="s">
        <v>3476</v>
      </c>
    </row>
    <row r="109" spans="1:5" ht="15.75">
      <c r="A109" s="3510">
        <v>107</v>
      </c>
      <c r="B109" s="3489" t="s">
        <v>3462</v>
      </c>
      <c r="C109" s="3490">
        <v>3056</v>
      </c>
      <c r="D109" s="3491">
        <v>35.74</v>
      </c>
      <c r="E109" s="3505" t="s">
        <v>3476</v>
      </c>
    </row>
    <row r="110" spans="1:5" ht="15.75">
      <c r="A110" s="3510">
        <v>108</v>
      </c>
      <c r="B110" s="3489" t="s">
        <v>3462</v>
      </c>
      <c r="C110" s="3490">
        <v>3057</v>
      </c>
      <c r="D110" s="3491">
        <v>35.74</v>
      </c>
      <c r="E110" s="3505" t="s">
        <v>3476</v>
      </c>
    </row>
    <row r="111" spans="1:5" ht="15.75">
      <c r="A111" s="3510">
        <v>109</v>
      </c>
      <c r="B111" s="3489" t="s">
        <v>3462</v>
      </c>
      <c r="C111" s="3490">
        <v>3058</v>
      </c>
      <c r="D111" s="3491">
        <v>36.6</v>
      </c>
      <c r="E111" s="3505" t="s">
        <v>3476</v>
      </c>
    </row>
    <row r="112" spans="1:5" ht="15.75">
      <c r="A112" s="3510">
        <v>110</v>
      </c>
      <c r="B112" s="3489" t="s">
        <v>3462</v>
      </c>
      <c r="C112" s="3490">
        <v>3059</v>
      </c>
      <c r="D112" s="3491">
        <v>34.01</v>
      </c>
      <c r="E112" s="3505" t="s">
        <v>3476</v>
      </c>
    </row>
    <row r="113" spans="1:5" ht="15.75">
      <c r="A113" s="3510">
        <v>111</v>
      </c>
      <c r="B113" s="3489" t="s">
        <v>3462</v>
      </c>
      <c r="C113" s="3492">
        <v>3060</v>
      </c>
      <c r="D113" s="3494">
        <v>36.6</v>
      </c>
      <c r="E113" s="3505" t="s">
        <v>3476</v>
      </c>
    </row>
    <row r="114" spans="1:5" ht="15.75">
      <c r="A114" s="3510">
        <v>112</v>
      </c>
      <c r="B114" s="3489" t="s">
        <v>3462</v>
      </c>
      <c r="C114" s="3490">
        <v>3061</v>
      </c>
      <c r="D114" s="3491">
        <v>36.6</v>
      </c>
      <c r="E114" s="3505" t="s">
        <v>3476</v>
      </c>
    </row>
    <row r="115" spans="1:5" ht="15.75">
      <c r="A115" s="3510">
        <v>113</v>
      </c>
      <c r="B115" s="3489" t="s">
        <v>3462</v>
      </c>
      <c r="C115" s="3490">
        <v>3062</v>
      </c>
      <c r="D115" s="3491">
        <v>34.01</v>
      </c>
      <c r="E115" s="3505" t="s">
        <v>3476</v>
      </c>
    </row>
    <row r="116" spans="1:5" ht="15.75">
      <c r="A116" s="3510">
        <v>114</v>
      </c>
      <c r="B116" s="3489" t="s">
        <v>3462</v>
      </c>
      <c r="C116" s="3490">
        <v>3063</v>
      </c>
      <c r="D116" s="3491">
        <v>36.6</v>
      </c>
      <c r="E116" s="3505" t="s">
        <v>3476</v>
      </c>
    </row>
    <row r="117" spans="1:5" ht="15.75">
      <c r="A117" s="3510">
        <v>115</v>
      </c>
      <c r="B117" s="3489" t="s">
        <v>3462</v>
      </c>
      <c r="C117" s="3490">
        <v>3064</v>
      </c>
      <c r="D117" s="3491">
        <v>35.74</v>
      </c>
      <c r="E117" s="3505" t="s">
        <v>3476</v>
      </c>
    </row>
    <row r="118" spans="1:5" ht="15.75">
      <c r="A118" s="3510">
        <v>116</v>
      </c>
      <c r="B118" s="3489" t="s">
        <v>3462</v>
      </c>
      <c r="C118" s="3490">
        <v>3065</v>
      </c>
      <c r="D118" s="3491">
        <v>35.74</v>
      </c>
      <c r="E118" s="3505" t="s">
        <v>3476</v>
      </c>
    </row>
    <row r="119" spans="1:5" ht="15.75">
      <c r="A119" s="3510">
        <v>117</v>
      </c>
      <c r="B119" s="3489" t="s">
        <v>3462</v>
      </c>
      <c r="C119" s="3490">
        <v>3066</v>
      </c>
      <c r="D119" s="3491">
        <v>35.74</v>
      </c>
      <c r="E119" s="3505" t="s">
        <v>3476</v>
      </c>
    </row>
    <row r="120" spans="1:5" ht="15.75">
      <c r="A120" s="3510">
        <v>118</v>
      </c>
      <c r="B120" s="3489" t="s">
        <v>3462</v>
      </c>
      <c r="C120" s="3490">
        <v>3067</v>
      </c>
      <c r="D120" s="3491">
        <v>36.6</v>
      </c>
      <c r="E120" s="3505" t="s">
        <v>3476</v>
      </c>
    </row>
    <row r="121" spans="1:5" ht="15.75">
      <c r="A121" s="3510">
        <v>119</v>
      </c>
      <c r="B121" s="3489" t="s">
        <v>3462</v>
      </c>
      <c r="C121" s="3492">
        <v>3068</v>
      </c>
      <c r="D121" s="3494">
        <v>34.01</v>
      </c>
      <c r="E121" s="3505" t="s">
        <v>3476</v>
      </c>
    </row>
    <row r="122" spans="1:5" ht="15.75">
      <c r="A122" s="3510">
        <v>120</v>
      </c>
      <c r="B122" s="3489" t="s">
        <v>3462</v>
      </c>
      <c r="C122" s="3490">
        <v>3069</v>
      </c>
      <c r="D122" s="3491">
        <v>36.6</v>
      </c>
      <c r="E122" s="3505" t="s">
        <v>3476</v>
      </c>
    </row>
    <row r="123" spans="1:5" ht="15.75">
      <c r="A123" s="3510">
        <v>121</v>
      </c>
      <c r="B123" s="3489" t="s">
        <v>3462</v>
      </c>
      <c r="C123" s="3490">
        <v>3070</v>
      </c>
      <c r="D123" s="3491">
        <v>36.6</v>
      </c>
      <c r="E123" s="3505" t="s">
        <v>3476</v>
      </c>
    </row>
    <row r="124" spans="1:5" ht="15.75">
      <c r="A124" s="3510">
        <v>122</v>
      </c>
      <c r="B124" s="3489" t="s">
        <v>3462</v>
      </c>
      <c r="C124" s="3490">
        <v>3071</v>
      </c>
      <c r="D124" s="3491">
        <v>34.01</v>
      </c>
      <c r="E124" s="3505" t="s">
        <v>3476</v>
      </c>
    </row>
    <row r="125" spans="1:5" ht="15.75">
      <c r="A125" s="3510">
        <v>123</v>
      </c>
      <c r="B125" s="3489" t="s">
        <v>3462</v>
      </c>
      <c r="C125" s="3490">
        <v>3072</v>
      </c>
      <c r="D125" s="3491">
        <v>36.6</v>
      </c>
      <c r="E125" s="3505" t="s">
        <v>3476</v>
      </c>
    </row>
    <row r="126" spans="1:5" ht="15.75">
      <c r="A126" s="3510">
        <v>124</v>
      </c>
      <c r="B126" s="3489" t="s">
        <v>3462</v>
      </c>
      <c r="C126" s="3490">
        <v>3073</v>
      </c>
      <c r="D126" s="3491">
        <v>36.6</v>
      </c>
      <c r="E126" s="3505" t="s">
        <v>3476</v>
      </c>
    </row>
    <row r="127" spans="1:5" ht="15.75">
      <c r="A127" s="3510">
        <v>125</v>
      </c>
      <c r="B127" s="3489" t="s">
        <v>3462</v>
      </c>
      <c r="C127" s="3490">
        <v>3074</v>
      </c>
      <c r="D127" s="3491">
        <v>34.01</v>
      </c>
      <c r="E127" s="3505" t="s">
        <v>3476</v>
      </c>
    </row>
    <row r="128" spans="1:5" ht="15.75">
      <c r="A128" s="3510">
        <v>126</v>
      </c>
      <c r="B128" s="3489" t="s">
        <v>3462</v>
      </c>
      <c r="C128" s="3490">
        <v>3075</v>
      </c>
      <c r="D128" s="3491">
        <v>36.6</v>
      </c>
      <c r="E128" s="3505" t="s">
        <v>3476</v>
      </c>
    </row>
    <row r="129" spans="1:5" ht="15.75">
      <c r="A129" s="3510">
        <v>127</v>
      </c>
      <c r="B129" s="3489" t="s">
        <v>3462</v>
      </c>
      <c r="C129" s="3490">
        <v>3076</v>
      </c>
      <c r="D129" s="3491">
        <v>36.6</v>
      </c>
      <c r="E129" s="3505" t="s">
        <v>3476</v>
      </c>
    </row>
    <row r="130" spans="1:5" ht="15.75">
      <c r="A130" s="3510">
        <v>128</v>
      </c>
      <c r="B130" s="3489" t="s">
        <v>3462</v>
      </c>
      <c r="C130" s="3490">
        <v>3077</v>
      </c>
      <c r="D130" s="3491">
        <v>34.01</v>
      </c>
      <c r="E130" s="3505" t="s">
        <v>3476</v>
      </c>
    </row>
    <row r="131" spans="1:5" ht="15.75">
      <c r="A131" s="3510">
        <v>129</v>
      </c>
      <c r="B131" s="3489" t="s">
        <v>3462</v>
      </c>
      <c r="C131" s="3490">
        <v>3078</v>
      </c>
      <c r="D131" s="3491">
        <v>36.6</v>
      </c>
      <c r="E131" s="3505" t="s">
        <v>3476</v>
      </c>
    </row>
    <row r="132" spans="1:5" ht="15.75">
      <c r="A132" s="3510">
        <v>130</v>
      </c>
      <c r="B132" s="3489" t="s">
        <v>3462</v>
      </c>
      <c r="C132" s="3490">
        <v>3079</v>
      </c>
      <c r="D132" s="3491">
        <v>36.6</v>
      </c>
      <c r="E132" s="3505" t="s">
        <v>3476</v>
      </c>
    </row>
    <row r="133" spans="1:5" ht="15.75">
      <c r="A133" s="3510">
        <v>131</v>
      </c>
      <c r="B133" s="3489" t="s">
        <v>3462</v>
      </c>
      <c r="C133" s="3490">
        <v>3080</v>
      </c>
      <c r="D133" s="3491">
        <v>34.01</v>
      </c>
      <c r="E133" s="3505" t="s">
        <v>3476</v>
      </c>
    </row>
    <row r="134" spans="1:5" ht="15.75">
      <c r="A134" s="3510">
        <v>132</v>
      </c>
      <c r="B134" s="3489" t="s">
        <v>3462</v>
      </c>
      <c r="C134" s="3490">
        <v>3081</v>
      </c>
      <c r="D134" s="3491">
        <v>36.6</v>
      </c>
      <c r="E134" s="3505" t="s">
        <v>3476</v>
      </c>
    </row>
    <row r="135" spans="1:5" ht="15.75">
      <c r="A135" s="3510">
        <v>133</v>
      </c>
      <c r="B135" s="3489" t="s">
        <v>3462</v>
      </c>
      <c r="C135" s="3490">
        <v>3082</v>
      </c>
      <c r="D135" s="3491">
        <v>35.74</v>
      </c>
      <c r="E135" s="3505" t="s">
        <v>3476</v>
      </c>
    </row>
    <row r="136" spans="1:5" ht="15.75">
      <c r="A136" s="3510">
        <v>134</v>
      </c>
      <c r="B136" s="3489" t="s">
        <v>3462</v>
      </c>
      <c r="C136" s="3490">
        <v>3083</v>
      </c>
      <c r="D136" s="3491">
        <v>36.6</v>
      </c>
      <c r="E136" s="3505" t="s">
        <v>3476</v>
      </c>
    </row>
    <row r="137" spans="1:5" ht="15.75">
      <c r="A137" s="3510">
        <v>135</v>
      </c>
      <c r="B137" s="3489" t="s">
        <v>3462</v>
      </c>
      <c r="C137" s="3490">
        <v>3084</v>
      </c>
      <c r="D137" s="3491">
        <v>34.01</v>
      </c>
      <c r="E137" s="3505" t="s">
        <v>3476</v>
      </c>
    </row>
    <row r="138" spans="1:5" ht="15.75">
      <c r="A138" s="3510">
        <v>136</v>
      </c>
      <c r="B138" s="3489" t="s">
        <v>3462</v>
      </c>
      <c r="C138" s="3490">
        <v>3085</v>
      </c>
      <c r="D138" s="3491">
        <v>36.6</v>
      </c>
      <c r="E138" s="3505" t="s">
        <v>3476</v>
      </c>
    </row>
    <row r="139" spans="1:5" ht="15.75">
      <c r="A139" s="3510">
        <v>137</v>
      </c>
      <c r="B139" s="3489" t="s">
        <v>3462</v>
      </c>
      <c r="C139" s="3490">
        <v>3086</v>
      </c>
      <c r="D139" s="3491">
        <v>36.6</v>
      </c>
      <c r="E139" s="3505" t="s">
        <v>3476</v>
      </c>
    </row>
    <row r="140" spans="1:5" ht="15.75">
      <c r="A140" s="3510">
        <v>138</v>
      </c>
      <c r="B140" s="3489" t="s">
        <v>3462</v>
      </c>
      <c r="C140" s="3490">
        <v>3087</v>
      </c>
      <c r="D140" s="3491">
        <v>34.01</v>
      </c>
      <c r="E140" s="3505" t="s">
        <v>3476</v>
      </c>
    </row>
    <row r="141" spans="1:5" ht="15.75">
      <c r="A141" s="3510">
        <v>139</v>
      </c>
      <c r="B141" s="3489" t="s">
        <v>3462</v>
      </c>
      <c r="C141" s="3490">
        <v>3088</v>
      </c>
      <c r="D141" s="3491">
        <v>36.6</v>
      </c>
      <c r="E141" s="3505" t="s">
        <v>3476</v>
      </c>
    </row>
    <row r="142" spans="1:5" ht="15.75">
      <c r="A142" s="3510">
        <v>140</v>
      </c>
      <c r="B142" s="3489" t="s">
        <v>3462</v>
      </c>
      <c r="C142" s="3490">
        <v>3089</v>
      </c>
      <c r="D142" s="3491">
        <v>36.6</v>
      </c>
      <c r="E142" s="3505" t="s">
        <v>3476</v>
      </c>
    </row>
    <row r="143" spans="1:5" ht="15.75">
      <c r="A143" s="3510">
        <v>141</v>
      </c>
      <c r="B143" s="3489" t="s">
        <v>3462</v>
      </c>
      <c r="C143" s="3490">
        <v>3090</v>
      </c>
      <c r="D143" s="3491">
        <v>34.01</v>
      </c>
      <c r="E143" s="3505" t="s">
        <v>3476</v>
      </c>
    </row>
    <row r="144" spans="1:5" ht="15.75">
      <c r="A144" s="3510">
        <v>142</v>
      </c>
      <c r="B144" s="3489" t="s">
        <v>3462</v>
      </c>
      <c r="C144" s="3490">
        <v>3091</v>
      </c>
      <c r="D144" s="3491">
        <v>36.6</v>
      </c>
      <c r="E144" s="3505" t="s">
        <v>3476</v>
      </c>
    </row>
    <row r="145" spans="1:5" ht="15.75">
      <c r="A145" s="3510">
        <v>143</v>
      </c>
      <c r="B145" s="3489" t="s">
        <v>3462</v>
      </c>
      <c r="C145" s="3490">
        <v>3092</v>
      </c>
      <c r="D145" s="3491">
        <v>36.6</v>
      </c>
      <c r="E145" s="3505" t="s">
        <v>3476</v>
      </c>
    </row>
    <row r="146" spans="1:5" ht="15.75">
      <c r="A146" s="3510">
        <v>144</v>
      </c>
      <c r="B146" s="3489" t="s">
        <v>3462</v>
      </c>
      <c r="C146" s="3490">
        <v>3093</v>
      </c>
      <c r="D146" s="3491">
        <v>34.01</v>
      </c>
      <c r="E146" s="3505" t="s">
        <v>3476</v>
      </c>
    </row>
    <row r="147" spans="1:5" ht="15.75">
      <c r="A147" s="3510">
        <v>145</v>
      </c>
      <c r="B147" s="3489" t="s">
        <v>3462</v>
      </c>
      <c r="C147" s="3490">
        <v>3094</v>
      </c>
      <c r="D147" s="3491">
        <v>36.6</v>
      </c>
      <c r="E147" s="3505" t="s">
        <v>3476</v>
      </c>
    </row>
    <row r="148" spans="1:5" ht="15.75">
      <c r="A148" s="3510">
        <v>146</v>
      </c>
      <c r="B148" s="3489" t="s">
        <v>3462</v>
      </c>
      <c r="C148" s="3490">
        <v>3095</v>
      </c>
      <c r="D148" s="3491">
        <v>35.74</v>
      </c>
      <c r="E148" s="3505" t="s">
        <v>3476</v>
      </c>
    </row>
    <row r="149" spans="1:5" ht="15.75">
      <c r="A149" s="3510">
        <v>147</v>
      </c>
      <c r="B149" s="3489" t="s">
        <v>3462</v>
      </c>
      <c r="C149" s="3490">
        <v>3096</v>
      </c>
      <c r="D149" s="3491">
        <v>36.6</v>
      </c>
      <c r="E149" s="3505" t="s">
        <v>3476</v>
      </c>
    </row>
    <row r="150" spans="1:5" ht="15.75">
      <c r="A150" s="3510">
        <v>148</v>
      </c>
      <c r="B150" s="3489" t="s">
        <v>3462</v>
      </c>
      <c r="C150" s="3490">
        <v>3097</v>
      </c>
      <c r="D150" s="3491">
        <v>34.01</v>
      </c>
      <c r="E150" s="3505" t="s">
        <v>3476</v>
      </c>
    </row>
    <row r="151" spans="1:5" ht="15.75">
      <c r="A151" s="3510">
        <v>149</v>
      </c>
      <c r="B151" s="3489" t="s">
        <v>3462</v>
      </c>
      <c r="C151" s="3490">
        <v>3098</v>
      </c>
      <c r="D151" s="3491">
        <v>36.6</v>
      </c>
      <c r="E151" s="3505" t="s">
        <v>3476</v>
      </c>
    </row>
    <row r="152" spans="1:5" ht="15.75">
      <c r="A152" s="3510">
        <v>150</v>
      </c>
      <c r="B152" s="3489" t="s">
        <v>3462</v>
      </c>
      <c r="C152" s="3490">
        <v>3099</v>
      </c>
      <c r="D152" s="3491">
        <v>36.6</v>
      </c>
      <c r="E152" s="3505" t="s">
        <v>3476</v>
      </c>
    </row>
    <row r="153" spans="1:5" ht="15.75">
      <c r="A153" s="3510">
        <v>151</v>
      </c>
      <c r="B153" s="3489" t="s">
        <v>3462</v>
      </c>
      <c r="C153" s="3490">
        <v>3100</v>
      </c>
      <c r="D153" s="3491">
        <v>34.01</v>
      </c>
      <c r="E153" s="3505" t="s">
        <v>3476</v>
      </c>
    </row>
    <row r="154" spans="1:5" ht="15.75">
      <c r="A154" s="3510">
        <v>152</v>
      </c>
      <c r="B154" s="3489" t="s">
        <v>3462</v>
      </c>
      <c r="C154" s="3490">
        <v>3101</v>
      </c>
      <c r="D154" s="3491">
        <v>36.6</v>
      </c>
      <c r="E154" s="3505" t="s">
        <v>3476</v>
      </c>
    </row>
    <row r="155" spans="1:5" ht="15.75">
      <c r="A155" s="3510">
        <v>153</v>
      </c>
      <c r="B155" s="3489" t="s">
        <v>3462</v>
      </c>
      <c r="C155" s="3490">
        <v>3102</v>
      </c>
      <c r="D155" s="3491">
        <v>36.6</v>
      </c>
      <c r="E155" s="3505" t="s">
        <v>3476</v>
      </c>
    </row>
    <row r="156" spans="1:5" ht="15.75">
      <c r="A156" s="3510">
        <v>154</v>
      </c>
      <c r="B156" s="3489" t="s">
        <v>3462</v>
      </c>
      <c r="C156" s="3490">
        <v>3103</v>
      </c>
      <c r="D156" s="3491">
        <v>34.01</v>
      </c>
      <c r="E156" s="3505" t="s">
        <v>3476</v>
      </c>
    </row>
    <row r="157" spans="1:5" ht="15.75">
      <c r="A157" s="3510">
        <v>155</v>
      </c>
      <c r="B157" s="3489" t="s">
        <v>3462</v>
      </c>
      <c r="C157" s="3490">
        <v>3104</v>
      </c>
      <c r="D157" s="3491">
        <v>36.6</v>
      </c>
      <c r="E157" s="3505" t="s">
        <v>3476</v>
      </c>
    </row>
    <row r="158" spans="1:5" ht="13.5" customHeight="1">
      <c r="A158" s="3510">
        <v>156</v>
      </c>
      <c r="B158" s="3489" t="s">
        <v>3462</v>
      </c>
      <c r="C158" s="3496">
        <v>3105</v>
      </c>
      <c r="D158" s="3496">
        <v>35.74</v>
      </c>
      <c r="E158" s="3505" t="s">
        <v>3476</v>
      </c>
    </row>
    <row r="159" spans="1:5" ht="13.5" customHeight="1">
      <c r="A159" s="3510">
        <v>157</v>
      </c>
      <c r="B159" s="3489" t="s">
        <v>3462</v>
      </c>
      <c r="C159" s="3496">
        <v>3106</v>
      </c>
      <c r="D159" s="3496">
        <v>32.880000000000003</v>
      </c>
      <c r="E159" s="3505" t="s">
        <v>3476</v>
      </c>
    </row>
    <row r="160" spans="1:5" ht="13.5" customHeight="1">
      <c r="A160" s="3510">
        <v>158</v>
      </c>
      <c r="B160" s="3489" t="s">
        <v>3462</v>
      </c>
      <c r="C160" s="3496">
        <v>3107</v>
      </c>
      <c r="D160" s="3496">
        <v>36.6</v>
      </c>
      <c r="E160" s="3505" t="s">
        <v>3476</v>
      </c>
    </row>
    <row r="161" spans="1:5" ht="13.5" customHeight="1">
      <c r="A161" s="3510">
        <v>159</v>
      </c>
      <c r="B161" s="3489" t="s">
        <v>3462</v>
      </c>
      <c r="C161" s="3496">
        <v>3108</v>
      </c>
      <c r="D161" s="3491">
        <v>34.01</v>
      </c>
      <c r="E161" s="3505" t="s">
        <v>3476</v>
      </c>
    </row>
    <row r="162" spans="1:5" ht="13.5" customHeight="1">
      <c r="A162" s="3510">
        <v>160</v>
      </c>
      <c r="B162" s="3489" t="s">
        <v>3463</v>
      </c>
      <c r="C162" s="3496">
        <v>3109</v>
      </c>
      <c r="D162" s="3496">
        <v>36.6</v>
      </c>
      <c r="E162" s="3505" t="s">
        <v>3476</v>
      </c>
    </row>
    <row r="163" spans="1:5" ht="13.5" customHeight="1">
      <c r="A163" s="3510">
        <v>161</v>
      </c>
      <c r="B163" s="3489" t="s">
        <v>3463</v>
      </c>
      <c r="C163" s="3496">
        <v>3110</v>
      </c>
      <c r="D163" s="3496">
        <v>35.74</v>
      </c>
      <c r="E163" s="3505" t="s">
        <v>3476</v>
      </c>
    </row>
    <row r="164" spans="1:5" ht="13.5" customHeight="1">
      <c r="A164" s="3510">
        <v>162</v>
      </c>
      <c r="B164" s="3489" t="s">
        <v>3463</v>
      </c>
      <c r="C164" s="3496">
        <v>3111</v>
      </c>
      <c r="D164" s="3496">
        <v>35.74</v>
      </c>
      <c r="E164" s="3505" t="s">
        <v>3476</v>
      </c>
    </row>
    <row r="165" spans="1:5" ht="13.5" customHeight="1">
      <c r="A165" s="3510">
        <v>163</v>
      </c>
      <c r="B165" s="3489" t="s">
        <v>3463</v>
      </c>
      <c r="C165" s="3496">
        <v>3112</v>
      </c>
      <c r="D165" s="3496">
        <v>36.6</v>
      </c>
      <c r="E165" s="3505" t="s">
        <v>3476</v>
      </c>
    </row>
    <row r="166" spans="1:5" ht="13.5" customHeight="1">
      <c r="A166" s="3510">
        <v>164</v>
      </c>
      <c r="B166" s="3489" t="s">
        <v>3463</v>
      </c>
      <c r="C166" s="3496">
        <v>3113</v>
      </c>
      <c r="D166" s="3496">
        <v>34.01</v>
      </c>
      <c r="E166" s="3505" t="s">
        <v>3476</v>
      </c>
    </row>
    <row r="167" spans="1:5" ht="13.5" customHeight="1">
      <c r="A167" s="3510">
        <v>165</v>
      </c>
      <c r="B167" s="3489" t="s">
        <v>3463</v>
      </c>
      <c r="C167" s="3496">
        <v>3114</v>
      </c>
      <c r="D167" s="3496">
        <v>36.6</v>
      </c>
      <c r="E167" s="3505" t="s">
        <v>3476</v>
      </c>
    </row>
    <row r="168" spans="1:5" ht="13.5" customHeight="1">
      <c r="A168" s="3510">
        <v>166</v>
      </c>
      <c r="B168" s="3489" t="s">
        <v>3463</v>
      </c>
      <c r="C168" s="3496">
        <v>3115</v>
      </c>
      <c r="D168" s="3496">
        <v>35.74</v>
      </c>
      <c r="E168" s="3505" t="s">
        <v>3476</v>
      </c>
    </row>
    <row r="169" spans="1:5" ht="13.5" customHeight="1">
      <c r="A169" s="3510">
        <v>167</v>
      </c>
      <c r="B169" s="3489" t="s">
        <v>3463</v>
      </c>
      <c r="C169" s="3496">
        <v>3116</v>
      </c>
      <c r="D169" s="3496">
        <v>35.74</v>
      </c>
      <c r="E169" s="3505" t="s">
        <v>3476</v>
      </c>
    </row>
    <row r="170" spans="1:5" ht="13.5" customHeight="1">
      <c r="A170" s="3510">
        <v>168</v>
      </c>
      <c r="B170" s="3489" t="s">
        <v>3463</v>
      </c>
      <c r="C170" s="3496">
        <v>3117</v>
      </c>
      <c r="D170" s="3496">
        <v>35.74</v>
      </c>
      <c r="E170" s="3505" t="s">
        <v>3476</v>
      </c>
    </row>
    <row r="171" spans="1:5" ht="13.5" customHeight="1">
      <c r="A171" s="3510">
        <v>169</v>
      </c>
      <c r="B171" s="3489" t="s">
        <v>3463</v>
      </c>
      <c r="C171" s="3496">
        <v>3118</v>
      </c>
      <c r="D171" s="3496">
        <v>35.74</v>
      </c>
      <c r="E171" s="3505" t="s">
        <v>3476</v>
      </c>
    </row>
    <row r="172" spans="1:5" ht="13.5" customHeight="1">
      <c r="A172" s="3510">
        <v>170</v>
      </c>
      <c r="B172" s="3489" t="s">
        <v>3463</v>
      </c>
      <c r="C172" s="3496">
        <v>3119</v>
      </c>
      <c r="D172" s="3496">
        <v>36.6</v>
      </c>
      <c r="E172" s="3505" t="s">
        <v>3476</v>
      </c>
    </row>
    <row r="173" spans="1:5" ht="13.5" customHeight="1">
      <c r="A173" s="3510">
        <v>171</v>
      </c>
      <c r="B173" s="3489" t="s">
        <v>3463</v>
      </c>
      <c r="C173" s="3496">
        <v>3120</v>
      </c>
      <c r="D173" s="3496">
        <v>34.01</v>
      </c>
      <c r="E173" s="3505" t="s">
        <v>3476</v>
      </c>
    </row>
    <row r="174" spans="1:5" ht="13.5" customHeight="1">
      <c r="A174" s="3510">
        <v>172</v>
      </c>
      <c r="B174" s="3489" t="s">
        <v>3463</v>
      </c>
      <c r="C174" s="3496">
        <v>3121</v>
      </c>
      <c r="D174" s="3496">
        <v>36.6</v>
      </c>
      <c r="E174" s="3505" t="s">
        <v>3476</v>
      </c>
    </row>
    <row r="175" spans="1:5" ht="13.5" customHeight="1">
      <c r="A175" s="3510">
        <v>173</v>
      </c>
      <c r="B175" s="3489" t="s">
        <v>3463</v>
      </c>
      <c r="C175" s="3496">
        <v>3122</v>
      </c>
      <c r="D175" s="3496">
        <v>36.6</v>
      </c>
      <c r="E175" s="3505" t="s">
        <v>3476</v>
      </c>
    </row>
    <row r="176" spans="1:5" ht="13.5" customHeight="1">
      <c r="A176" s="3510">
        <v>174</v>
      </c>
      <c r="B176" s="3489" t="s">
        <v>3463</v>
      </c>
      <c r="C176" s="3496">
        <v>3123</v>
      </c>
      <c r="D176" s="3496">
        <v>34.01</v>
      </c>
      <c r="E176" s="3505" t="s">
        <v>3476</v>
      </c>
    </row>
    <row r="177" spans="1:5" ht="13.5" customHeight="1">
      <c r="A177" s="3510">
        <v>175</v>
      </c>
      <c r="B177" s="3489" t="s">
        <v>3463</v>
      </c>
      <c r="C177" s="3496">
        <v>3124</v>
      </c>
      <c r="D177" s="3496">
        <v>36.6</v>
      </c>
      <c r="E177" s="3505" t="s">
        <v>3476</v>
      </c>
    </row>
    <row r="178" spans="1:5" ht="13.5" customHeight="1">
      <c r="A178" s="3510">
        <v>176</v>
      </c>
      <c r="B178" s="3489" t="s">
        <v>3463</v>
      </c>
      <c r="C178" s="3496">
        <v>3125</v>
      </c>
      <c r="D178" s="3496">
        <v>36.6</v>
      </c>
      <c r="E178" s="3505" t="s">
        <v>3476</v>
      </c>
    </row>
    <row r="179" spans="1:5" ht="13.5" customHeight="1">
      <c r="A179" s="3510">
        <v>177</v>
      </c>
      <c r="B179" s="3489" t="s">
        <v>3463</v>
      </c>
      <c r="C179" s="3496">
        <v>3126</v>
      </c>
      <c r="D179" s="3496">
        <v>34.01</v>
      </c>
      <c r="E179" s="3505" t="s">
        <v>3476</v>
      </c>
    </row>
    <row r="180" spans="1:5" ht="13.5" customHeight="1">
      <c r="A180" s="3510">
        <v>178</v>
      </c>
      <c r="B180" s="3489" t="s">
        <v>3463</v>
      </c>
      <c r="C180" s="3496">
        <v>3127</v>
      </c>
      <c r="D180" s="3496">
        <v>36.6</v>
      </c>
      <c r="E180" s="3505" t="s">
        <v>3476</v>
      </c>
    </row>
    <row r="181" spans="1:5" ht="13.5" customHeight="1">
      <c r="A181" s="3510">
        <v>179</v>
      </c>
      <c r="B181" s="3489" t="s">
        <v>3463</v>
      </c>
      <c r="C181" s="3496">
        <v>3128</v>
      </c>
      <c r="D181" s="3496">
        <v>35.74</v>
      </c>
      <c r="E181" s="3505" t="s">
        <v>3476</v>
      </c>
    </row>
    <row r="182" spans="1:5" ht="13.5" customHeight="1">
      <c r="A182" s="3510">
        <v>180</v>
      </c>
      <c r="B182" s="3489" t="s">
        <v>3463</v>
      </c>
      <c r="C182" s="3496">
        <v>3129</v>
      </c>
      <c r="D182" s="3496">
        <v>35.74</v>
      </c>
      <c r="E182" s="3505" t="s">
        <v>3476</v>
      </c>
    </row>
    <row r="183" spans="1:5" ht="13.5" customHeight="1">
      <c r="A183" s="3510">
        <v>181</v>
      </c>
      <c r="B183" s="3489" t="s">
        <v>3463</v>
      </c>
      <c r="C183" s="3496">
        <v>3130</v>
      </c>
      <c r="D183" s="3491">
        <v>32.880000000000003</v>
      </c>
      <c r="E183" s="3505" t="s">
        <v>3476</v>
      </c>
    </row>
    <row r="184" spans="1:5" ht="15.75">
      <c r="A184" s="3510">
        <v>182</v>
      </c>
      <c r="B184" s="3489" t="s">
        <v>3463</v>
      </c>
      <c r="C184" s="3490">
        <v>3131</v>
      </c>
      <c r="D184" s="3491">
        <v>33.25</v>
      </c>
      <c r="E184" s="3505" t="s">
        <v>3476</v>
      </c>
    </row>
    <row r="185" spans="1:5" ht="15.75">
      <c r="A185" s="3510">
        <v>183</v>
      </c>
      <c r="B185" s="3489" t="s">
        <v>3463</v>
      </c>
      <c r="C185" s="3490">
        <v>3132</v>
      </c>
      <c r="D185" s="3491">
        <v>32.880000000000003</v>
      </c>
      <c r="E185" s="3505" t="s">
        <v>3476</v>
      </c>
    </row>
    <row r="186" spans="1:5" ht="15.75">
      <c r="A186" s="3510">
        <v>184</v>
      </c>
      <c r="B186" s="3489" t="s">
        <v>3463</v>
      </c>
      <c r="C186" s="3490">
        <v>3133</v>
      </c>
      <c r="D186" s="3491">
        <v>35.74</v>
      </c>
      <c r="E186" s="3505" t="s">
        <v>3476</v>
      </c>
    </row>
    <row r="187" spans="1:5" ht="15.75">
      <c r="A187" s="3510">
        <v>185</v>
      </c>
      <c r="B187" s="3489" t="s">
        <v>3463</v>
      </c>
      <c r="C187" s="3490">
        <v>3134</v>
      </c>
      <c r="D187" s="3491">
        <v>35.74</v>
      </c>
      <c r="E187" s="3505" t="s">
        <v>3476</v>
      </c>
    </row>
    <row r="188" spans="1:5" ht="15.75">
      <c r="A188" s="3510">
        <v>186</v>
      </c>
      <c r="B188" s="3489" t="s">
        <v>3463</v>
      </c>
      <c r="C188" s="3490">
        <v>3135</v>
      </c>
      <c r="D188" s="3491">
        <v>36.71</v>
      </c>
      <c r="E188" s="3505" t="s">
        <v>3476</v>
      </c>
    </row>
    <row r="189" spans="1:5" ht="15.75">
      <c r="A189" s="3510">
        <v>187</v>
      </c>
      <c r="B189" s="3489" t="s">
        <v>3463</v>
      </c>
      <c r="C189" s="3490">
        <v>3136</v>
      </c>
      <c r="D189" s="3491">
        <v>34.01</v>
      </c>
      <c r="E189" s="3505" t="s">
        <v>3476</v>
      </c>
    </row>
    <row r="190" spans="1:5" ht="15.75">
      <c r="A190" s="3510">
        <v>188</v>
      </c>
      <c r="B190" s="3489" t="s">
        <v>3463</v>
      </c>
      <c r="C190" s="3490">
        <v>3137</v>
      </c>
      <c r="D190" s="3491">
        <v>36.6</v>
      </c>
      <c r="E190" s="3505" t="s">
        <v>3476</v>
      </c>
    </row>
    <row r="191" spans="1:5" ht="15.75">
      <c r="A191" s="3510">
        <v>189</v>
      </c>
      <c r="B191" s="3489" t="s">
        <v>3463</v>
      </c>
      <c r="C191" s="3490">
        <v>3138</v>
      </c>
      <c r="D191" s="3491">
        <v>36.6</v>
      </c>
      <c r="E191" s="3505" t="s">
        <v>3476</v>
      </c>
    </row>
    <row r="192" spans="1:5" ht="15.75">
      <c r="A192" s="3510">
        <v>190</v>
      </c>
      <c r="B192" s="3489" t="s">
        <v>3463</v>
      </c>
      <c r="C192" s="3490">
        <v>3139</v>
      </c>
      <c r="D192" s="3491">
        <v>34.01</v>
      </c>
      <c r="E192" s="3505" t="s">
        <v>3476</v>
      </c>
    </row>
    <row r="193" spans="1:5" ht="15.75">
      <c r="A193" s="3510">
        <v>191</v>
      </c>
      <c r="B193" s="3489" t="s">
        <v>3463</v>
      </c>
      <c r="C193" s="3490">
        <v>3140</v>
      </c>
      <c r="D193" s="3491">
        <v>36.6</v>
      </c>
      <c r="E193" s="3505" t="s">
        <v>3476</v>
      </c>
    </row>
    <row r="194" spans="1:5" ht="15.75">
      <c r="A194" s="3510">
        <v>192</v>
      </c>
      <c r="B194" s="3489" t="s">
        <v>3463</v>
      </c>
      <c r="C194" s="3490">
        <v>3141</v>
      </c>
      <c r="D194" s="3491">
        <v>36.729999999999997</v>
      </c>
      <c r="E194" s="3505" t="s">
        <v>3476</v>
      </c>
    </row>
    <row r="195" spans="1:5" ht="15.75">
      <c r="A195" s="3510">
        <v>193</v>
      </c>
      <c r="B195" s="3489" t="s">
        <v>3463</v>
      </c>
      <c r="C195" s="3490">
        <v>3142</v>
      </c>
      <c r="D195" s="3491">
        <v>34.01</v>
      </c>
      <c r="E195" s="3505" t="s">
        <v>3476</v>
      </c>
    </row>
    <row r="196" spans="1:5" ht="15.75">
      <c r="A196" s="3510">
        <v>194</v>
      </c>
      <c r="B196" s="3489" t="s">
        <v>3463</v>
      </c>
      <c r="C196" s="3490">
        <v>3143</v>
      </c>
      <c r="D196" s="3491">
        <v>36.840000000000003</v>
      </c>
      <c r="E196" s="3505" t="s">
        <v>3476</v>
      </c>
    </row>
    <row r="197" spans="1:5" ht="15.75">
      <c r="A197" s="3510">
        <v>195</v>
      </c>
      <c r="B197" s="3489" t="s">
        <v>3463</v>
      </c>
      <c r="C197" s="3490">
        <v>3144</v>
      </c>
      <c r="D197" s="3491">
        <v>36.79</v>
      </c>
      <c r="E197" s="3505" t="s">
        <v>3476</v>
      </c>
    </row>
    <row r="198" spans="1:5" ht="15.75">
      <c r="A198" s="3510">
        <v>196</v>
      </c>
      <c r="B198" s="3489" t="s">
        <v>3463</v>
      </c>
      <c r="C198" s="3490">
        <v>3145</v>
      </c>
      <c r="D198" s="3491">
        <v>34.01</v>
      </c>
      <c r="E198" s="3505" t="s">
        <v>3476</v>
      </c>
    </row>
    <row r="199" spans="1:5" ht="15.75">
      <c r="A199" s="3510">
        <v>197</v>
      </c>
      <c r="B199" s="3489" t="s">
        <v>3463</v>
      </c>
      <c r="C199" s="3490">
        <v>3146</v>
      </c>
      <c r="D199" s="3491">
        <v>36.79</v>
      </c>
      <c r="E199" s="3505" t="s">
        <v>3476</v>
      </c>
    </row>
    <row r="200" spans="1:5" ht="15.75">
      <c r="A200" s="3510">
        <v>198</v>
      </c>
      <c r="B200" s="3489" t="s">
        <v>3463</v>
      </c>
      <c r="C200" s="3490">
        <v>3147</v>
      </c>
      <c r="D200" s="3491">
        <v>36.6</v>
      </c>
      <c r="E200" s="3505" t="s">
        <v>3476</v>
      </c>
    </row>
    <row r="201" spans="1:5" ht="15.75">
      <c r="A201" s="3510">
        <v>199</v>
      </c>
      <c r="B201" s="3489" t="s">
        <v>3463</v>
      </c>
      <c r="C201" s="3490">
        <v>3148</v>
      </c>
      <c r="D201" s="3491">
        <v>34.01</v>
      </c>
      <c r="E201" s="3505" t="s">
        <v>3476</v>
      </c>
    </row>
    <row r="202" spans="1:5" ht="15.75">
      <c r="A202" s="3510">
        <v>200</v>
      </c>
      <c r="B202" s="3489" t="s">
        <v>3463</v>
      </c>
      <c r="C202" s="3490">
        <v>3149</v>
      </c>
      <c r="D202" s="3491">
        <v>36.6</v>
      </c>
      <c r="E202" s="3505" t="s">
        <v>3476</v>
      </c>
    </row>
    <row r="203" spans="1:5" ht="15.75">
      <c r="A203" s="3510">
        <v>201</v>
      </c>
      <c r="B203" s="3489" t="s">
        <v>3463</v>
      </c>
      <c r="C203" s="3490">
        <v>3150</v>
      </c>
      <c r="D203" s="3491">
        <v>36.979999999999997</v>
      </c>
      <c r="E203" s="3505" t="s">
        <v>3476</v>
      </c>
    </row>
    <row r="204" spans="1:5" ht="15.75">
      <c r="A204" s="3510">
        <v>202</v>
      </c>
      <c r="B204" s="3489" t="s">
        <v>3463</v>
      </c>
      <c r="C204" s="3490">
        <v>3151</v>
      </c>
      <c r="D204" s="3491">
        <v>34.01</v>
      </c>
      <c r="E204" s="3505" t="s">
        <v>3476</v>
      </c>
    </row>
    <row r="205" spans="1:5" ht="15.75">
      <c r="A205" s="3510">
        <v>203</v>
      </c>
      <c r="B205" s="3489" t="s">
        <v>3463</v>
      </c>
      <c r="C205" s="3490">
        <v>3152</v>
      </c>
      <c r="D205" s="3491">
        <v>36.6</v>
      </c>
      <c r="E205" s="3505" t="s">
        <v>3476</v>
      </c>
    </row>
    <row r="206" spans="1:5" ht="15.75">
      <c r="A206" s="3510">
        <v>204</v>
      </c>
      <c r="B206" s="3489" t="s">
        <v>3463</v>
      </c>
      <c r="C206" s="3490">
        <v>3153</v>
      </c>
      <c r="D206" s="3491">
        <v>36.79</v>
      </c>
      <c r="E206" s="3505" t="s">
        <v>3476</v>
      </c>
    </row>
    <row r="207" spans="1:5" ht="15.75">
      <c r="A207" s="3510">
        <v>205</v>
      </c>
      <c r="B207" s="3489" t="s">
        <v>3463</v>
      </c>
      <c r="C207" s="3490">
        <v>3154</v>
      </c>
      <c r="D207" s="3491">
        <v>34.01</v>
      </c>
      <c r="E207" s="3505" t="s">
        <v>3476</v>
      </c>
    </row>
    <row r="208" spans="1:5" ht="15.75">
      <c r="A208" s="3510">
        <v>206</v>
      </c>
      <c r="B208" s="3489" t="s">
        <v>3463</v>
      </c>
      <c r="C208" s="3490">
        <v>3155</v>
      </c>
      <c r="D208" s="3491">
        <v>36.81</v>
      </c>
      <c r="E208" s="3505" t="s">
        <v>3476</v>
      </c>
    </row>
    <row r="209" spans="1:5" ht="15.75">
      <c r="A209" s="3510">
        <v>207</v>
      </c>
      <c r="B209" s="3489" t="s">
        <v>3463</v>
      </c>
      <c r="C209" s="3490">
        <v>3156</v>
      </c>
      <c r="D209" s="3491">
        <v>36.79</v>
      </c>
      <c r="E209" s="3505" t="s">
        <v>3476</v>
      </c>
    </row>
    <row r="210" spans="1:5" ht="15.75">
      <c r="A210" s="3510">
        <v>208</v>
      </c>
      <c r="B210" s="3489" t="s">
        <v>3463</v>
      </c>
      <c r="C210" s="3490">
        <v>3157</v>
      </c>
      <c r="D210" s="3491">
        <v>34.01</v>
      </c>
      <c r="E210" s="3505" t="s">
        <v>3476</v>
      </c>
    </row>
    <row r="211" spans="1:5" ht="15.75">
      <c r="A211" s="3510">
        <v>209</v>
      </c>
      <c r="B211" s="3489" t="s">
        <v>3463</v>
      </c>
      <c r="C211" s="3490">
        <v>3158</v>
      </c>
      <c r="D211" s="3491">
        <v>36.81</v>
      </c>
      <c r="E211" s="3505" t="s">
        <v>3476</v>
      </c>
    </row>
    <row r="212" spans="1:5" ht="15.75">
      <c r="A212" s="3510">
        <v>210</v>
      </c>
      <c r="B212" s="3489" t="s">
        <v>3463</v>
      </c>
      <c r="C212" s="3490">
        <v>3159</v>
      </c>
      <c r="D212" s="3491">
        <v>36.6</v>
      </c>
      <c r="E212" s="3505" t="s">
        <v>3476</v>
      </c>
    </row>
    <row r="213" spans="1:5" ht="15.75">
      <c r="A213" s="3510">
        <v>211</v>
      </c>
      <c r="B213" s="3489" t="s">
        <v>3463</v>
      </c>
      <c r="C213" s="3490">
        <v>3160</v>
      </c>
      <c r="D213" s="3491">
        <v>34.01</v>
      </c>
      <c r="E213" s="3505" t="s">
        <v>3476</v>
      </c>
    </row>
    <row r="214" spans="1:5" ht="15.75">
      <c r="A214" s="3510">
        <v>212</v>
      </c>
      <c r="B214" s="3489" t="s">
        <v>3463</v>
      </c>
      <c r="C214" s="3490">
        <v>3161</v>
      </c>
      <c r="D214" s="3491">
        <v>36.729999999999997</v>
      </c>
      <c r="E214" s="3505" t="s">
        <v>3476</v>
      </c>
    </row>
    <row r="215" spans="1:5" ht="15.75">
      <c r="A215" s="3510">
        <v>213</v>
      </c>
      <c r="B215" s="3489" t="s">
        <v>3463</v>
      </c>
      <c r="C215" s="3490">
        <v>3162</v>
      </c>
      <c r="D215" s="3491">
        <v>36.19</v>
      </c>
      <c r="E215" s="3505" t="s">
        <v>3476</v>
      </c>
    </row>
    <row r="216" spans="1:5" ht="15.75">
      <c r="A216" s="3510">
        <v>214</v>
      </c>
      <c r="B216" s="3489" t="s">
        <v>3463</v>
      </c>
      <c r="C216" s="3490">
        <v>3163</v>
      </c>
      <c r="D216" s="3491">
        <v>34.01</v>
      </c>
      <c r="E216" s="3505" t="s">
        <v>3476</v>
      </c>
    </row>
    <row r="217" spans="1:5" ht="15.75">
      <c r="A217" s="3510">
        <v>215</v>
      </c>
      <c r="B217" s="3489" t="s">
        <v>3463</v>
      </c>
      <c r="C217" s="3490">
        <v>3164</v>
      </c>
      <c r="D217" s="3491">
        <v>36.6</v>
      </c>
      <c r="E217" s="3505" t="s">
        <v>3476</v>
      </c>
    </row>
    <row r="218" spans="1:5" ht="15.75">
      <c r="A218" s="3510">
        <v>216</v>
      </c>
      <c r="B218" s="3489" t="s">
        <v>3463</v>
      </c>
      <c r="C218" s="3490">
        <v>3165</v>
      </c>
      <c r="D218" s="3491">
        <v>35.79</v>
      </c>
      <c r="E218" s="3505" t="s">
        <v>3476</v>
      </c>
    </row>
    <row r="219" spans="1:5" ht="15.75">
      <c r="A219" s="3510">
        <v>217</v>
      </c>
      <c r="B219" s="3489" t="s">
        <v>3463</v>
      </c>
      <c r="C219" s="3490">
        <v>3166</v>
      </c>
      <c r="D219" s="3491">
        <v>35.74</v>
      </c>
      <c r="E219" s="3505" t="s">
        <v>3476</v>
      </c>
    </row>
    <row r="220" spans="1:5" ht="15.75">
      <c r="A220" s="3510">
        <v>218</v>
      </c>
      <c r="B220" s="3489" t="s">
        <v>3463</v>
      </c>
      <c r="C220" s="3490">
        <v>3167</v>
      </c>
      <c r="D220" s="3491">
        <v>36.6</v>
      </c>
      <c r="E220" s="3505" t="s">
        <v>3476</v>
      </c>
    </row>
    <row r="221" spans="1:5" ht="15.75">
      <c r="A221" s="3510">
        <v>219</v>
      </c>
      <c r="B221" s="3489" t="s">
        <v>3463</v>
      </c>
      <c r="C221" s="3490">
        <v>3168</v>
      </c>
      <c r="D221" s="3491">
        <v>34.01</v>
      </c>
      <c r="E221" s="3505" t="s">
        <v>3476</v>
      </c>
    </row>
    <row r="222" spans="1:5" ht="15.75">
      <c r="A222" s="3510">
        <v>220</v>
      </c>
      <c r="B222" s="3489" t="s">
        <v>3463</v>
      </c>
      <c r="C222" s="3490">
        <v>3169</v>
      </c>
      <c r="D222" s="3491">
        <v>36.6</v>
      </c>
      <c r="E222" s="3505" t="s">
        <v>3476</v>
      </c>
    </row>
    <row r="223" spans="1:5" ht="15.75">
      <c r="A223" s="3510">
        <v>221</v>
      </c>
      <c r="B223" s="3489" t="s">
        <v>3463</v>
      </c>
      <c r="C223" s="3490">
        <v>3170</v>
      </c>
      <c r="D223" s="3491">
        <v>36.6</v>
      </c>
      <c r="E223" s="3505" t="s">
        <v>3476</v>
      </c>
    </row>
    <row r="224" spans="1:5" ht="15.75">
      <c r="A224" s="3510">
        <v>222</v>
      </c>
      <c r="B224" s="3489" t="s">
        <v>3463</v>
      </c>
      <c r="C224" s="3490">
        <v>3171</v>
      </c>
      <c r="D224" s="3491">
        <v>34.01</v>
      </c>
      <c r="E224" s="3505" t="s">
        <v>3476</v>
      </c>
    </row>
    <row r="225" spans="1:5" ht="15.75">
      <c r="A225" s="3510">
        <v>223</v>
      </c>
      <c r="B225" s="3489" t="s">
        <v>3463</v>
      </c>
      <c r="C225" s="3490">
        <v>3172</v>
      </c>
      <c r="D225" s="3491">
        <v>36.6</v>
      </c>
      <c r="E225" s="3505" t="s">
        <v>3476</v>
      </c>
    </row>
    <row r="226" spans="1:5" ht="15.75">
      <c r="A226" s="3510">
        <v>224</v>
      </c>
      <c r="B226" s="3489" t="s">
        <v>3463</v>
      </c>
      <c r="C226" s="3490">
        <v>3173</v>
      </c>
      <c r="D226" s="3491">
        <v>36.6</v>
      </c>
      <c r="E226" s="3505" t="s">
        <v>3476</v>
      </c>
    </row>
    <row r="227" spans="1:5" ht="15.75">
      <c r="A227" s="3510">
        <v>225</v>
      </c>
      <c r="B227" s="3489" t="s">
        <v>3463</v>
      </c>
      <c r="C227" s="3490">
        <v>3174</v>
      </c>
      <c r="D227" s="3491">
        <v>34.01</v>
      </c>
      <c r="E227" s="3505" t="s">
        <v>3476</v>
      </c>
    </row>
    <row r="228" spans="1:5" ht="15.75">
      <c r="A228" s="3510">
        <v>226</v>
      </c>
      <c r="B228" s="3489" t="s">
        <v>3463</v>
      </c>
      <c r="C228" s="3490">
        <v>3175</v>
      </c>
      <c r="D228" s="3491">
        <v>36.6</v>
      </c>
      <c r="E228" s="3505" t="s">
        <v>3476</v>
      </c>
    </row>
    <row r="229" spans="1:5" ht="15.75">
      <c r="A229" s="3510">
        <v>227</v>
      </c>
      <c r="B229" s="3489" t="s">
        <v>3463</v>
      </c>
      <c r="C229" s="3490">
        <v>3176</v>
      </c>
      <c r="D229" s="3491">
        <v>36.6</v>
      </c>
      <c r="E229" s="3505" t="s">
        <v>3476</v>
      </c>
    </row>
    <row r="230" spans="1:5" ht="15.75">
      <c r="A230" s="3510">
        <v>228</v>
      </c>
      <c r="B230" s="3489" t="s">
        <v>3463</v>
      </c>
      <c r="C230" s="3490">
        <v>3177</v>
      </c>
      <c r="D230" s="3491">
        <v>34.01</v>
      </c>
      <c r="E230" s="3505" t="s">
        <v>3476</v>
      </c>
    </row>
    <row r="231" spans="1:5" ht="15.75">
      <c r="A231" s="3510">
        <v>229</v>
      </c>
      <c r="B231" s="3489" t="s">
        <v>3463</v>
      </c>
      <c r="C231" s="3490">
        <v>3178</v>
      </c>
      <c r="D231" s="3491">
        <v>36.6</v>
      </c>
      <c r="E231" s="3505" t="s">
        <v>3476</v>
      </c>
    </row>
    <row r="232" spans="1:5" ht="15.75">
      <c r="A232" s="3510">
        <v>230</v>
      </c>
      <c r="B232" s="3489" t="s">
        <v>3463</v>
      </c>
      <c r="C232" s="3490">
        <v>3179</v>
      </c>
      <c r="D232" s="3491">
        <v>36.6</v>
      </c>
      <c r="E232" s="3505" t="s">
        <v>3476</v>
      </c>
    </row>
    <row r="233" spans="1:5" ht="15.75">
      <c r="A233" s="3510">
        <v>231</v>
      </c>
      <c r="B233" s="3489" t="s">
        <v>3463</v>
      </c>
      <c r="C233" s="3490">
        <v>3180</v>
      </c>
      <c r="D233" s="3491">
        <v>34.01</v>
      </c>
      <c r="E233" s="3505" t="s">
        <v>3476</v>
      </c>
    </row>
    <row r="234" spans="1:5" ht="15.75">
      <c r="A234" s="3510">
        <v>232</v>
      </c>
      <c r="B234" s="3489" t="s">
        <v>3463</v>
      </c>
      <c r="C234" s="3490">
        <v>3181</v>
      </c>
      <c r="D234" s="3491">
        <v>36.6</v>
      </c>
      <c r="E234" s="3505" t="s">
        <v>3476</v>
      </c>
    </row>
    <row r="235" spans="1:5" ht="15.75">
      <c r="A235" s="3510">
        <v>233</v>
      </c>
      <c r="B235" s="3489" t="s">
        <v>3463</v>
      </c>
      <c r="C235" s="3490">
        <v>3182</v>
      </c>
      <c r="D235" s="3491">
        <v>36.6</v>
      </c>
      <c r="E235" s="3505" t="s">
        <v>3476</v>
      </c>
    </row>
    <row r="236" spans="1:5" ht="15.75">
      <c r="A236" s="3510">
        <v>234</v>
      </c>
      <c r="B236" s="3489" t="s">
        <v>3463</v>
      </c>
      <c r="C236" s="3490">
        <v>3183</v>
      </c>
      <c r="D236" s="3491">
        <v>34.01</v>
      </c>
      <c r="E236" s="3505" t="s">
        <v>3476</v>
      </c>
    </row>
    <row r="237" spans="1:5" ht="15.75">
      <c r="A237" s="3510">
        <v>235</v>
      </c>
      <c r="B237" s="3489" t="s">
        <v>3463</v>
      </c>
      <c r="C237" s="3490">
        <v>3184</v>
      </c>
      <c r="D237" s="3491">
        <v>36.19</v>
      </c>
      <c r="E237" s="3505" t="s">
        <v>3476</v>
      </c>
    </row>
    <row r="238" spans="1:5" ht="15.75">
      <c r="A238" s="3510">
        <v>236</v>
      </c>
      <c r="B238" s="3489" t="s">
        <v>3463</v>
      </c>
      <c r="C238" s="3490">
        <v>3185</v>
      </c>
      <c r="D238" s="3491">
        <v>36.6</v>
      </c>
      <c r="E238" s="3505" t="s">
        <v>3476</v>
      </c>
    </row>
    <row r="239" spans="1:5" ht="15.75">
      <c r="A239" s="3510">
        <v>237</v>
      </c>
      <c r="B239" s="3489" t="s">
        <v>3463</v>
      </c>
      <c r="C239" s="3490">
        <v>3186</v>
      </c>
      <c r="D239" s="3491">
        <v>34.01</v>
      </c>
      <c r="E239" s="3505" t="s">
        <v>3476</v>
      </c>
    </row>
    <row r="240" spans="1:5" ht="15.75">
      <c r="A240" s="3510">
        <v>238</v>
      </c>
      <c r="B240" s="3489" t="s">
        <v>3463</v>
      </c>
      <c r="C240" s="3490">
        <v>3187</v>
      </c>
      <c r="D240" s="3491">
        <v>36.6</v>
      </c>
      <c r="E240" s="3505" t="s">
        <v>3476</v>
      </c>
    </row>
    <row r="241" spans="1:5" ht="15.75">
      <c r="A241" s="3510">
        <v>239</v>
      </c>
      <c r="B241" s="3489" t="s">
        <v>3463</v>
      </c>
      <c r="C241" s="3490">
        <v>3188</v>
      </c>
      <c r="D241" s="3491">
        <v>36.6</v>
      </c>
      <c r="E241" s="3505" t="s">
        <v>3476</v>
      </c>
    </row>
    <row r="242" spans="1:5" ht="15.75">
      <c r="A242" s="3510">
        <v>240</v>
      </c>
      <c r="B242" s="3489" t="s">
        <v>3463</v>
      </c>
      <c r="C242" s="3490">
        <v>3189</v>
      </c>
      <c r="D242" s="3491">
        <v>34.01</v>
      </c>
      <c r="E242" s="3505" t="s">
        <v>3476</v>
      </c>
    </row>
    <row r="243" spans="1:5" ht="15.75">
      <c r="A243" s="3510">
        <v>241</v>
      </c>
      <c r="B243" s="3489" t="s">
        <v>3463</v>
      </c>
      <c r="C243" s="3490">
        <v>3190</v>
      </c>
      <c r="D243" s="3491">
        <v>36.6</v>
      </c>
      <c r="E243" s="3505" t="s">
        <v>3476</v>
      </c>
    </row>
    <row r="244" spans="1:5" ht="15.75">
      <c r="A244" s="3510">
        <v>242</v>
      </c>
      <c r="B244" s="3489" t="s">
        <v>3463</v>
      </c>
      <c r="C244" s="3490">
        <v>3191</v>
      </c>
      <c r="D244" s="3491">
        <v>36.6</v>
      </c>
      <c r="E244" s="3505" t="s">
        <v>3476</v>
      </c>
    </row>
    <row r="245" spans="1:5" ht="15.75">
      <c r="A245" s="3510">
        <v>243</v>
      </c>
      <c r="B245" s="3489" t="s">
        <v>3463</v>
      </c>
      <c r="C245" s="3490">
        <v>3192</v>
      </c>
      <c r="D245" s="3491">
        <v>34.01</v>
      </c>
      <c r="E245" s="3505" t="s">
        <v>3476</v>
      </c>
    </row>
    <row r="246" spans="1:5" ht="15.75">
      <c r="A246" s="3510">
        <v>244</v>
      </c>
      <c r="B246" s="3489" t="s">
        <v>3463</v>
      </c>
      <c r="C246" s="3490">
        <v>3193</v>
      </c>
      <c r="D246" s="3491">
        <v>36.6</v>
      </c>
      <c r="E246" s="3505" t="s">
        <v>3476</v>
      </c>
    </row>
    <row r="247" spans="1:5" ht="15.75">
      <c r="A247" s="3510">
        <v>245</v>
      </c>
      <c r="B247" s="3489" t="s">
        <v>3463</v>
      </c>
      <c r="C247" s="3490">
        <v>3194</v>
      </c>
      <c r="D247" s="3491">
        <v>36.6</v>
      </c>
      <c r="E247" s="3505" t="s">
        <v>3476</v>
      </c>
    </row>
    <row r="248" spans="1:5" ht="15.75">
      <c r="A248" s="3510">
        <v>246</v>
      </c>
      <c r="B248" s="3489" t="s">
        <v>3463</v>
      </c>
      <c r="C248" s="3490">
        <v>3195</v>
      </c>
      <c r="D248" s="3491">
        <v>34.01</v>
      </c>
      <c r="E248" s="3505" t="s">
        <v>3476</v>
      </c>
    </row>
    <row r="249" spans="1:5" ht="15.75">
      <c r="A249" s="3510">
        <v>247</v>
      </c>
      <c r="B249" s="3489" t="s">
        <v>3463</v>
      </c>
      <c r="C249" s="3490">
        <v>3196</v>
      </c>
      <c r="D249" s="3491">
        <v>36.6</v>
      </c>
      <c r="E249" s="3505" t="s">
        <v>3476</v>
      </c>
    </row>
    <row r="250" spans="1:5" ht="15.75">
      <c r="A250" s="3510">
        <v>248</v>
      </c>
      <c r="B250" s="3489" t="s">
        <v>3463</v>
      </c>
      <c r="C250" s="3490">
        <v>3197</v>
      </c>
      <c r="D250" s="3491">
        <v>35.74</v>
      </c>
      <c r="E250" s="3505" t="s">
        <v>3476</v>
      </c>
    </row>
    <row r="251" spans="1:5" ht="15.75">
      <c r="A251" s="3510">
        <v>249</v>
      </c>
      <c r="B251" s="3489" t="s">
        <v>3463</v>
      </c>
      <c r="C251" s="3490">
        <v>3198</v>
      </c>
      <c r="D251" s="3491">
        <v>35.74</v>
      </c>
      <c r="E251" s="3505" t="s">
        <v>3476</v>
      </c>
    </row>
    <row r="252" spans="1:5" ht="15.75">
      <c r="A252" s="3510">
        <v>250</v>
      </c>
      <c r="B252" s="3489" t="s">
        <v>3463</v>
      </c>
      <c r="C252" s="3490">
        <v>3199</v>
      </c>
      <c r="D252" s="3491">
        <v>34.31</v>
      </c>
      <c r="E252" s="3505" t="s">
        <v>3476</v>
      </c>
    </row>
    <row r="253" spans="1:5" ht="15.75">
      <c r="A253" s="3510">
        <v>251</v>
      </c>
      <c r="B253" s="3489" t="s">
        <v>3463</v>
      </c>
      <c r="C253" s="3490">
        <v>3200</v>
      </c>
      <c r="D253" s="3491">
        <v>34.82</v>
      </c>
      <c r="E253" s="3505" t="s">
        <v>3476</v>
      </c>
    </row>
    <row r="254" spans="1:5" ht="15.75">
      <c r="A254" s="3510">
        <v>252</v>
      </c>
      <c r="B254" s="3489" t="s">
        <v>3463</v>
      </c>
      <c r="C254" s="3490">
        <v>3201</v>
      </c>
      <c r="D254" s="3491">
        <v>32.880000000000003</v>
      </c>
      <c r="E254" s="3505" t="s">
        <v>3476</v>
      </c>
    </row>
    <row r="255" spans="1:5" ht="15.75">
      <c r="A255" s="3510">
        <v>253</v>
      </c>
      <c r="B255" s="3489" t="s">
        <v>3463</v>
      </c>
      <c r="C255" s="3490">
        <v>3202</v>
      </c>
      <c r="D255" s="3491">
        <v>36.6</v>
      </c>
      <c r="E255" s="3505" t="s">
        <v>3476</v>
      </c>
    </row>
    <row r="256" spans="1:5" ht="15.75">
      <c r="A256" s="3510">
        <v>254</v>
      </c>
      <c r="B256" s="3489" t="s">
        <v>3463</v>
      </c>
      <c r="C256" s="3490">
        <v>3203</v>
      </c>
      <c r="D256" s="3491">
        <v>34.01</v>
      </c>
      <c r="E256" s="3505" t="s">
        <v>3476</v>
      </c>
    </row>
    <row r="257" spans="1:5" ht="15.75">
      <c r="A257" s="3510">
        <v>255</v>
      </c>
      <c r="B257" s="3489" t="s">
        <v>3463</v>
      </c>
      <c r="C257" s="3490">
        <v>3204</v>
      </c>
      <c r="D257" s="3491">
        <v>36.6</v>
      </c>
      <c r="E257" s="3505" t="s">
        <v>3476</v>
      </c>
    </row>
    <row r="258" spans="1:5" ht="15.75">
      <c r="A258" s="3510">
        <v>256</v>
      </c>
      <c r="B258" s="3489" t="s">
        <v>3463</v>
      </c>
      <c r="C258" s="3490">
        <v>3205</v>
      </c>
      <c r="D258" s="3491">
        <v>36.6</v>
      </c>
      <c r="E258" s="3505" t="s">
        <v>3476</v>
      </c>
    </row>
    <row r="259" spans="1:5" ht="15.75">
      <c r="A259" s="3510">
        <v>257</v>
      </c>
      <c r="B259" s="3489" t="s">
        <v>3463</v>
      </c>
      <c r="C259" s="3490">
        <v>3206</v>
      </c>
      <c r="D259" s="3491">
        <v>34.01</v>
      </c>
      <c r="E259" s="3505" t="s">
        <v>3476</v>
      </c>
    </row>
    <row r="260" spans="1:5" ht="15.75">
      <c r="A260" s="3510">
        <v>258</v>
      </c>
      <c r="B260" s="3489" t="s">
        <v>3463</v>
      </c>
      <c r="C260" s="3490">
        <v>3207</v>
      </c>
      <c r="D260" s="3491">
        <v>36.6</v>
      </c>
      <c r="E260" s="3505" t="s">
        <v>3476</v>
      </c>
    </row>
    <row r="261" spans="1:5" ht="15.75">
      <c r="A261" s="3510">
        <v>259</v>
      </c>
      <c r="B261" s="3489" t="s">
        <v>3463</v>
      </c>
      <c r="C261" s="3490">
        <v>3208</v>
      </c>
      <c r="D261" s="3491">
        <v>36.6</v>
      </c>
      <c r="E261" s="3505" t="s">
        <v>3476</v>
      </c>
    </row>
    <row r="262" spans="1:5" ht="15.75">
      <c r="A262" s="3510">
        <v>260</v>
      </c>
      <c r="B262" s="3489" t="s">
        <v>3463</v>
      </c>
      <c r="C262" s="3490">
        <v>3209</v>
      </c>
      <c r="D262" s="3491">
        <v>34.01</v>
      </c>
      <c r="E262" s="3505" t="s">
        <v>3476</v>
      </c>
    </row>
    <row r="263" spans="1:5" ht="15.75">
      <c r="A263" s="3510">
        <v>261</v>
      </c>
      <c r="B263" s="3489" t="s">
        <v>3463</v>
      </c>
      <c r="C263" s="3490">
        <v>3210</v>
      </c>
      <c r="D263" s="3491">
        <v>36.6</v>
      </c>
      <c r="E263" s="3505" t="s">
        <v>3476</v>
      </c>
    </row>
    <row r="264" spans="1:5" ht="15.75">
      <c r="A264" s="3510">
        <v>262</v>
      </c>
      <c r="B264" s="3489" t="s">
        <v>3463</v>
      </c>
      <c r="C264" s="3490">
        <v>3211</v>
      </c>
      <c r="D264" s="3491">
        <v>71.069999999999993</v>
      </c>
      <c r="E264" s="3505" t="s">
        <v>3476</v>
      </c>
    </row>
    <row r="265" spans="1:5" ht="15.75">
      <c r="A265" s="3510">
        <v>263</v>
      </c>
      <c r="B265" s="3489" t="s">
        <v>3463</v>
      </c>
      <c r="C265" s="3490">
        <v>3213</v>
      </c>
      <c r="D265" s="3491">
        <v>36.14</v>
      </c>
      <c r="E265" s="3505" t="s">
        <v>3476</v>
      </c>
    </row>
    <row r="266" spans="1:5" ht="15.75">
      <c r="A266" s="3510">
        <v>264</v>
      </c>
      <c r="B266" s="3489" t="s">
        <v>3463</v>
      </c>
      <c r="C266" s="3490">
        <v>3214</v>
      </c>
      <c r="D266" s="3491">
        <v>36.14</v>
      </c>
      <c r="E266" s="3505" t="s">
        <v>3476</v>
      </c>
    </row>
    <row r="267" spans="1:5" ht="15.75">
      <c r="A267" s="3510">
        <v>265</v>
      </c>
      <c r="B267" s="3489" t="s">
        <v>3463</v>
      </c>
      <c r="C267" s="3490">
        <v>3215</v>
      </c>
      <c r="D267" s="3491">
        <v>34.93</v>
      </c>
      <c r="E267" s="3505" t="s">
        <v>3476</v>
      </c>
    </row>
    <row r="268" spans="1:5" ht="15.75">
      <c r="A268" s="3510">
        <v>266</v>
      </c>
      <c r="B268" s="3489" t="s">
        <v>3463</v>
      </c>
      <c r="C268" s="3490">
        <v>3216</v>
      </c>
      <c r="D268" s="3491">
        <v>36.14</v>
      </c>
      <c r="E268" s="3505" t="s">
        <v>3476</v>
      </c>
    </row>
    <row r="269" spans="1:5" ht="15.75">
      <c r="A269" s="3510">
        <v>267</v>
      </c>
      <c r="B269" s="3489" t="s">
        <v>3463</v>
      </c>
      <c r="C269" s="3490">
        <v>3217</v>
      </c>
      <c r="D269" s="3491">
        <v>33.36</v>
      </c>
      <c r="E269" s="3505" t="s">
        <v>3476</v>
      </c>
    </row>
    <row r="270" spans="1:5" ht="15.75">
      <c r="A270" s="3510">
        <v>268</v>
      </c>
      <c r="B270" s="3489" t="s">
        <v>3463</v>
      </c>
      <c r="C270" s="3490">
        <v>3218</v>
      </c>
      <c r="D270" s="3491">
        <v>32.880000000000003</v>
      </c>
      <c r="E270" s="3505" t="s">
        <v>3476</v>
      </c>
    </row>
    <row r="271" spans="1:5" ht="15.75">
      <c r="A271" s="3510">
        <v>269</v>
      </c>
      <c r="B271" s="3489" t="s">
        <v>3463</v>
      </c>
      <c r="C271" s="3490">
        <v>3219</v>
      </c>
      <c r="D271" s="3491">
        <v>35.74</v>
      </c>
      <c r="E271" s="3505" t="s">
        <v>3476</v>
      </c>
    </row>
    <row r="272" spans="1:5" ht="15.75">
      <c r="A272" s="3510">
        <v>270</v>
      </c>
      <c r="B272" s="3489" t="s">
        <v>3463</v>
      </c>
      <c r="C272" s="3490">
        <v>3220</v>
      </c>
      <c r="D272" s="3491">
        <v>35.74</v>
      </c>
      <c r="E272" s="3505" t="s">
        <v>3476</v>
      </c>
    </row>
    <row r="273" spans="1:5" ht="15.75">
      <c r="A273" s="3510">
        <v>271</v>
      </c>
      <c r="B273" s="3489" t="s">
        <v>3463</v>
      </c>
      <c r="C273" s="3490">
        <v>3221</v>
      </c>
      <c r="D273" s="3491">
        <v>33.74</v>
      </c>
      <c r="E273" s="3505" t="s">
        <v>3476</v>
      </c>
    </row>
    <row r="274" spans="1:5" ht="15.75">
      <c r="A274" s="3510">
        <v>272</v>
      </c>
      <c r="B274" s="3489" t="s">
        <v>3463</v>
      </c>
      <c r="C274" s="3490">
        <v>3222</v>
      </c>
      <c r="D274" s="3491">
        <v>31.15</v>
      </c>
      <c r="E274" s="3505" t="s">
        <v>3476</v>
      </c>
    </row>
    <row r="275" spans="1:5" ht="15.75">
      <c r="A275" s="3510">
        <v>273</v>
      </c>
      <c r="B275" s="3489" t="s">
        <v>3463</v>
      </c>
      <c r="C275" s="3490">
        <v>3223</v>
      </c>
      <c r="D275" s="3491">
        <v>33.74</v>
      </c>
      <c r="E275" s="3505" t="s">
        <v>3476</v>
      </c>
    </row>
    <row r="276" spans="1:5" ht="15.75">
      <c r="A276" s="3510">
        <v>274</v>
      </c>
      <c r="B276" s="3489" t="s">
        <v>3463</v>
      </c>
      <c r="C276" s="3490">
        <v>3224</v>
      </c>
      <c r="D276" s="3491">
        <v>36.6</v>
      </c>
      <c r="E276" s="3505" t="s">
        <v>3476</v>
      </c>
    </row>
    <row r="277" spans="1:5" ht="15.75">
      <c r="A277" s="3510">
        <v>275</v>
      </c>
      <c r="B277" s="3489" t="s">
        <v>3463</v>
      </c>
      <c r="C277" s="3490">
        <v>3225</v>
      </c>
      <c r="D277" s="3491">
        <v>34.01</v>
      </c>
      <c r="E277" s="3505" t="s">
        <v>3476</v>
      </c>
    </row>
    <row r="278" spans="1:5" ht="15.75">
      <c r="A278" s="3510">
        <v>276</v>
      </c>
      <c r="B278" s="3489" t="s">
        <v>3463</v>
      </c>
      <c r="C278" s="3490">
        <v>3226</v>
      </c>
      <c r="D278" s="3491">
        <v>36.6</v>
      </c>
      <c r="E278" s="3505" t="s">
        <v>3476</v>
      </c>
    </row>
    <row r="279" spans="1:5" ht="15.75">
      <c r="A279" s="3510">
        <v>277</v>
      </c>
      <c r="B279" s="3489" t="s">
        <v>3463</v>
      </c>
      <c r="C279" s="3490">
        <v>3227</v>
      </c>
      <c r="D279" s="3491">
        <v>35.74</v>
      </c>
      <c r="E279" s="3505" t="s">
        <v>3476</v>
      </c>
    </row>
    <row r="280" spans="1:5" ht="15.75">
      <c r="A280" s="3510">
        <v>278</v>
      </c>
      <c r="B280" s="3489" t="s">
        <v>3463</v>
      </c>
      <c r="C280" s="3490">
        <v>3228</v>
      </c>
      <c r="D280" s="3491">
        <v>35.74</v>
      </c>
      <c r="E280" s="3505" t="s">
        <v>3476</v>
      </c>
    </row>
    <row r="281" spans="1:5" ht="15.75">
      <c r="A281" s="3510">
        <v>279</v>
      </c>
      <c r="B281" s="3489" t="s">
        <v>3463</v>
      </c>
      <c r="C281" s="3490">
        <v>3229</v>
      </c>
      <c r="D281" s="3491">
        <v>35.74</v>
      </c>
      <c r="E281" s="3505" t="s">
        <v>3476</v>
      </c>
    </row>
    <row r="282" spans="1:5" ht="15.75">
      <c r="A282" s="3510">
        <v>280</v>
      </c>
      <c r="B282" s="3489" t="s">
        <v>3463</v>
      </c>
      <c r="C282" s="3490">
        <v>3230</v>
      </c>
      <c r="D282" s="3491">
        <v>35.74</v>
      </c>
      <c r="E282" s="3505" t="s">
        <v>3476</v>
      </c>
    </row>
    <row r="283" spans="1:5" ht="15.75">
      <c r="A283" s="3510">
        <v>281</v>
      </c>
      <c r="B283" s="3489" t="s">
        <v>3463</v>
      </c>
      <c r="C283" s="3490">
        <v>3231</v>
      </c>
      <c r="D283" s="3491">
        <v>36.6</v>
      </c>
      <c r="E283" s="3505" t="s">
        <v>3476</v>
      </c>
    </row>
    <row r="284" spans="1:5" ht="15.75">
      <c r="A284" s="3510">
        <v>282</v>
      </c>
      <c r="B284" s="3489" t="s">
        <v>3463</v>
      </c>
      <c r="C284" s="3490">
        <v>3232</v>
      </c>
      <c r="D284" s="3491">
        <v>34.01</v>
      </c>
      <c r="E284" s="3505" t="s">
        <v>3476</v>
      </c>
    </row>
    <row r="285" spans="1:5" ht="15.75">
      <c r="A285" s="3510">
        <v>283</v>
      </c>
      <c r="B285" s="3489" t="s">
        <v>3463</v>
      </c>
      <c r="C285" s="3490">
        <v>3233</v>
      </c>
      <c r="D285" s="3491">
        <v>36.6</v>
      </c>
      <c r="E285" s="3505" t="s">
        <v>3476</v>
      </c>
    </row>
    <row r="286" spans="1:5" ht="15.75">
      <c r="A286" s="3510">
        <v>284</v>
      </c>
      <c r="B286" s="3489" t="s">
        <v>3463</v>
      </c>
      <c r="C286" s="3490">
        <v>3234</v>
      </c>
      <c r="D286" s="3491">
        <v>36.6</v>
      </c>
      <c r="E286" s="3505" t="s">
        <v>3476</v>
      </c>
    </row>
    <row r="287" spans="1:5" ht="15.75">
      <c r="A287" s="3510">
        <v>285</v>
      </c>
      <c r="B287" s="3489" t="s">
        <v>3463</v>
      </c>
      <c r="C287" s="3490">
        <v>3235</v>
      </c>
      <c r="D287" s="3491">
        <v>36.6</v>
      </c>
      <c r="E287" s="3505" t="s">
        <v>3476</v>
      </c>
    </row>
    <row r="288" spans="1:5" ht="15.75">
      <c r="A288" s="3510">
        <v>286</v>
      </c>
      <c r="B288" s="3489" t="s">
        <v>3463</v>
      </c>
      <c r="C288" s="3490">
        <v>3236</v>
      </c>
      <c r="D288" s="3491">
        <v>35.74</v>
      </c>
      <c r="E288" s="3505" t="s">
        <v>3476</v>
      </c>
    </row>
    <row r="289" spans="1:5" ht="15.75">
      <c r="A289" s="3510">
        <v>287</v>
      </c>
      <c r="B289" s="3489" t="s">
        <v>3463</v>
      </c>
      <c r="C289" s="3490">
        <v>3237</v>
      </c>
      <c r="D289" s="3491">
        <v>35.74</v>
      </c>
      <c r="E289" s="3505" t="s">
        <v>3476</v>
      </c>
    </row>
    <row r="290" spans="1:5" ht="15.75">
      <c r="A290" s="3510">
        <v>288</v>
      </c>
      <c r="B290" s="3489" t="s">
        <v>3463</v>
      </c>
      <c r="C290" s="3490">
        <v>3238</v>
      </c>
      <c r="D290" s="3491">
        <v>35.74</v>
      </c>
      <c r="E290" s="3505" t="s">
        <v>3476</v>
      </c>
    </row>
    <row r="291" spans="1:5" ht="15.75">
      <c r="A291" s="3510">
        <v>289</v>
      </c>
      <c r="B291" s="3489" t="s">
        <v>3463</v>
      </c>
      <c r="C291" s="3490">
        <v>3239</v>
      </c>
      <c r="D291" s="3491">
        <v>35.74</v>
      </c>
      <c r="E291" s="3505" t="s">
        <v>3476</v>
      </c>
    </row>
    <row r="292" spans="1:5" ht="15.75">
      <c r="A292" s="3510">
        <v>290</v>
      </c>
      <c r="B292" s="3489" t="s">
        <v>3463</v>
      </c>
      <c r="C292" s="3490">
        <v>3240</v>
      </c>
      <c r="D292" s="3491">
        <v>36.6</v>
      </c>
      <c r="E292" s="3505" t="s">
        <v>3476</v>
      </c>
    </row>
    <row r="293" spans="1:5" ht="15.75">
      <c r="A293" s="3510">
        <v>291</v>
      </c>
      <c r="B293" s="3489" t="s">
        <v>3463</v>
      </c>
      <c r="C293" s="3490">
        <v>3241</v>
      </c>
      <c r="D293" s="3491">
        <v>34.869999999999997</v>
      </c>
      <c r="E293" s="3505" t="s">
        <v>3476</v>
      </c>
    </row>
    <row r="294" spans="1:5" ht="15.75">
      <c r="A294" s="3510">
        <v>292</v>
      </c>
      <c r="B294" s="3489" t="s">
        <v>3463</v>
      </c>
      <c r="C294" s="3490">
        <v>3242</v>
      </c>
      <c r="D294" s="3491">
        <v>35.869999999999997</v>
      </c>
      <c r="E294" s="3505" t="s">
        <v>3476</v>
      </c>
    </row>
    <row r="295" spans="1:5" ht="15.75">
      <c r="A295" s="3510">
        <v>293</v>
      </c>
      <c r="B295" s="3489" t="s">
        <v>3463</v>
      </c>
      <c r="C295" s="3490">
        <v>3243</v>
      </c>
      <c r="D295" s="3491">
        <v>36.14</v>
      </c>
      <c r="E295" s="3505" t="s">
        <v>3476</v>
      </c>
    </row>
    <row r="296" spans="1:5" ht="15.75">
      <c r="A296" s="3510">
        <v>294</v>
      </c>
      <c r="B296" s="3489" t="s">
        <v>3463</v>
      </c>
      <c r="C296" s="3490">
        <v>3244</v>
      </c>
      <c r="D296" s="3491">
        <v>36.409999999999997</v>
      </c>
      <c r="E296" s="3505" t="s">
        <v>3476</v>
      </c>
    </row>
    <row r="297" spans="1:5" ht="15.75">
      <c r="A297" s="3510">
        <v>295</v>
      </c>
      <c r="B297" s="3489" t="s">
        <v>3463</v>
      </c>
      <c r="C297" s="3490">
        <v>3245</v>
      </c>
      <c r="D297" s="3491">
        <v>23.6</v>
      </c>
      <c r="E297" s="3505" t="s">
        <v>3476</v>
      </c>
    </row>
    <row r="298" spans="1:5" ht="15.75">
      <c r="A298" s="3510">
        <v>296</v>
      </c>
      <c r="B298" s="3489" t="s">
        <v>3463</v>
      </c>
      <c r="C298" s="3490">
        <v>3246</v>
      </c>
      <c r="D298" s="3491">
        <v>34.119999999999997</v>
      </c>
      <c r="E298" s="3505" t="s">
        <v>3476</v>
      </c>
    </row>
    <row r="299" spans="1:5" ht="15.75">
      <c r="A299" s="3510">
        <v>297</v>
      </c>
      <c r="B299" s="3489" t="s">
        <v>3463</v>
      </c>
      <c r="C299" s="3490">
        <v>3247</v>
      </c>
      <c r="D299" s="3491">
        <v>34.93</v>
      </c>
      <c r="E299" s="3505" t="s">
        <v>3476</v>
      </c>
    </row>
    <row r="300" spans="1:5" ht="15.75">
      <c r="A300" s="3510">
        <v>298</v>
      </c>
      <c r="B300" s="3489" t="s">
        <v>3463</v>
      </c>
      <c r="C300" s="3490">
        <v>3248</v>
      </c>
      <c r="D300" s="3491">
        <v>70.69</v>
      </c>
      <c r="E300" s="3505" t="s">
        <v>3476</v>
      </c>
    </row>
    <row r="301" spans="1:5" ht="15.75">
      <c r="A301" s="3510">
        <v>299</v>
      </c>
      <c r="B301" s="3489" t="s">
        <v>3463</v>
      </c>
      <c r="C301" s="3490">
        <v>3250</v>
      </c>
      <c r="D301" s="3491">
        <v>65.73</v>
      </c>
      <c r="E301" s="3505" t="s">
        <v>3476</v>
      </c>
    </row>
    <row r="302" spans="1:5" ht="15.75">
      <c r="A302" s="3510">
        <v>300</v>
      </c>
      <c r="B302" s="3489" t="s">
        <v>3463</v>
      </c>
      <c r="C302" s="3490">
        <v>3252</v>
      </c>
      <c r="D302" s="3491">
        <v>35.76</v>
      </c>
      <c r="E302" s="3505" t="s">
        <v>3476</v>
      </c>
    </row>
    <row r="303" spans="1:5" ht="15.75">
      <c r="A303" s="3510">
        <v>301</v>
      </c>
      <c r="B303" s="3489" t="s">
        <v>3463</v>
      </c>
      <c r="C303" s="3490">
        <v>3253</v>
      </c>
      <c r="D303" s="3491">
        <v>34.93</v>
      </c>
      <c r="E303" s="3505" t="s">
        <v>3476</v>
      </c>
    </row>
    <row r="304" spans="1:5" ht="15.75">
      <c r="A304" s="3510">
        <v>302</v>
      </c>
      <c r="B304" s="3489" t="s">
        <v>3463</v>
      </c>
      <c r="C304" s="3490">
        <v>3254</v>
      </c>
      <c r="D304" s="3491">
        <v>34.520000000000003</v>
      </c>
      <c r="E304" s="3505" t="s">
        <v>3476</v>
      </c>
    </row>
    <row r="305" spans="1:5" ht="15.75">
      <c r="A305" s="3510">
        <v>303</v>
      </c>
      <c r="B305" s="3489" t="s">
        <v>3463</v>
      </c>
      <c r="C305" s="3490">
        <v>3255</v>
      </c>
      <c r="D305" s="3491">
        <v>36.79</v>
      </c>
      <c r="E305" s="3505" t="s">
        <v>3476</v>
      </c>
    </row>
    <row r="306" spans="1:5" ht="15.75">
      <c r="A306" s="3510">
        <v>304</v>
      </c>
      <c r="B306" s="3489" t="s">
        <v>3463</v>
      </c>
      <c r="C306" s="3490">
        <v>3256</v>
      </c>
      <c r="D306" s="3491">
        <v>66.099999999999994</v>
      </c>
      <c r="E306" s="3505" t="s">
        <v>3476</v>
      </c>
    </row>
    <row r="307" spans="1:5" ht="15.75">
      <c r="A307" s="3510">
        <v>305</v>
      </c>
      <c r="B307" s="3489" t="s">
        <v>3463</v>
      </c>
      <c r="C307" s="3490">
        <v>3258</v>
      </c>
      <c r="D307" s="3491">
        <v>34.520000000000003</v>
      </c>
      <c r="E307" s="3505" t="s">
        <v>3476</v>
      </c>
    </row>
    <row r="308" spans="1:5" ht="15.75">
      <c r="A308" s="3510">
        <v>306</v>
      </c>
      <c r="B308" s="3489" t="s">
        <v>3463</v>
      </c>
      <c r="C308" s="3490">
        <v>3259</v>
      </c>
      <c r="D308" s="3491">
        <v>36.79</v>
      </c>
      <c r="E308" s="3505" t="s">
        <v>3476</v>
      </c>
    </row>
    <row r="309" spans="1:5" ht="15.75">
      <c r="A309" s="3510">
        <v>307</v>
      </c>
      <c r="B309" s="3489" t="s">
        <v>3463</v>
      </c>
      <c r="C309" s="3492">
        <v>3260</v>
      </c>
      <c r="D309" s="3494">
        <v>34.520000000000003</v>
      </c>
      <c r="E309" s="3505" t="s">
        <v>3476</v>
      </c>
    </row>
    <row r="310" spans="1:5" ht="15.75">
      <c r="A310" s="3510">
        <v>308</v>
      </c>
      <c r="B310" s="3489" t="s">
        <v>3463</v>
      </c>
      <c r="C310" s="3490">
        <v>3261</v>
      </c>
      <c r="D310" s="3491">
        <v>36.79</v>
      </c>
      <c r="E310" s="3505" t="s">
        <v>3476</v>
      </c>
    </row>
    <row r="311" spans="1:5" ht="15.75">
      <c r="A311" s="3510">
        <v>309</v>
      </c>
      <c r="B311" s="3489" t="s">
        <v>3463</v>
      </c>
      <c r="C311" s="3492">
        <v>3262</v>
      </c>
      <c r="D311" s="3494">
        <v>66.099999999999994</v>
      </c>
      <c r="E311" s="3505" t="s">
        <v>3476</v>
      </c>
    </row>
    <row r="312" spans="1:5" ht="15.75">
      <c r="A312" s="3510">
        <v>310</v>
      </c>
      <c r="B312" s="3489" t="s">
        <v>3463</v>
      </c>
      <c r="C312" s="3492">
        <v>3264</v>
      </c>
      <c r="D312" s="3491">
        <v>34.520000000000003</v>
      </c>
      <c r="E312" s="3505" t="s">
        <v>3476</v>
      </c>
    </row>
    <row r="313" spans="1:5" ht="15.75">
      <c r="A313" s="3510">
        <v>311</v>
      </c>
      <c r="B313" s="3489" t="s">
        <v>3463</v>
      </c>
      <c r="C313" s="3492">
        <v>3265</v>
      </c>
      <c r="D313" s="3491">
        <v>36.79</v>
      </c>
      <c r="E313" s="3505" t="s">
        <v>3476</v>
      </c>
    </row>
    <row r="314" spans="1:5" ht="15.75">
      <c r="A314" s="3510">
        <v>312</v>
      </c>
      <c r="B314" s="3489" t="s">
        <v>3463</v>
      </c>
      <c r="C314" s="3490">
        <v>3266</v>
      </c>
      <c r="D314" s="3491">
        <v>36.14</v>
      </c>
      <c r="E314" s="3505" t="s">
        <v>3476</v>
      </c>
    </row>
    <row r="315" spans="1:5" ht="15.75">
      <c r="A315" s="3510">
        <v>313</v>
      </c>
      <c r="B315" s="3489" t="s">
        <v>3463</v>
      </c>
      <c r="C315" s="3490">
        <v>3267</v>
      </c>
      <c r="D315" s="3494">
        <v>35.74</v>
      </c>
      <c r="E315" s="3505" t="s">
        <v>3476</v>
      </c>
    </row>
    <row r="316" spans="1:5" ht="15.75">
      <c r="A316" s="3510">
        <v>314</v>
      </c>
      <c r="B316" s="3489" t="s">
        <v>3463</v>
      </c>
      <c r="C316" s="3490">
        <v>3268</v>
      </c>
      <c r="D316" s="3491">
        <v>34.520000000000003</v>
      </c>
      <c r="E316" s="3505" t="s">
        <v>3476</v>
      </c>
    </row>
    <row r="317" spans="1:5" ht="15.75">
      <c r="A317" s="3510">
        <v>315</v>
      </c>
      <c r="B317" s="3489" t="s">
        <v>3463</v>
      </c>
      <c r="C317" s="3492">
        <v>3269</v>
      </c>
      <c r="D317" s="3494">
        <v>36.79</v>
      </c>
      <c r="E317" s="3505" t="s">
        <v>3476</v>
      </c>
    </row>
    <row r="318" spans="1:5" ht="15.75">
      <c r="A318" s="3510">
        <v>316</v>
      </c>
      <c r="B318" s="3489" t="s">
        <v>3463</v>
      </c>
      <c r="C318" s="3490">
        <v>3270</v>
      </c>
      <c r="D318" s="3491">
        <v>66.099999999999994</v>
      </c>
      <c r="E318" s="3505" t="s">
        <v>3476</v>
      </c>
    </row>
    <row r="319" spans="1:5" ht="15.75">
      <c r="A319" s="3510">
        <v>317</v>
      </c>
      <c r="B319" s="3489" t="s">
        <v>3463</v>
      </c>
      <c r="C319" s="3490">
        <v>3272</v>
      </c>
      <c r="D319" s="3491">
        <v>34.520000000000003</v>
      </c>
      <c r="E319" s="3505" t="s">
        <v>3476</v>
      </c>
    </row>
    <row r="320" spans="1:5" ht="15.75">
      <c r="A320" s="3510">
        <v>318</v>
      </c>
      <c r="B320" s="3489" t="s">
        <v>3463</v>
      </c>
      <c r="C320" s="3490">
        <v>3273</v>
      </c>
      <c r="D320" s="3491">
        <v>36.81</v>
      </c>
      <c r="E320" s="3505" t="s">
        <v>3476</v>
      </c>
    </row>
    <row r="321" spans="1:5" ht="15.75">
      <c r="A321" s="3510">
        <v>319</v>
      </c>
      <c r="B321" s="3489" t="s">
        <v>3463</v>
      </c>
      <c r="C321" s="3490">
        <v>3274</v>
      </c>
      <c r="D321" s="3491">
        <v>34.520000000000003</v>
      </c>
      <c r="E321" s="3505" t="s">
        <v>3476</v>
      </c>
    </row>
    <row r="322" spans="1:5" ht="15.75">
      <c r="A322" s="3510">
        <v>320</v>
      </c>
      <c r="B322" s="3489" t="s">
        <v>3463</v>
      </c>
      <c r="C322" s="3490">
        <v>3275</v>
      </c>
      <c r="D322" s="3491">
        <v>36.76</v>
      </c>
      <c r="E322" s="3505" t="s">
        <v>3476</v>
      </c>
    </row>
    <row r="323" spans="1:5" ht="15.75">
      <c r="A323" s="3510">
        <v>321</v>
      </c>
      <c r="B323" s="3489" t="s">
        <v>3463</v>
      </c>
      <c r="C323" s="3490">
        <v>3276</v>
      </c>
      <c r="D323" s="3491">
        <v>66.099999999999994</v>
      </c>
      <c r="E323" s="3505" t="s">
        <v>3476</v>
      </c>
    </row>
    <row r="324" spans="1:5" ht="15.75">
      <c r="A324" s="3510">
        <v>322</v>
      </c>
      <c r="B324" s="3489" t="s">
        <v>3463</v>
      </c>
      <c r="C324" s="3492">
        <v>3278</v>
      </c>
      <c r="D324" s="3494">
        <v>34.520000000000003</v>
      </c>
      <c r="E324" s="3505" t="s">
        <v>3476</v>
      </c>
    </row>
    <row r="325" spans="1:5" ht="15.75">
      <c r="A325" s="3510">
        <v>323</v>
      </c>
      <c r="B325" s="3489" t="s">
        <v>3463</v>
      </c>
      <c r="C325" s="3490">
        <v>3279</v>
      </c>
      <c r="D325" s="3491">
        <v>36.81</v>
      </c>
      <c r="E325" s="3505" t="s">
        <v>3476</v>
      </c>
    </row>
    <row r="326" spans="1:5" ht="15.75">
      <c r="A326" s="3510">
        <v>324</v>
      </c>
      <c r="B326" s="3489" t="s">
        <v>3463</v>
      </c>
      <c r="C326" s="3490">
        <v>3280</v>
      </c>
      <c r="D326" s="3491">
        <v>34.119999999999997</v>
      </c>
      <c r="E326" s="3505" t="s">
        <v>3476</v>
      </c>
    </row>
    <row r="327" spans="1:5" ht="15.75">
      <c r="A327" s="3510">
        <v>325</v>
      </c>
      <c r="B327" s="3489" t="s">
        <v>3463</v>
      </c>
      <c r="C327" s="3490">
        <v>3281</v>
      </c>
      <c r="D327" s="3491">
        <v>34.93</v>
      </c>
      <c r="E327" s="3505" t="s">
        <v>3476</v>
      </c>
    </row>
    <row r="328" spans="1:5" ht="15.75">
      <c r="A328" s="3510">
        <v>326</v>
      </c>
      <c r="B328" s="3489" t="s">
        <v>3463</v>
      </c>
      <c r="C328" s="3490">
        <v>3282</v>
      </c>
      <c r="D328" s="3491">
        <v>34.93</v>
      </c>
      <c r="E328" s="3505" t="s">
        <v>3476</v>
      </c>
    </row>
    <row r="329" spans="1:5" ht="15.75">
      <c r="A329" s="3510">
        <v>327</v>
      </c>
      <c r="B329" s="3489" t="s">
        <v>3463</v>
      </c>
      <c r="C329" s="3490">
        <v>3283</v>
      </c>
      <c r="D329" s="3491">
        <v>34.119999999999997</v>
      </c>
      <c r="E329" s="3505" t="s">
        <v>3476</v>
      </c>
    </row>
    <row r="330" spans="1:5" ht="15.75">
      <c r="A330" s="3510">
        <v>328</v>
      </c>
      <c r="B330" s="3489" t="s">
        <v>3463</v>
      </c>
      <c r="C330" s="3490">
        <v>3284</v>
      </c>
      <c r="D330" s="3491">
        <v>33.71</v>
      </c>
      <c r="E330" s="3505" t="s">
        <v>3476</v>
      </c>
    </row>
    <row r="331" spans="1:5" ht="15.75">
      <c r="A331" s="3510">
        <v>329</v>
      </c>
      <c r="B331" s="3489" t="s">
        <v>3463</v>
      </c>
      <c r="C331" s="3490">
        <v>3285</v>
      </c>
      <c r="D331" s="3491">
        <v>35.74</v>
      </c>
      <c r="E331" s="3505" t="s">
        <v>3476</v>
      </c>
    </row>
    <row r="332" spans="1:5" ht="15.75">
      <c r="A332" s="3510">
        <v>330</v>
      </c>
      <c r="B332" s="3489" t="s">
        <v>3463</v>
      </c>
      <c r="C332" s="3490">
        <v>3286</v>
      </c>
      <c r="D332" s="3491">
        <v>35.74</v>
      </c>
      <c r="E332" s="3505" t="s">
        <v>3476</v>
      </c>
    </row>
    <row r="333" spans="1:5" ht="15.75">
      <c r="A333" s="3510">
        <v>331</v>
      </c>
      <c r="B333" s="3489" t="s">
        <v>3463</v>
      </c>
      <c r="C333" s="3490">
        <v>3287</v>
      </c>
      <c r="D333" s="3491">
        <v>36.869999999999997</v>
      </c>
      <c r="E333" s="3505" t="s">
        <v>3476</v>
      </c>
    </row>
    <row r="334" spans="1:5" ht="15.75">
      <c r="A334" s="3510">
        <v>332</v>
      </c>
      <c r="B334" s="3489" t="s">
        <v>3463</v>
      </c>
      <c r="C334" s="3490">
        <v>3288</v>
      </c>
      <c r="D334" s="3491">
        <v>34.01</v>
      </c>
      <c r="E334" s="3505" t="s">
        <v>3476</v>
      </c>
    </row>
    <row r="335" spans="1:5" ht="15.75">
      <c r="A335" s="3510">
        <v>333</v>
      </c>
      <c r="B335" s="3489" t="s">
        <v>3463</v>
      </c>
      <c r="C335" s="3490">
        <v>3289</v>
      </c>
      <c r="D335" s="3491">
        <v>36.6</v>
      </c>
      <c r="E335" s="3505" t="s">
        <v>3476</v>
      </c>
    </row>
    <row r="336" spans="1:5" ht="15.75">
      <c r="A336" s="3510">
        <v>334</v>
      </c>
      <c r="B336" s="3489" t="s">
        <v>3463</v>
      </c>
      <c r="C336" s="3490">
        <v>3290</v>
      </c>
      <c r="D336" s="3491">
        <v>36.6</v>
      </c>
      <c r="E336" s="3505" t="s">
        <v>3476</v>
      </c>
    </row>
    <row r="337" spans="1:5" ht="15.75">
      <c r="A337" s="3510">
        <v>335</v>
      </c>
      <c r="B337" s="3489" t="s">
        <v>3463</v>
      </c>
      <c r="C337" s="3490">
        <v>3291</v>
      </c>
      <c r="D337" s="3491">
        <v>34.01</v>
      </c>
      <c r="E337" s="3505" t="s">
        <v>3476</v>
      </c>
    </row>
    <row r="338" spans="1:5" ht="15.75">
      <c r="A338" s="3510">
        <v>336</v>
      </c>
      <c r="B338" s="3489" t="s">
        <v>3463</v>
      </c>
      <c r="C338" s="3490">
        <v>3292</v>
      </c>
      <c r="D338" s="3491">
        <v>36.6</v>
      </c>
      <c r="E338" s="3505" t="s">
        <v>3476</v>
      </c>
    </row>
    <row r="339" spans="1:5" ht="15.75">
      <c r="A339" s="3510">
        <v>337</v>
      </c>
      <c r="B339" s="3489" t="s">
        <v>3463</v>
      </c>
      <c r="C339" s="3490">
        <v>3293</v>
      </c>
      <c r="D339" s="3491">
        <v>36.6</v>
      </c>
      <c r="E339" s="3505" t="s">
        <v>3476</v>
      </c>
    </row>
    <row r="340" spans="1:5" ht="15.75">
      <c r="A340" s="3510">
        <v>338</v>
      </c>
      <c r="B340" s="3489" t="s">
        <v>3463</v>
      </c>
      <c r="C340" s="3490">
        <v>3294</v>
      </c>
      <c r="D340" s="3491">
        <v>34.01</v>
      </c>
      <c r="E340" s="3505" t="s">
        <v>3476</v>
      </c>
    </row>
    <row r="341" spans="1:5" ht="15.75">
      <c r="A341" s="3510">
        <v>339</v>
      </c>
      <c r="B341" s="3489" t="s">
        <v>3463</v>
      </c>
      <c r="C341" s="3490">
        <v>3295</v>
      </c>
      <c r="D341" s="3491">
        <v>36.6</v>
      </c>
      <c r="E341" s="3505" t="s">
        <v>3476</v>
      </c>
    </row>
    <row r="342" spans="1:5" ht="15.75">
      <c r="A342" s="3510">
        <v>340</v>
      </c>
      <c r="B342" s="3489" t="s">
        <v>3463</v>
      </c>
      <c r="C342" s="3490">
        <v>3296</v>
      </c>
      <c r="D342" s="3491">
        <v>35.74</v>
      </c>
      <c r="E342" s="3505" t="s">
        <v>3476</v>
      </c>
    </row>
    <row r="343" spans="1:5" ht="15.75">
      <c r="A343" s="3510">
        <v>341</v>
      </c>
      <c r="B343" s="3489" t="s">
        <v>3463</v>
      </c>
      <c r="C343" s="3490">
        <v>3297</v>
      </c>
      <c r="D343" s="3491">
        <v>36.6</v>
      </c>
      <c r="E343" s="3505" t="s">
        <v>3476</v>
      </c>
    </row>
    <row r="344" spans="1:5" ht="15.75">
      <c r="A344" s="3510">
        <v>342</v>
      </c>
      <c r="B344" s="3489" t="s">
        <v>3463</v>
      </c>
      <c r="C344" s="3490">
        <v>3298</v>
      </c>
      <c r="D344" s="3491">
        <v>34.01</v>
      </c>
      <c r="E344" s="3505" t="s">
        <v>3476</v>
      </c>
    </row>
    <row r="345" spans="1:5" ht="15.75">
      <c r="A345" s="3510">
        <v>343</v>
      </c>
      <c r="B345" s="3489" t="s">
        <v>3463</v>
      </c>
      <c r="C345" s="3490">
        <v>3299</v>
      </c>
      <c r="D345" s="3491">
        <v>36.6</v>
      </c>
      <c r="E345" s="3505" t="s">
        <v>3476</v>
      </c>
    </row>
    <row r="346" spans="1:5" ht="15.75">
      <c r="A346" s="3510">
        <v>344</v>
      </c>
      <c r="B346" s="3489" t="s">
        <v>3463</v>
      </c>
      <c r="C346" s="3490">
        <v>3300</v>
      </c>
      <c r="D346" s="3491">
        <v>36.6</v>
      </c>
      <c r="E346" s="3505" t="s">
        <v>3476</v>
      </c>
    </row>
    <row r="347" spans="1:5" ht="15.75">
      <c r="A347" s="3510">
        <v>345</v>
      </c>
      <c r="B347" s="3489" t="s">
        <v>3463</v>
      </c>
      <c r="C347" s="3490">
        <v>3301</v>
      </c>
      <c r="D347" s="3491">
        <v>34.01</v>
      </c>
      <c r="E347" s="3505" t="s">
        <v>3476</v>
      </c>
    </row>
    <row r="348" spans="1:5" ht="15.75">
      <c r="A348" s="3510">
        <v>346</v>
      </c>
      <c r="B348" s="3489" t="s">
        <v>3463</v>
      </c>
      <c r="C348" s="3490">
        <v>3302</v>
      </c>
      <c r="D348" s="3491">
        <v>36.6</v>
      </c>
      <c r="E348" s="3505" t="s">
        <v>3476</v>
      </c>
    </row>
    <row r="349" spans="1:5" ht="15.75">
      <c r="A349" s="3510">
        <v>347</v>
      </c>
      <c r="B349" s="3489" t="s">
        <v>3463</v>
      </c>
      <c r="C349" s="3490">
        <v>3303</v>
      </c>
      <c r="D349" s="3491">
        <v>35.74</v>
      </c>
      <c r="E349" s="3505" t="s">
        <v>3476</v>
      </c>
    </row>
    <row r="350" spans="1:5" ht="15.75">
      <c r="A350" s="3510">
        <v>348</v>
      </c>
      <c r="B350" s="3489" t="s">
        <v>3463</v>
      </c>
      <c r="C350" s="3490">
        <v>3304</v>
      </c>
      <c r="D350" s="3491">
        <v>35.74</v>
      </c>
      <c r="E350" s="3505" t="s">
        <v>3476</v>
      </c>
    </row>
    <row r="351" spans="1:5" ht="15.75">
      <c r="A351" s="3510">
        <v>349</v>
      </c>
      <c r="B351" s="3489" t="s">
        <v>3463</v>
      </c>
      <c r="C351" s="3490">
        <v>3305</v>
      </c>
      <c r="D351" s="3491">
        <v>27.64</v>
      </c>
      <c r="E351" s="3505" t="s">
        <v>3476</v>
      </c>
    </row>
    <row r="352" spans="1:5" ht="15.75">
      <c r="A352" s="3510">
        <v>350</v>
      </c>
      <c r="B352" s="3489" t="s">
        <v>3463</v>
      </c>
      <c r="C352" s="3490">
        <v>3306</v>
      </c>
      <c r="D352" s="3491">
        <v>36.6</v>
      </c>
      <c r="E352" s="3505" t="s">
        <v>3476</v>
      </c>
    </row>
    <row r="353" spans="1:5" ht="15.75">
      <c r="A353" s="3510">
        <v>351</v>
      </c>
      <c r="B353" s="3489" t="s">
        <v>3463</v>
      </c>
      <c r="C353" s="3490">
        <v>3307</v>
      </c>
      <c r="D353" s="3491">
        <v>34.01</v>
      </c>
      <c r="E353" s="3505" t="s">
        <v>3476</v>
      </c>
    </row>
    <row r="354" spans="1:5" ht="15.75">
      <c r="A354" s="3510">
        <v>352</v>
      </c>
      <c r="B354" s="3489" t="s">
        <v>3463</v>
      </c>
      <c r="C354" s="3490">
        <v>3308</v>
      </c>
      <c r="D354" s="3491">
        <v>36.6</v>
      </c>
      <c r="E354" s="3505" t="s">
        <v>3476</v>
      </c>
    </row>
    <row r="355" spans="1:5" ht="15.75">
      <c r="A355" s="3510">
        <v>353</v>
      </c>
      <c r="B355" s="3489" t="s">
        <v>3463</v>
      </c>
      <c r="C355" s="3490">
        <v>3309</v>
      </c>
      <c r="D355" s="3491">
        <v>27.64</v>
      </c>
      <c r="E355" s="3505" t="s">
        <v>3476</v>
      </c>
    </row>
    <row r="356" spans="1:5" ht="15.75">
      <c r="A356" s="3510">
        <v>354</v>
      </c>
      <c r="B356" s="3489" t="s">
        <v>3463</v>
      </c>
      <c r="C356" s="3490">
        <v>3310</v>
      </c>
      <c r="D356" s="3491">
        <v>35.74</v>
      </c>
      <c r="E356" s="3505" t="s">
        <v>3476</v>
      </c>
    </row>
    <row r="357" spans="1:5" ht="15.75">
      <c r="A357" s="3510">
        <v>355</v>
      </c>
      <c r="B357" s="3489" t="s">
        <v>3463</v>
      </c>
      <c r="C357" s="3490">
        <v>3311</v>
      </c>
      <c r="D357" s="3491">
        <v>35.74</v>
      </c>
      <c r="E357" s="3505" t="s">
        <v>3476</v>
      </c>
    </row>
    <row r="358" spans="1:5" ht="15.75">
      <c r="A358" s="3510">
        <v>356</v>
      </c>
      <c r="B358" s="3489" t="s">
        <v>3463</v>
      </c>
      <c r="C358" s="3490">
        <v>3312</v>
      </c>
      <c r="D358" s="3491">
        <v>35.74</v>
      </c>
      <c r="E358" s="3505" t="s">
        <v>3476</v>
      </c>
    </row>
    <row r="359" spans="1:5" ht="15.75">
      <c r="A359" s="3510">
        <v>357</v>
      </c>
      <c r="B359" s="3489" t="s">
        <v>3463</v>
      </c>
      <c r="C359" s="3490">
        <v>3313</v>
      </c>
      <c r="D359" s="3491">
        <v>35.74</v>
      </c>
      <c r="E359" s="3505" t="s">
        <v>3476</v>
      </c>
    </row>
    <row r="360" spans="1:5" ht="15.75">
      <c r="A360" s="3510">
        <v>358</v>
      </c>
      <c r="B360" s="3489" t="s">
        <v>3463</v>
      </c>
      <c r="C360" s="3490">
        <v>3314</v>
      </c>
      <c r="D360" s="3491">
        <v>27.64</v>
      </c>
      <c r="E360" s="3505" t="s">
        <v>3476</v>
      </c>
    </row>
    <row r="361" spans="1:5" ht="15.75">
      <c r="A361" s="3510">
        <v>359</v>
      </c>
      <c r="B361" s="3489" t="s">
        <v>3463</v>
      </c>
      <c r="C361" s="3490">
        <v>3315</v>
      </c>
      <c r="D361" s="3491">
        <v>36.6</v>
      </c>
      <c r="E361" s="3505" t="s">
        <v>3476</v>
      </c>
    </row>
    <row r="362" spans="1:5" ht="15.75">
      <c r="A362" s="3510">
        <v>360</v>
      </c>
      <c r="B362" s="3489" t="s">
        <v>3463</v>
      </c>
      <c r="C362" s="3490">
        <v>3316</v>
      </c>
      <c r="D362" s="3494">
        <v>34.01</v>
      </c>
      <c r="E362" s="3505" t="s">
        <v>3476</v>
      </c>
    </row>
    <row r="363" spans="1:5" ht="15.75">
      <c r="A363" s="3510">
        <v>361</v>
      </c>
      <c r="B363" s="3489" t="s">
        <v>3463</v>
      </c>
      <c r="C363" s="3490">
        <v>3317</v>
      </c>
      <c r="D363" s="3491">
        <v>36.6</v>
      </c>
      <c r="E363" s="3505" t="s">
        <v>3476</v>
      </c>
    </row>
    <row r="364" spans="1:5" ht="15.75">
      <c r="A364" s="3510">
        <v>362</v>
      </c>
      <c r="B364" s="3489" t="s">
        <v>3463</v>
      </c>
      <c r="C364" s="3490">
        <v>3318</v>
      </c>
      <c r="D364" s="3491">
        <v>36.6</v>
      </c>
      <c r="E364" s="3505" t="s">
        <v>3476</v>
      </c>
    </row>
    <row r="365" spans="1:5" ht="15.75">
      <c r="A365" s="3510">
        <v>363</v>
      </c>
      <c r="B365" s="3489" t="s">
        <v>3463</v>
      </c>
      <c r="C365" s="3490">
        <v>3319</v>
      </c>
      <c r="D365" s="3491">
        <v>34.01</v>
      </c>
      <c r="E365" s="3505" t="s">
        <v>3476</v>
      </c>
    </row>
    <row r="366" spans="1:5" ht="15.75">
      <c r="A366" s="3510">
        <v>364</v>
      </c>
      <c r="B366" s="3489" t="s">
        <v>3463</v>
      </c>
      <c r="C366" s="3490">
        <v>3320</v>
      </c>
      <c r="D366" s="3491">
        <v>36.6</v>
      </c>
      <c r="E366" s="3505" t="s">
        <v>3476</v>
      </c>
    </row>
    <row r="367" spans="1:5" ht="15.75">
      <c r="A367" s="3510">
        <v>365</v>
      </c>
      <c r="B367" s="3489" t="s">
        <v>3463</v>
      </c>
      <c r="C367" s="3490">
        <v>3321</v>
      </c>
      <c r="D367" s="3491">
        <v>35.74</v>
      </c>
      <c r="E367" s="3505" t="s">
        <v>3476</v>
      </c>
    </row>
    <row r="368" spans="1:5" ht="15.75">
      <c r="A368" s="3510">
        <v>366</v>
      </c>
      <c r="B368" s="3489" t="s">
        <v>3463</v>
      </c>
      <c r="C368" s="3490">
        <v>3322</v>
      </c>
      <c r="D368" s="3491">
        <v>35.74</v>
      </c>
      <c r="E368" s="3505" t="s">
        <v>3476</v>
      </c>
    </row>
    <row r="369" spans="1:5" ht="15.75">
      <c r="A369" s="3510">
        <v>367</v>
      </c>
      <c r="B369" s="3489" t="s">
        <v>3463</v>
      </c>
      <c r="C369" s="3490">
        <v>3323</v>
      </c>
      <c r="D369" s="3491">
        <v>36.6</v>
      </c>
      <c r="E369" s="3505" t="s">
        <v>3476</v>
      </c>
    </row>
    <row r="370" spans="1:5" ht="15.75">
      <c r="A370" s="3510">
        <v>368</v>
      </c>
      <c r="B370" s="3489" t="s">
        <v>3463</v>
      </c>
      <c r="C370" s="3490">
        <v>3324</v>
      </c>
      <c r="D370" s="3491">
        <v>34.01</v>
      </c>
      <c r="E370" s="3505" t="s">
        <v>3476</v>
      </c>
    </row>
    <row r="371" spans="1:5" ht="15.75">
      <c r="A371" s="3510">
        <v>369</v>
      </c>
      <c r="B371" s="3489" t="s">
        <v>3463</v>
      </c>
      <c r="C371" s="3490">
        <v>3325</v>
      </c>
      <c r="D371" s="3491">
        <v>36.6</v>
      </c>
      <c r="E371" s="3505" t="s">
        <v>3476</v>
      </c>
    </row>
    <row r="372" spans="1:5" ht="15.75">
      <c r="A372" s="3510">
        <v>370</v>
      </c>
      <c r="B372" s="3489" t="s">
        <v>3463</v>
      </c>
      <c r="C372" s="3490">
        <v>3326</v>
      </c>
      <c r="D372" s="3491">
        <v>36.14</v>
      </c>
      <c r="E372" s="3505" t="s">
        <v>3476</v>
      </c>
    </row>
    <row r="373" spans="1:5" ht="15.75">
      <c r="A373" s="3510">
        <v>371</v>
      </c>
      <c r="B373" s="3489" t="s">
        <v>3463</v>
      </c>
      <c r="C373" s="3490">
        <v>3327</v>
      </c>
      <c r="D373" s="3491">
        <v>37</v>
      </c>
      <c r="E373" s="3505" t="s">
        <v>3476</v>
      </c>
    </row>
    <row r="374" spans="1:5" ht="15.75">
      <c r="A374" s="3510">
        <v>372</v>
      </c>
      <c r="B374" s="3489" t="s">
        <v>3463</v>
      </c>
      <c r="C374" s="3490">
        <v>3328</v>
      </c>
      <c r="D374" s="3491">
        <v>34.409999999999997</v>
      </c>
      <c r="E374" s="3505" t="s">
        <v>3476</v>
      </c>
    </row>
    <row r="375" spans="1:5" ht="15.75">
      <c r="A375" s="3510">
        <v>373</v>
      </c>
      <c r="B375" s="3489" t="s">
        <v>3463</v>
      </c>
      <c r="C375" s="3490">
        <v>3329</v>
      </c>
      <c r="D375" s="3491">
        <v>37</v>
      </c>
      <c r="E375" s="3505" t="s">
        <v>3476</v>
      </c>
    </row>
    <row r="376" spans="1:5" ht="15.75">
      <c r="A376" s="3510">
        <v>374</v>
      </c>
      <c r="B376" s="3489" t="s">
        <v>3463</v>
      </c>
      <c r="C376" s="3490">
        <v>3330</v>
      </c>
      <c r="D376" s="3491">
        <v>35.74</v>
      </c>
      <c r="E376" s="3505" t="s">
        <v>3476</v>
      </c>
    </row>
    <row r="377" spans="1:5" ht="15.75">
      <c r="A377" s="3510">
        <v>375</v>
      </c>
      <c r="B377" s="3489" t="s">
        <v>3463</v>
      </c>
      <c r="C377" s="3490">
        <v>3331</v>
      </c>
      <c r="D377" s="3491">
        <v>35.74</v>
      </c>
      <c r="E377" s="3505" t="s">
        <v>3476</v>
      </c>
    </row>
    <row r="378" spans="1:5" ht="15.75">
      <c r="A378" s="3510">
        <v>376</v>
      </c>
      <c r="B378" s="3489" t="s">
        <v>3463</v>
      </c>
      <c r="C378" s="3490">
        <v>3332</v>
      </c>
      <c r="D378" s="3491">
        <v>35.74</v>
      </c>
      <c r="E378" s="3505" t="s">
        <v>3476</v>
      </c>
    </row>
    <row r="379" spans="1:5" ht="15.75">
      <c r="A379" s="3510">
        <v>377</v>
      </c>
      <c r="B379" s="3489" t="s">
        <v>3463</v>
      </c>
      <c r="C379" s="3490">
        <v>3333</v>
      </c>
      <c r="D379" s="3491">
        <v>35.74</v>
      </c>
      <c r="E379" s="3505" t="s">
        <v>3476</v>
      </c>
    </row>
    <row r="380" spans="1:5" ht="15.75">
      <c r="A380" s="3510">
        <v>378</v>
      </c>
      <c r="B380" s="3489" t="s">
        <v>3463</v>
      </c>
      <c r="C380" s="3490">
        <v>3334</v>
      </c>
      <c r="D380" s="3491">
        <v>36.19</v>
      </c>
      <c r="E380" s="3505" t="s">
        <v>3476</v>
      </c>
    </row>
    <row r="381" spans="1:5" ht="15.75">
      <c r="A381" s="3510">
        <v>379</v>
      </c>
      <c r="B381" s="3489" t="s">
        <v>3463</v>
      </c>
      <c r="C381" s="3490">
        <v>3335</v>
      </c>
      <c r="D381" s="3491">
        <v>34.01</v>
      </c>
      <c r="E381" s="3505" t="s">
        <v>3476</v>
      </c>
    </row>
    <row r="382" spans="1:5" ht="15.75">
      <c r="A382" s="3510">
        <v>380</v>
      </c>
      <c r="B382" s="3489" t="s">
        <v>3463</v>
      </c>
      <c r="C382" s="3490">
        <v>3336</v>
      </c>
      <c r="D382" s="3491">
        <v>36.6</v>
      </c>
      <c r="E382" s="3505" t="s">
        <v>3476</v>
      </c>
    </row>
    <row r="383" spans="1:5" ht="15.75">
      <c r="A383" s="3510">
        <v>381</v>
      </c>
      <c r="B383" s="3489" t="s">
        <v>3463</v>
      </c>
      <c r="C383" s="3490">
        <v>3337</v>
      </c>
      <c r="D383" s="3491">
        <v>35.74</v>
      </c>
      <c r="E383" s="3505" t="s">
        <v>3476</v>
      </c>
    </row>
    <row r="384" spans="1:5" ht="15.75">
      <c r="A384" s="3510">
        <v>382</v>
      </c>
      <c r="B384" s="3489" t="s">
        <v>3463</v>
      </c>
      <c r="C384" s="3490">
        <v>3338</v>
      </c>
      <c r="D384" s="3491">
        <v>35.74</v>
      </c>
      <c r="E384" s="3505" t="s">
        <v>3476</v>
      </c>
    </row>
    <row r="385" spans="1:5" ht="15.75">
      <c r="A385" s="3510">
        <v>383</v>
      </c>
      <c r="B385" s="3489" t="s">
        <v>3463</v>
      </c>
      <c r="C385" s="3490">
        <v>3339</v>
      </c>
      <c r="D385" s="3491">
        <v>35.74</v>
      </c>
      <c r="E385" s="3505" t="s">
        <v>3476</v>
      </c>
    </row>
    <row r="386" spans="1:5" ht="15.75">
      <c r="A386" s="3510">
        <v>384</v>
      </c>
      <c r="B386" s="3489" t="s">
        <v>3463</v>
      </c>
      <c r="C386" s="3490">
        <v>3340</v>
      </c>
      <c r="D386" s="3491">
        <v>35.74</v>
      </c>
      <c r="E386" s="3505" t="s">
        <v>3476</v>
      </c>
    </row>
    <row r="387" spans="1:5" ht="15.75">
      <c r="A387" s="3510">
        <v>385</v>
      </c>
      <c r="B387" s="3489" t="s">
        <v>3463</v>
      </c>
      <c r="C387" s="3490">
        <v>3341</v>
      </c>
      <c r="D387" s="3491">
        <v>35.74</v>
      </c>
      <c r="E387" s="3505" t="s">
        <v>3476</v>
      </c>
    </row>
    <row r="388" spans="1:5" ht="15.75">
      <c r="A388" s="3510">
        <v>386</v>
      </c>
      <c r="B388" s="3489" t="s">
        <v>3463</v>
      </c>
      <c r="C388" s="3490">
        <v>3342</v>
      </c>
      <c r="D388" s="3491">
        <v>35.74</v>
      </c>
      <c r="E388" s="3505" t="s">
        <v>3476</v>
      </c>
    </row>
    <row r="389" spans="1:5" ht="15.75">
      <c r="A389" s="3510">
        <v>387</v>
      </c>
      <c r="B389" s="3489" t="s">
        <v>3463</v>
      </c>
      <c r="C389" s="3492">
        <v>3343</v>
      </c>
      <c r="D389" s="3494">
        <v>36.14</v>
      </c>
      <c r="E389" s="3505" t="s">
        <v>3476</v>
      </c>
    </row>
    <row r="390" spans="1:5" ht="15.75">
      <c r="A390" s="3510">
        <v>388</v>
      </c>
      <c r="B390" s="3489" t="s">
        <v>3463</v>
      </c>
      <c r="C390" s="3490">
        <v>3344</v>
      </c>
      <c r="D390" s="3494">
        <v>36.14</v>
      </c>
      <c r="E390" s="3505" t="s">
        <v>3476</v>
      </c>
    </row>
    <row r="391" spans="1:5" ht="15.75">
      <c r="A391" s="3510">
        <v>389</v>
      </c>
      <c r="B391" s="3489" t="s">
        <v>3463</v>
      </c>
      <c r="C391" s="3490">
        <v>3345</v>
      </c>
      <c r="D391" s="3491">
        <v>35.74</v>
      </c>
      <c r="E391" s="3505" t="s">
        <v>3476</v>
      </c>
    </row>
    <row r="392" spans="1:5" ht="15.75">
      <c r="A392" s="3510">
        <v>390</v>
      </c>
      <c r="B392" s="3489" t="s">
        <v>3463</v>
      </c>
      <c r="C392" s="3490">
        <v>3346</v>
      </c>
      <c r="D392" s="3491">
        <v>34.01</v>
      </c>
      <c r="E392" s="3505" t="s">
        <v>3476</v>
      </c>
    </row>
    <row r="393" spans="1:5" ht="15.75">
      <c r="A393" s="3510">
        <v>391</v>
      </c>
      <c r="B393" s="3489" t="s">
        <v>3463</v>
      </c>
      <c r="C393" s="3490">
        <v>3347</v>
      </c>
      <c r="D393" s="3491">
        <v>34.01</v>
      </c>
      <c r="E393" s="3505" t="s">
        <v>3476</v>
      </c>
    </row>
    <row r="394" spans="1:5" ht="15.75">
      <c r="A394" s="3510">
        <v>392</v>
      </c>
      <c r="B394" s="3489" t="s">
        <v>3463</v>
      </c>
      <c r="C394" s="3490">
        <v>3348</v>
      </c>
      <c r="D394" s="3491">
        <v>36.6</v>
      </c>
      <c r="E394" s="3505" t="s">
        <v>3476</v>
      </c>
    </row>
    <row r="395" spans="1:5" ht="15.75">
      <c r="A395" s="3510">
        <v>393</v>
      </c>
      <c r="B395" s="3489" t="s">
        <v>3463</v>
      </c>
      <c r="C395" s="3490">
        <v>3349</v>
      </c>
      <c r="D395" s="3491">
        <v>35.74</v>
      </c>
      <c r="E395" s="3505" t="s">
        <v>3476</v>
      </c>
    </row>
    <row r="396" spans="1:5" ht="15.75">
      <c r="A396" s="3510">
        <v>394</v>
      </c>
      <c r="B396" s="3489" t="s">
        <v>3463</v>
      </c>
      <c r="C396" s="3490">
        <v>3350</v>
      </c>
      <c r="D396" s="3491">
        <v>35.74</v>
      </c>
      <c r="E396" s="3505" t="s">
        <v>3476</v>
      </c>
    </row>
    <row r="397" spans="1:5" ht="15.75">
      <c r="A397" s="3510">
        <v>395</v>
      </c>
      <c r="B397" s="3489" t="s">
        <v>3463</v>
      </c>
      <c r="C397" s="3490">
        <v>3351</v>
      </c>
      <c r="D397" s="3491">
        <v>34.01</v>
      </c>
      <c r="E397" s="3505" t="s">
        <v>3476</v>
      </c>
    </row>
    <row r="398" spans="1:5" ht="15.75">
      <c r="A398" s="3510">
        <v>396</v>
      </c>
      <c r="B398" s="3489" t="s">
        <v>3463</v>
      </c>
      <c r="C398" s="3490">
        <v>3352</v>
      </c>
      <c r="D398" s="3491">
        <v>34.01</v>
      </c>
      <c r="E398" s="3505" t="s">
        <v>3476</v>
      </c>
    </row>
    <row r="399" spans="1:5" ht="15.75">
      <c r="A399" s="3510">
        <v>397</v>
      </c>
      <c r="B399" s="3489" t="s">
        <v>3463</v>
      </c>
      <c r="C399" s="3490">
        <v>3353</v>
      </c>
      <c r="D399" s="3491">
        <v>36.6</v>
      </c>
      <c r="E399" s="3505" t="s">
        <v>3476</v>
      </c>
    </row>
    <row r="400" spans="1:5" ht="15.75">
      <c r="A400" s="3510">
        <v>398</v>
      </c>
      <c r="B400" s="3489" t="s">
        <v>3463</v>
      </c>
      <c r="C400" s="3490">
        <v>3354</v>
      </c>
      <c r="D400" s="3491">
        <v>36.6</v>
      </c>
      <c r="E400" s="3505" t="s">
        <v>3476</v>
      </c>
    </row>
    <row r="401" spans="1:5" ht="15.75">
      <c r="A401" s="3510">
        <v>399</v>
      </c>
      <c r="B401" s="3489" t="s">
        <v>3463</v>
      </c>
      <c r="C401" s="3490">
        <v>3355</v>
      </c>
      <c r="D401" s="3491">
        <v>34.01</v>
      </c>
      <c r="E401" s="3505" t="s">
        <v>3476</v>
      </c>
    </row>
    <row r="402" spans="1:5" ht="15.75">
      <c r="A402" s="3510">
        <v>400</v>
      </c>
      <c r="B402" s="3489" t="s">
        <v>3463</v>
      </c>
      <c r="C402" s="3490">
        <v>3356</v>
      </c>
      <c r="D402" s="3491">
        <v>36.6</v>
      </c>
      <c r="E402" s="3505" t="s">
        <v>3476</v>
      </c>
    </row>
    <row r="403" spans="1:5" ht="15.75">
      <c r="A403" s="3510">
        <v>401</v>
      </c>
      <c r="B403" s="3489" t="s">
        <v>3463</v>
      </c>
      <c r="C403" s="3490">
        <v>3357</v>
      </c>
      <c r="D403" s="3491">
        <v>36.6</v>
      </c>
      <c r="E403" s="3505" t="s">
        <v>3476</v>
      </c>
    </row>
    <row r="404" spans="1:5" ht="15.75">
      <c r="A404" s="3510">
        <v>402</v>
      </c>
      <c r="B404" s="3489" t="s">
        <v>3463</v>
      </c>
      <c r="C404" s="3490">
        <v>3358</v>
      </c>
      <c r="D404" s="3491">
        <v>34.01</v>
      </c>
      <c r="E404" s="3505" t="s">
        <v>3476</v>
      </c>
    </row>
    <row r="405" spans="1:5" ht="15.75">
      <c r="A405" s="3510">
        <v>403</v>
      </c>
      <c r="B405" s="3489" t="s">
        <v>3463</v>
      </c>
      <c r="C405" s="3490">
        <v>3359</v>
      </c>
      <c r="D405" s="3491">
        <v>36.6</v>
      </c>
      <c r="E405" s="3505" t="s">
        <v>3476</v>
      </c>
    </row>
    <row r="406" spans="1:5" ht="15.75">
      <c r="A406" s="3510">
        <v>404</v>
      </c>
      <c r="B406" s="3489" t="s">
        <v>3463</v>
      </c>
      <c r="C406" s="3490">
        <v>3360</v>
      </c>
      <c r="D406" s="3491">
        <v>35.74</v>
      </c>
      <c r="E406" s="3505" t="s">
        <v>3476</v>
      </c>
    </row>
    <row r="407" spans="1:5" ht="15.75">
      <c r="A407" s="3510">
        <v>405</v>
      </c>
      <c r="B407" s="3489" t="s">
        <v>3463</v>
      </c>
      <c r="C407" s="3490">
        <v>3361</v>
      </c>
      <c r="D407" s="3491">
        <v>27.89</v>
      </c>
      <c r="E407" s="3505" t="s">
        <v>3476</v>
      </c>
    </row>
    <row r="408" spans="1:5" ht="15.75">
      <c r="A408" s="3510">
        <v>406</v>
      </c>
      <c r="B408" s="3489" t="s">
        <v>3463</v>
      </c>
      <c r="C408" s="3490">
        <v>3362</v>
      </c>
      <c r="D408" s="3491">
        <v>27.64</v>
      </c>
      <c r="E408" s="3505" t="s">
        <v>3476</v>
      </c>
    </row>
    <row r="409" spans="1:5" ht="15.75">
      <c r="A409" s="3510">
        <v>407</v>
      </c>
      <c r="B409" s="3489" t="s">
        <v>3463</v>
      </c>
      <c r="C409" s="3490">
        <v>3363</v>
      </c>
      <c r="D409" s="3491">
        <v>35.74</v>
      </c>
      <c r="E409" s="3505" t="s">
        <v>3476</v>
      </c>
    </row>
    <row r="410" spans="1:5" ht="15.75">
      <c r="A410" s="3510">
        <v>408</v>
      </c>
      <c r="B410" s="3489" t="s">
        <v>3463</v>
      </c>
      <c r="C410" s="3490">
        <v>3364</v>
      </c>
      <c r="D410" s="3491">
        <v>35.74</v>
      </c>
      <c r="E410" s="3505" t="s">
        <v>3476</v>
      </c>
    </row>
    <row r="411" spans="1:5" ht="15.75">
      <c r="A411" s="3510">
        <v>409</v>
      </c>
      <c r="B411" s="3489" t="s">
        <v>3463</v>
      </c>
      <c r="C411" s="3490">
        <v>3365</v>
      </c>
      <c r="D411" s="3491">
        <v>36.6</v>
      </c>
      <c r="E411" s="3505" t="s">
        <v>3476</v>
      </c>
    </row>
    <row r="412" spans="1:5" ht="15.75">
      <c r="A412" s="3510">
        <v>410</v>
      </c>
      <c r="B412" s="3489" t="s">
        <v>3463</v>
      </c>
      <c r="C412" s="3490">
        <v>3366</v>
      </c>
      <c r="D412" s="3491">
        <v>34.01</v>
      </c>
      <c r="E412" s="3505" t="s">
        <v>3476</v>
      </c>
    </row>
    <row r="413" spans="1:5" ht="15.75">
      <c r="A413" s="3510">
        <v>411</v>
      </c>
      <c r="B413" s="3489" t="s">
        <v>3463</v>
      </c>
      <c r="C413" s="3490">
        <v>3367</v>
      </c>
      <c r="D413" s="3491">
        <v>36.6</v>
      </c>
      <c r="E413" s="3505" t="s">
        <v>3476</v>
      </c>
    </row>
    <row r="414" spans="1:5" ht="15.75">
      <c r="A414" s="3510">
        <v>412</v>
      </c>
      <c r="B414" s="3489" t="s">
        <v>3463</v>
      </c>
      <c r="C414" s="3490">
        <v>3368</v>
      </c>
      <c r="D414" s="3491">
        <v>36.6</v>
      </c>
      <c r="E414" s="3505" t="s">
        <v>3476</v>
      </c>
    </row>
    <row r="415" spans="1:5" ht="15.75">
      <c r="A415" s="3510">
        <v>413</v>
      </c>
      <c r="B415" s="3489" t="s">
        <v>3463</v>
      </c>
      <c r="C415" s="3490">
        <v>3369</v>
      </c>
      <c r="D415" s="3491">
        <v>34.01</v>
      </c>
      <c r="E415" s="3505" t="s">
        <v>3476</v>
      </c>
    </row>
    <row r="416" spans="1:5" ht="15.75">
      <c r="A416" s="3510">
        <v>414</v>
      </c>
      <c r="B416" s="3489" t="s">
        <v>3463</v>
      </c>
      <c r="C416" s="3490">
        <v>3370</v>
      </c>
      <c r="D416" s="3491">
        <v>36.6</v>
      </c>
      <c r="E416" s="3505" t="s">
        <v>3476</v>
      </c>
    </row>
    <row r="417" spans="1:5">
      <c r="A417" s="3488"/>
      <c r="B417" s="3601" t="s">
        <v>3478</v>
      </c>
      <c r="C417" s="3602"/>
      <c r="D417" s="3491">
        <f>SUM(D54:D416)</f>
        <v>13053.430000000031</v>
      </c>
      <c r="E417" s="3491"/>
    </row>
    <row r="418" spans="1:5" ht="15.75">
      <c r="A418" s="3510">
        <v>415</v>
      </c>
      <c r="B418" s="3489" t="s">
        <v>3464</v>
      </c>
      <c r="C418" s="3497">
        <v>2001</v>
      </c>
      <c r="D418" s="3498">
        <v>26.44</v>
      </c>
      <c r="E418" s="3505" t="s">
        <v>3476</v>
      </c>
    </row>
    <row r="419" spans="1:5" ht="15.75">
      <c r="A419" s="3510">
        <v>416</v>
      </c>
      <c r="B419" s="3489" t="s">
        <v>3464</v>
      </c>
      <c r="C419" s="3497">
        <v>2002</v>
      </c>
      <c r="D419" s="3498">
        <v>26.44</v>
      </c>
      <c r="E419" s="3505" t="s">
        <v>3476</v>
      </c>
    </row>
    <row r="420" spans="1:5" ht="15.75">
      <c r="A420" s="3510">
        <v>417</v>
      </c>
      <c r="B420" s="3489" t="s">
        <v>3464</v>
      </c>
      <c r="C420" s="3497">
        <v>2003</v>
      </c>
      <c r="D420" s="3498">
        <v>27.06</v>
      </c>
      <c r="E420" s="3505" t="s">
        <v>3476</v>
      </c>
    </row>
    <row r="421" spans="1:5" ht="15.75">
      <c r="A421" s="3510">
        <v>418</v>
      </c>
      <c r="B421" s="3489" t="s">
        <v>3464</v>
      </c>
      <c r="C421" s="3497">
        <v>2004</v>
      </c>
      <c r="D421" s="3498">
        <v>25.16</v>
      </c>
      <c r="E421" s="3505" t="s">
        <v>3476</v>
      </c>
    </row>
    <row r="422" spans="1:5" ht="15.75">
      <c r="A422" s="3510">
        <v>419</v>
      </c>
      <c r="B422" s="3489" t="s">
        <v>3464</v>
      </c>
      <c r="C422" s="3497">
        <v>2005</v>
      </c>
      <c r="D422" s="3498">
        <v>27.06</v>
      </c>
      <c r="E422" s="3505" t="s">
        <v>3476</v>
      </c>
    </row>
    <row r="423" spans="1:5" ht="15.75">
      <c r="A423" s="3510">
        <v>420</v>
      </c>
      <c r="B423" s="3489" t="s">
        <v>3464</v>
      </c>
      <c r="C423" s="3497">
        <v>2006</v>
      </c>
      <c r="D423" s="3498">
        <v>36.79</v>
      </c>
      <c r="E423" s="3505" t="s">
        <v>3476</v>
      </c>
    </row>
    <row r="424" spans="1:5" ht="15.75">
      <c r="A424" s="3510">
        <v>421</v>
      </c>
      <c r="B424" s="3489" t="s">
        <v>3464</v>
      </c>
      <c r="C424" s="3490">
        <v>2007</v>
      </c>
      <c r="D424" s="3494">
        <v>34.19</v>
      </c>
      <c r="E424" s="3505" t="s">
        <v>3476</v>
      </c>
    </row>
    <row r="425" spans="1:5" ht="15.75">
      <c r="A425" s="3510">
        <v>422</v>
      </c>
      <c r="B425" s="3489" t="s">
        <v>3464</v>
      </c>
      <c r="C425" s="3490">
        <v>2008</v>
      </c>
      <c r="D425" s="3491">
        <v>36.79</v>
      </c>
      <c r="E425" s="3505" t="s">
        <v>3476</v>
      </c>
    </row>
    <row r="426" spans="1:5" ht="15.75">
      <c r="A426" s="3510">
        <v>423</v>
      </c>
      <c r="B426" s="3489" t="s">
        <v>3464</v>
      </c>
      <c r="C426" s="3490">
        <v>2009</v>
      </c>
      <c r="D426" s="3491">
        <v>35.409999999999997</v>
      </c>
      <c r="E426" s="3505" t="s">
        <v>3476</v>
      </c>
    </row>
    <row r="427" spans="1:5" ht="15.75">
      <c r="A427" s="3510">
        <v>424</v>
      </c>
      <c r="B427" s="3489" t="s">
        <v>3464</v>
      </c>
      <c r="C427" s="3490">
        <v>2010</v>
      </c>
      <c r="D427" s="3491">
        <v>35.93</v>
      </c>
      <c r="E427" s="3505" t="s">
        <v>3476</v>
      </c>
    </row>
    <row r="428" spans="1:5" ht="15.75">
      <c r="A428" s="3510">
        <v>425</v>
      </c>
      <c r="B428" s="3489" t="s">
        <v>3464</v>
      </c>
      <c r="C428" s="3490">
        <v>2011</v>
      </c>
      <c r="D428" s="3491">
        <v>35.93</v>
      </c>
      <c r="E428" s="3505" t="s">
        <v>3476</v>
      </c>
    </row>
    <row r="429" spans="1:5" ht="15.75">
      <c r="A429" s="3510">
        <v>426</v>
      </c>
      <c r="B429" s="3489" t="s">
        <v>3464</v>
      </c>
      <c r="C429" s="3490">
        <v>2012</v>
      </c>
      <c r="D429" s="3491">
        <v>35.93</v>
      </c>
      <c r="E429" s="3505" t="s">
        <v>3476</v>
      </c>
    </row>
    <row r="430" spans="1:5" ht="15.75">
      <c r="A430" s="3510">
        <v>427</v>
      </c>
      <c r="B430" s="3489" t="s">
        <v>3464</v>
      </c>
      <c r="C430" s="3490">
        <v>2013</v>
      </c>
      <c r="D430" s="3491">
        <v>36.79</v>
      </c>
      <c r="E430" s="3505" t="s">
        <v>3476</v>
      </c>
    </row>
    <row r="431" spans="1:5" ht="15.75">
      <c r="A431" s="3510">
        <v>428</v>
      </c>
      <c r="B431" s="3489" t="s">
        <v>3464</v>
      </c>
      <c r="C431" s="3492">
        <v>2014</v>
      </c>
      <c r="D431" s="3494">
        <v>34.19</v>
      </c>
      <c r="E431" s="3505" t="s">
        <v>3476</v>
      </c>
    </row>
    <row r="432" spans="1:5" ht="15.75">
      <c r="A432" s="3510">
        <v>429</v>
      </c>
      <c r="B432" s="3489" t="s">
        <v>3464</v>
      </c>
      <c r="C432" s="3490">
        <v>2015</v>
      </c>
      <c r="D432" s="3491">
        <v>36.79</v>
      </c>
      <c r="E432" s="3505" t="s">
        <v>3476</v>
      </c>
    </row>
    <row r="433" spans="1:5" ht="15.75">
      <c r="A433" s="3510">
        <v>430</v>
      </c>
      <c r="B433" s="3489" t="s">
        <v>3464</v>
      </c>
      <c r="C433" s="3490">
        <v>2016</v>
      </c>
      <c r="D433" s="3491">
        <v>36.79</v>
      </c>
      <c r="E433" s="3505" t="s">
        <v>3476</v>
      </c>
    </row>
    <row r="434" spans="1:5" ht="15.75">
      <c r="A434" s="3510">
        <v>431</v>
      </c>
      <c r="B434" s="3489" t="s">
        <v>3464</v>
      </c>
      <c r="C434" s="3490">
        <v>2017</v>
      </c>
      <c r="D434" s="3491">
        <v>34.19</v>
      </c>
      <c r="E434" s="3505" t="s">
        <v>3476</v>
      </c>
    </row>
    <row r="435" spans="1:5" ht="15.75">
      <c r="A435" s="3510">
        <v>432</v>
      </c>
      <c r="B435" s="3489" t="s">
        <v>3464</v>
      </c>
      <c r="C435" s="3490">
        <v>2018</v>
      </c>
      <c r="D435" s="3491">
        <v>36.79</v>
      </c>
      <c r="E435" s="3505" t="s">
        <v>3476</v>
      </c>
    </row>
    <row r="436" spans="1:5" ht="15.75">
      <c r="A436" s="3510">
        <v>433</v>
      </c>
      <c r="B436" s="3489" t="s">
        <v>3464</v>
      </c>
      <c r="C436" s="3490">
        <v>2019</v>
      </c>
      <c r="D436" s="3491">
        <v>36.79</v>
      </c>
      <c r="E436" s="3505" t="s">
        <v>3476</v>
      </c>
    </row>
    <row r="437" spans="1:5" ht="15.75">
      <c r="A437" s="3510">
        <v>434</v>
      </c>
      <c r="B437" s="3489" t="s">
        <v>3464</v>
      </c>
      <c r="C437" s="3492">
        <v>2020</v>
      </c>
      <c r="D437" s="3494">
        <v>34.19</v>
      </c>
      <c r="E437" s="3505" t="s">
        <v>3476</v>
      </c>
    </row>
    <row r="438" spans="1:5" ht="15.75">
      <c r="A438" s="3510">
        <v>435</v>
      </c>
      <c r="B438" s="3489" t="s">
        <v>3464</v>
      </c>
      <c r="C438" s="3490">
        <v>2021</v>
      </c>
      <c r="D438" s="3491">
        <v>36.79</v>
      </c>
      <c r="E438" s="3505" t="s">
        <v>3476</v>
      </c>
    </row>
    <row r="439" spans="1:5" ht="15.75">
      <c r="A439" s="3510">
        <v>436</v>
      </c>
      <c r="B439" s="3489" t="s">
        <v>3464</v>
      </c>
      <c r="C439" s="3492">
        <v>2022</v>
      </c>
      <c r="D439" s="3494">
        <v>36.79</v>
      </c>
      <c r="E439" s="3505" t="s">
        <v>3476</v>
      </c>
    </row>
    <row r="440" spans="1:5" ht="15.75">
      <c r="A440" s="3510">
        <v>437</v>
      </c>
      <c r="B440" s="3489" t="s">
        <v>3464</v>
      </c>
      <c r="C440" s="3492">
        <v>2023</v>
      </c>
      <c r="D440" s="3494">
        <v>34.19</v>
      </c>
      <c r="E440" s="3505" t="s">
        <v>3476</v>
      </c>
    </row>
    <row r="441" spans="1:5" ht="15.75">
      <c r="A441" s="3510">
        <v>438</v>
      </c>
      <c r="B441" s="3489" t="s">
        <v>3464</v>
      </c>
      <c r="C441" s="3492">
        <v>2024</v>
      </c>
      <c r="D441" s="3494">
        <v>36.79</v>
      </c>
      <c r="E441" s="3505" t="s">
        <v>3476</v>
      </c>
    </row>
    <row r="442" spans="1:5" ht="15.75">
      <c r="A442" s="3510">
        <v>439</v>
      </c>
      <c r="B442" s="3489" t="s">
        <v>3464</v>
      </c>
      <c r="C442" s="3490">
        <v>2025</v>
      </c>
      <c r="D442" s="3491">
        <v>36.33</v>
      </c>
      <c r="E442" s="3505" t="s">
        <v>3476</v>
      </c>
    </row>
    <row r="443" spans="1:5" ht="15.75">
      <c r="A443" s="3510">
        <v>440</v>
      </c>
      <c r="B443" s="3489" t="s">
        <v>3464</v>
      </c>
      <c r="C443" s="3490">
        <v>2026</v>
      </c>
      <c r="D443" s="3491">
        <v>36.79</v>
      </c>
      <c r="E443" s="3505" t="s">
        <v>3476</v>
      </c>
    </row>
    <row r="444" spans="1:5" ht="15.75">
      <c r="A444" s="3510">
        <v>441</v>
      </c>
      <c r="B444" s="3489" t="s">
        <v>3464</v>
      </c>
      <c r="C444" s="3490">
        <v>2027</v>
      </c>
      <c r="D444" s="3491">
        <v>34.19</v>
      </c>
      <c r="E444" s="3505" t="s">
        <v>3476</v>
      </c>
    </row>
    <row r="445" spans="1:5" ht="15.75">
      <c r="A445" s="3510">
        <v>442</v>
      </c>
      <c r="B445" s="3489" t="s">
        <v>3464</v>
      </c>
      <c r="C445" s="3490">
        <v>2028</v>
      </c>
      <c r="D445" s="3491">
        <v>36.79</v>
      </c>
      <c r="E445" s="3505" t="s">
        <v>3476</v>
      </c>
    </row>
    <row r="446" spans="1:5" ht="15.75">
      <c r="A446" s="3510">
        <v>443</v>
      </c>
      <c r="B446" s="3489" t="s">
        <v>3464</v>
      </c>
      <c r="C446" s="3490">
        <v>2029</v>
      </c>
      <c r="D446" s="3491">
        <v>35.93</v>
      </c>
      <c r="E446" s="3505" t="s">
        <v>3476</v>
      </c>
    </row>
    <row r="447" spans="1:5" ht="15.75">
      <c r="A447" s="3510">
        <v>444</v>
      </c>
      <c r="B447" s="3489" t="s">
        <v>3464</v>
      </c>
      <c r="C447" s="3492">
        <v>2030</v>
      </c>
      <c r="D447" s="3494">
        <v>35.93</v>
      </c>
      <c r="E447" s="3505" t="s">
        <v>3476</v>
      </c>
    </row>
    <row r="448" spans="1:5" ht="15.75">
      <c r="A448" s="3510">
        <v>445</v>
      </c>
      <c r="B448" s="3489" t="s">
        <v>3464</v>
      </c>
      <c r="C448" s="3490">
        <v>2031</v>
      </c>
      <c r="D448" s="3491">
        <v>36.79</v>
      </c>
      <c r="E448" s="3505" t="s">
        <v>3476</v>
      </c>
    </row>
    <row r="449" spans="1:5" ht="15.75">
      <c r="A449" s="3510">
        <v>446</v>
      </c>
      <c r="B449" s="3489" t="s">
        <v>3464</v>
      </c>
      <c r="C449" s="3490">
        <v>2032</v>
      </c>
      <c r="D449" s="3491">
        <v>34.19</v>
      </c>
      <c r="E449" s="3505" t="s">
        <v>3476</v>
      </c>
    </row>
    <row r="450" spans="1:5" ht="15.75">
      <c r="A450" s="3510">
        <v>447</v>
      </c>
      <c r="B450" s="3489" t="s">
        <v>3464</v>
      </c>
      <c r="C450" s="3490">
        <v>2033</v>
      </c>
      <c r="D450" s="3491">
        <v>36.79</v>
      </c>
      <c r="E450" s="3505" t="s">
        <v>3476</v>
      </c>
    </row>
    <row r="451" spans="1:5" ht="15.75">
      <c r="A451" s="3510">
        <v>448</v>
      </c>
      <c r="B451" s="3489" t="s">
        <v>3464</v>
      </c>
      <c r="C451" s="3490">
        <v>2034</v>
      </c>
      <c r="D451" s="3491">
        <v>36.79</v>
      </c>
      <c r="E451" s="3505" t="s">
        <v>3476</v>
      </c>
    </row>
    <row r="452" spans="1:5" ht="15.75">
      <c r="A452" s="3510">
        <v>449</v>
      </c>
      <c r="B452" s="3489" t="s">
        <v>3464</v>
      </c>
      <c r="C452" s="3490">
        <v>2035</v>
      </c>
      <c r="D452" s="3491">
        <v>34.19</v>
      </c>
      <c r="E452" s="3505" t="s">
        <v>3476</v>
      </c>
    </row>
    <row r="453" spans="1:5" ht="15.75">
      <c r="A453" s="3510">
        <v>450</v>
      </c>
      <c r="B453" s="3489" t="s">
        <v>3464</v>
      </c>
      <c r="C453" s="3490">
        <v>2036</v>
      </c>
      <c r="D453" s="3491">
        <v>36.79</v>
      </c>
      <c r="E453" s="3505" t="s">
        <v>3476</v>
      </c>
    </row>
    <row r="454" spans="1:5" ht="15.75">
      <c r="A454" s="3510">
        <v>451</v>
      </c>
      <c r="B454" s="3489" t="s">
        <v>3464</v>
      </c>
      <c r="C454" s="3490">
        <v>2037</v>
      </c>
      <c r="D454" s="3491">
        <v>36.79</v>
      </c>
      <c r="E454" s="3505" t="s">
        <v>3476</v>
      </c>
    </row>
    <row r="455" spans="1:5" ht="15.75">
      <c r="A455" s="3510">
        <v>452</v>
      </c>
      <c r="B455" s="3489" t="s">
        <v>3464</v>
      </c>
      <c r="C455" s="3490">
        <v>2038</v>
      </c>
      <c r="D455" s="3491">
        <v>34.19</v>
      </c>
      <c r="E455" s="3505" t="s">
        <v>3476</v>
      </c>
    </row>
    <row r="456" spans="1:5" ht="15.75">
      <c r="A456" s="3510">
        <v>453</v>
      </c>
      <c r="B456" s="3489" t="s">
        <v>3464</v>
      </c>
      <c r="C456" s="3490">
        <v>2039</v>
      </c>
      <c r="D456" s="3491">
        <v>36.79</v>
      </c>
      <c r="E456" s="3505" t="s">
        <v>3476</v>
      </c>
    </row>
    <row r="457" spans="1:5" ht="15.75">
      <c r="A457" s="3510">
        <v>454</v>
      </c>
      <c r="B457" s="3489" t="s">
        <v>3464</v>
      </c>
      <c r="C457" s="3490">
        <v>2040</v>
      </c>
      <c r="D457" s="3491">
        <v>36.79</v>
      </c>
      <c r="E457" s="3505" t="s">
        <v>3476</v>
      </c>
    </row>
    <row r="458" spans="1:5" ht="15.75">
      <c r="A458" s="3510">
        <v>455</v>
      </c>
      <c r="B458" s="3489" t="s">
        <v>3464</v>
      </c>
      <c r="C458" s="3490">
        <v>2041</v>
      </c>
      <c r="D458" s="3491">
        <v>34.19</v>
      </c>
      <c r="E458" s="3505" t="s">
        <v>3476</v>
      </c>
    </row>
    <row r="459" spans="1:5" ht="15.75">
      <c r="A459" s="3510">
        <v>456</v>
      </c>
      <c r="B459" s="3489" t="s">
        <v>3464</v>
      </c>
      <c r="C459" s="3490">
        <v>2042</v>
      </c>
      <c r="D459" s="3491">
        <v>36.79</v>
      </c>
      <c r="E459" s="3505" t="s">
        <v>3476</v>
      </c>
    </row>
    <row r="460" spans="1:5" ht="15.75">
      <c r="A460" s="3510">
        <v>457</v>
      </c>
      <c r="B460" s="3489" t="s">
        <v>3464</v>
      </c>
      <c r="C460" s="3490">
        <v>2043</v>
      </c>
      <c r="D460" s="3491">
        <v>36.79</v>
      </c>
      <c r="E460" s="3505" t="s">
        <v>3476</v>
      </c>
    </row>
    <row r="461" spans="1:5" ht="15.75">
      <c r="A461" s="3510">
        <v>458</v>
      </c>
      <c r="B461" s="3489" t="s">
        <v>3464</v>
      </c>
      <c r="C461" s="3490">
        <v>2044</v>
      </c>
      <c r="D461" s="3491">
        <v>34.19</v>
      </c>
      <c r="E461" s="3505" t="s">
        <v>3476</v>
      </c>
    </row>
    <row r="462" spans="1:5" ht="15.75">
      <c r="A462" s="3510">
        <v>459</v>
      </c>
      <c r="B462" s="3489" t="s">
        <v>3464</v>
      </c>
      <c r="C462" s="3490">
        <v>2045</v>
      </c>
      <c r="D462" s="3491">
        <v>36.79</v>
      </c>
      <c r="E462" s="3505" t="s">
        <v>3476</v>
      </c>
    </row>
    <row r="463" spans="1:5" ht="15.75">
      <c r="A463" s="3510">
        <v>460</v>
      </c>
      <c r="B463" s="3489" t="s">
        <v>3464</v>
      </c>
      <c r="C463" s="3490">
        <v>2046</v>
      </c>
      <c r="D463" s="3491">
        <v>35.93</v>
      </c>
      <c r="E463" s="3505" t="s">
        <v>3476</v>
      </c>
    </row>
    <row r="464" spans="1:5" ht="15.75">
      <c r="A464" s="3510">
        <v>461</v>
      </c>
      <c r="B464" s="3489" t="s">
        <v>3464</v>
      </c>
      <c r="C464" s="3490">
        <v>2047</v>
      </c>
      <c r="D464" s="3491">
        <v>36.79</v>
      </c>
      <c r="E464" s="3505" t="s">
        <v>3476</v>
      </c>
    </row>
    <row r="465" spans="1:5" ht="15.75">
      <c r="A465" s="3510">
        <v>462</v>
      </c>
      <c r="B465" s="3489" t="s">
        <v>3464</v>
      </c>
      <c r="C465" s="3490">
        <v>2048</v>
      </c>
      <c r="D465" s="3491">
        <v>34.19</v>
      </c>
      <c r="E465" s="3505" t="s">
        <v>3476</v>
      </c>
    </row>
    <row r="466" spans="1:5" ht="15.75">
      <c r="A466" s="3510">
        <v>463</v>
      </c>
      <c r="B466" s="3489" t="s">
        <v>3464</v>
      </c>
      <c r="C466" s="3490">
        <v>2049</v>
      </c>
      <c r="D466" s="3491">
        <v>36.79</v>
      </c>
      <c r="E466" s="3505" t="s">
        <v>3476</v>
      </c>
    </row>
    <row r="467" spans="1:5" ht="15.75">
      <c r="A467" s="3510">
        <v>464</v>
      </c>
      <c r="B467" s="3489" t="s">
        <v>3464</v>
      </c>
      <c r="C467" s="3490">
        <v>2050</v>
      </c>
      <c r="D467" s="3491">
        <v>36.79</v>
      </c>
      <c r="E467" s="3505" t="s">
        <v>3476</v>
      </c>
    </row>
    <row r="468" spans="1:5" ht="15.75">
      <c r="A468" s="3510">
        <v>465</v>
      </c>
      <c r="B468" s="3489" t="s">
        <v>3464</v>
      </c>
      <c r="C468" s="3490">
        <v>2051</v>
      </c>
      <c r="D468" s="3491">
        <v>34.19</v>
      </c>
      <c r="E468" s="3505" t="s">
        <v>3476</v>
      </c>
    </row>
    <row r="469" spans="1:5" ht="15.75">
      <c r="A469" s="3510">
        <v>466</v>
      </c>
      <c r="B469" s="3489" t="s">
        <v>3464</v>
      </c>
      <c r="C469" s="3490">
        <v>2052</v>
      </c>
      <c r="D469" s="3491">
        <v>36.79</v>
      </c>
      <c r="E469" s="3505" t="s">
        <v>3476</v>
      </c>
    </row>
    <row r="470" spans="1:5" ht="15.75">
      <c r="A470" s="3510">
        <v>467</v>
      </c>
      <c r="B470" s="3489" t="s">
        <v>3464</v>
      </c>
      <c r="C470" s="3490">
        <v>2053</v>
      </c>
      <c r="D470" s="3491">
        <v>36.79</v>
      </c>
      <c r="E470" s="3505" t="s">
        <v>3476</v>
      </c>
    </row>
    <row r="471" spans="1:5" ht="15.75">
      <c r="A471" s="3510">
        <v>468</v>
      </c>
      <c r="B471" s="3489" t="s">
        <v>3464</v>
      </c>
      <c r="C471" s="3490">
        <v>2054</v>
      </c>
      <c r="D471" s="3491">
        <v>34.19</v>
      </c>
      <c r="E471" s="3505" t="s">
        <v>3476</v>
      </c>
    </row>
    <row r="472" spans="1:5" ht="15.75">
      <c r="A472" s="3510">
        <v>469</v>
      </c>
      <c r="B472" s="3489" t="s">
        <v>3464</v>
      </c>
      <c r="C472" s="3490">
        <v>2055</v>
      </c>
      <c r="D472" s="3491">
        <v>36.79</v>
      </c>
      <c r="E472" s="3505" t="s">
        <v>3476</v>
      </c>
    </row>
    <row r="473" spans="1:5" ht="15.75">
      <c r="A473" s="3510">
        <v>470</v>
      </c>
      <c r="B473" s="3489" t="s">
        <v>3464</v>
      </c>
      <c r="C473" s="3490">
        <v>2056</v>
      </c>
      <c r="D473" s="3491">
        <v>35.93</v>
      </c>
      <c r="E473" s="3505" t="s">
        <v>3476</v>
      </c>
    </row>
    <row r="474" spans="1:5" ht="15.75">
      <c r="A474" s="3510">
        <v>471</v>
      </c>
      <c r="B474" s="3489" t="s">
        <v>3464</v>
      </c>
      <c r="C474" s="3490">
        <v>2057</v>
      </c>
      <c r="D474" s="3491">
        <v>35.93</v>
      </c>
      <c r="E474" s="3505" t="s">
        <v>3476</v>
      </c>
    </row>
    <row r="475" spans="1:5" ht="15.75">
      <c r="A475" s="3510">
        <v>472</v>
      </c>
      <c r="B475" s="3489" t="s">
        <v>3464</v>
      </c>
      <c r="C475" s="3490">
        <v>2058</v>
      </c>
      <c r="D475" s="3491">
        <v>36.79</v>
      </c>
      <c r="E475" s="3505" t="s">
        <v>3476</v>
      </c>
    </row>
    <row r="476" spans="1:5" ht="15.75">
      <c r="A476" s="3510">
        <v>473</v>
      </c>
      <c r="B476" s="3489" t="s">
        <v>3464</v>
      </c>
      <c r="C476" s="3490">
        <v>2059</v>
      </c>
      <c r="D476" s="3491">
        <v>34.19</v>
      </c>
      <c r="E476" s="3505" t="s">
        <v>3476</v>
      </c>
    </row>
    <row r="477" spans="1:5" ht="15.75">
      <c r="A477" s="3510">
        <v>474</v>
      </c>
      <c r="B477" s="3489" t="s">
        <v>3464</v>
      </c>
      <c r="C477" s="3490">
        <v>2060</v>
      </c>
      <c r="D477" s="3491">
        <v>36.79</v>
      </c>
      <c r="E477" s="3505" t="s">
        <v>3476</v>
      </c>
    </row>
    <row r="478" spans="1:5" ht="15.75">
      <c r="A478" s="3510">
        <v>475</v>
      </c>
      <c r="B478" s="3489" t="s">
        <v>3464</v>
      </c>
      <c r="C478" s="3490">
        <v>2061</v>
      </c>
      <c r="D478" s="3491">
        <v>36.79</v>
      </c>
      <c r="E478" s="3505" t="s">
        <v>3476</v>
      </c>
    </row>
    <row r="479" spans="1:5" ht="15.75">
      <c r="A479" s="3510">
        <v>476</v>
      </c>
      <c r="B479" s="3489" t="s">
        <v>3464</v>
      </c>
      <c r="C479" s="3490">
        <v>2062</v>
      </c>
      <c r="D479" s="3491">
        <v>34.19</v>
      </c>
      <c r="E479" s="3505" t="s">
        <v>3476</v>
      </c>
    </row>
    <row r="480" spans="1:5" ht="15.75">
      <c r="A480" s="3510">
        <v>477</v>
      </c>
      <c r="B480" s="3489" t="s">
        <v>3464</v>
      </c>
      <c r="C480" s="3490">
        <v>2063</v>
      </c>
      <c r="D480" s="3491">
        <v>36.79</v>
      </c>
      <c r="E480" s="3505" t="s">
        <v>3476</v>
      </c>
    </row>
    <row r="481" spans="1:5" ht="15.75">
      <c r="A481" s="3510">
        <v>478</v>
      </c>
      <c r="B481" s="3489" t="s">
        <v>3464</v>
      </c>
      <c r="C481" s="3490">
        <v>2064</v>
      </c>
      <c r="D481" s="3491">
        <v>35.93</v>
      </c>
      <c r="E481" s="3505" t="s">
        <v>3476</v>
      </c>
    </row>
    <row r="482" spans="1:5" ht="15.75">
      <c r="A482" s="3510">
        <v>479</v>
      </c>
      <c r="B482" s="3489" t="s">
        <v>3464</v>
      </c>
      <c r="C482" s="3490">
        <v>2065</v>
      </c>
      <c r="D482" s="3491">
        <v>35.93</v>
      </c>
      <c r="E482" s="3505" t="s">
        <v>3476</v>
      </c>
    </row>
    <row r="483" spans="1:5" ht="15.75">
      <c r="A483" s="3510">
        <v>480</v>
      </c>
      <c r="B483" s="3489" t="s">
        <v>3464</v>
      </c>
      <c r="C483" s="3490">
        <v>2066</v>
      </c>
      <c r="D483" s="3491">
        <v>35.93</v>
      </c>
      <c r="E483" s="3505" t="s">
        <v>3476</v>
      </c>
    </row>
    <row r="484" spans="1:5" ht="15.75">
      <c r="A484" s="3510">
        <v>481</v>
      </c>
      <c r="B484" s="3489" t="s">
        <v>3464</v>
      </c>
      <c r="C484" s="3492">
        <v>2067</v>
      </c>
      <c r="D484" s="3494">
        <v>36.79</v>
      </c>
      <c r="E484" s="3505" t="s">
        <v>3476</v>
      </c>
    </row>
    <row r="485" spans="1:5" ht="15.75">
      <c r="A485" s="3510">
        <v>482</v>
      </c>
      <c r="B485" s="3489" t="s">
        <v>3464</v>
      </c>
      <c r="C485" s="3490">
        <v>2068</v>
      </c>
      <c r="D485" s="3491">
        <v>34.19</v>
      </c>
      <c r="E485" s="3505" t="s">
        <v>3476</v>
      </c>
    </row>
    <row r="486" spans="1:5" ht="15.75">
      <c r="A486" s="3510">
        <v>483</v>
      </c>
      <c r="B486" s="3489" t="s">
        <v>3464</v>
      </c>
      <c r="C486" s="3490">
        <v>2069</v>
      </c>
      <c r="D486" s="3494">
        <v>36.79</v>
      </c>
      <c r="E486" s="3505" t="s">
        <v>3476</v>
      </c>
    </row>
    <row r="487" spans="1:5" ht="15.75">
      <c r="A487" s="3510">
        <v>484</v>
      </c>
      <c r="B487" s="3489" t="s">
        <v>3464</v>
      </c>
      <c r="C487" s="3490">
        <v>2070</v>
      </c>
      <c r="D487" s="3491">
        <v>36.79</v>
      </c>
      <c r="E487" s="3505" t="s">
        <v>3476</v>
      </c>
    </row>
    <row r="488" spans="1:5" ht="15.75">
      <c r="A488" s="3510">
        <v>485</v>
      </c>
      <c r="B488" s="3489" t="s">
        <v>3464</v>
      </c>
      <c r="C488" s="3490">
        <v>2071</v>
      </c>
      <c r="D488" s="3491">
        <v>34.19</v>
      </c>
      <c r="E488" s="3505" t="s">
        <v>3476</v>
      </c>
    </row>
    <row r="489" spans="1:5" ht="15.75">
      <c r="A489" s="3510">
        <v>486</v>
      </c>
      <c r="B489" s="3489" t="s">
        <v>3464</v>
      </c>
      <c r="C489" s="3490">
        <v>2072</v>
      </c>
      <c r="D489" s="3491">
        <v>36.79</v>
      </c>
      <c r="E489" s="3505" t="s">
        <v>3476</v>
      </c>
    </row>
    <row r="490" spans="1:5" ht="15.75">
      <c r="A490" s="3510">
        <v>487</v>
      </c>
      <c r="B490" s="3489" t="s">
        <v>3464</v>
      </c>
      <c r="C490" s="3490">
        <v>2073</v>
      </c>
      <c r="D490" s="3491">
        <v>36.79</v>
      </c>
      <c r="E490" s="3505" t="s">
        <v>3476</v>
      </c>
    </row>
    <row r="491" spans="1:5" ht="15.75">
      <c r="A491" s="3510">
        <v>488</v>
      </c>
      <c r="B491" s="3489" t="s">
        <v>3464</v>
      </c>
      <c r="C491" s="3490">
        <v>2074</v>
      </c>
      <c r="D491" s="3491">
        <v>34.19</v>
      </c>
      <c r="E491" s="3505" t="s">
        <v>3476</v>
      </c>
    </row>
    <row r="492" spans="1:5" ht="15.75">
      <c r="A492" s="3510">
        <v>489</v>
      </c>
      <c r="B492" s="3489" t="s">
        <v>3464</v>
      </c>
      <c r="C492" s="3490">
        <v>2075</v>
      </c>
      <c r="D492" s="3491">
        <v>36.79</v>
      </c>
      <c r="E492" s="3505" t="s">
        <v>3476</v>
      </c>
    </row>
    <row r="493" spans="1:5" ht="15.75">
      <c r="A493" s="3510">
        <v>490</v>
      </c>
      <c r="B493" s="3489" t="s">
        <v>3464</v>
      </c>
      <c r="C493" s="3490">
        <v>2076</v>
      </c>
      <c r="D493" s="3491">
        <v>36.79</v>
      </c>
      <c r="E493" s="3505" t="s">
        <v>3476</v>
      </c>
    </row>
    <row r="494" spans="1:5" ht="15.75">
      <c r="A494" s="3510">
        <v>491</v>
      </c>
      <c r="B494" s="3489" t="s">
        <v>3464</v>
      </c>
      <c r="C494" s="3490">
        <v>2077</v>
      </c>
      <c r="D494" s="3491">
        <v>34.19</v>
      </c>
      <c r="E494" s="3505" t="s">
        <v>3476</v>
      </c>
    </row>
    <row r="495" spans="1:5" ht="15.75">
      <c r="A495" s="3510">
        <v>492</v>
      </c>
      <c r="B495" s="3489" t="s">
        <v>3464</v>
      </c>
      <c r="C495" s="3492">
        <v>2078</v>
      </c>
      <c r="D495" s="3494">
        <v>36.79</v>
      </c>
      <c r="E495" s="3505" t="s">
        <v>3476</v>
      </c>
    </row>
    <row r="496" spans="1:5" ht="15.75">
      <c r="A496" s="3510">
        <v>493</v>
      </c>
      <c r="B496" s="3489" t="s">
        <v>3464</v>
      </c>
      <c r="C496" s="3490">
        <v>2079</v>
      </c>
      <c r="D496" s="3491">
        <v>36.79</v>
      </c>
      <c r="E496" s="3505" t="s">
        <v>3476</v>
      </c>
    </row>
    <row r="497" spans="1:5" ht="15.75">
      <c r="A497" s="3510">
        <v>494</v>
      </c>
      <c r="B497" s="3489" t="s">
        <v>3464</v>
      </c>
      <c r="C497" s="3490">
        <v>2080</v>
      </c>
      <c r="D497" s="3491">
        <v>34.19</v>
      </c>
      <c r="E497" s="3505" t="s">
        <v>3476</v>
      </c>
    </row>
    <row r="498" spans="1:5" ht="15.75">
      <c r="A498" s="3510">
        <v>495</v>
      </c>
      <c r="B498" s="3489" t="s">
        <v>3464</v>
      </c>
      <c r="C498" s="3490">
        <v>2081</v>
      </c>
      <c r="D498" s="3494">
        <v>36.79</v>
      </c>
      <c r="E498" s="3505" t="s">
        <v>3476</v>
      </c>
    </row>
    <row r="499" spans="1:5" ht="15.75">
      <c r="A499" s="3510">
        <v>496</v>
      </c>
      <c r="B499" s="3489" t="s">
        <v>3464</v>
      </c>
      <c r="C499" s="3490">
        <v>2082</v>
      </c>
      <c r="D499" s="3494">
        <v>35.93</v>
      </c>
      <c r="E499" s="3505" t="s">
        <v>3476</v>
      </c>
    </row>
    <row r="500" spans="1:5" ht="15.75">
      <c r="A500" s="3510">
        <v>497</v>
      </c>
      <c r="B500" s="3489" t="s">
        <v>3464</v>
      </c>
      <c r="C500" s="3490">
        <v>2083</v>
      </c>
      <c r="D500" s="3491">
        <v>36.79</v>
      </c>
      <c r="E500" s="3505" t="s">
        <v>3476</v>
      </c>
    </row>
    <row r="501" spans="1:5" ht="15.75">
      <c r="A501" s="3510">
        <v>498</v>
      </c>
      <c r="B501" s="3489" t="s">
        <v>3464</v>
      </c>
      <c r="C501" s="3490">
        <v>2084</v>
      </c>
      <c r="D501" s="3491">
        <v>34.19</v>
      </c>
      <c r="E501" s="3505" t="s">
        <v>3476</v>
      </c>
    </row>
    <row r="502" spans="1:5" ht="15.75">
      <c r="A502" s="3510">
        <v>499</v>
      </c>
      <c r="B502" s="3489" t="s">
        <v>3464</v>
      </c>
      <c r="C502" s="3490">
        <v>2085</v>
      </c>
      <c r="D502" s="3491">
        <v>36.79</v>
      </c>
      <c r="E502" s="3505" t="s">
        <v>3476</v>
      </c>
    </row>
    <row r="503" spans="1:5" ht="15.75">
      <c r="A503" s="3510">
        <v>500</v>
      </c>
      <c r="B503" s="3489" t="s">
        <v>3464</v>
      </c>
      <c r="C503" s="3490">
        <v>2086</v>
      </c>
      <c r="D503" s="3491">
        <v>36.79</v>
      </c>
      <c r="E503" s="3505" t="s">
        <v>3476</v>
      </c>
    </row>
    <row r="504" spans="1:5" ht="15.75">
      <c r="A504" s="3510">
        <v>501</v>
      </c>
      <c r="B504" s="3489" t="s">
        <v>3464</v>
      </c>
      <c r="C504" s="3490">
        <v>2087</v>
      </c>
      <c r="D504" s="3491">
        <v>34.19</v>
      </c>
      <c r="E504" s="3505" t="s">
        <v>3476</v>
      </c>
    </row>
    <row r="505" spans="1:5" ht="15.75">
      <c r="A505" s="3510">
        <v>502</v>
      </c>
      <c r="B505" s="3489" t="s">
        <v>3464</v>
      </c>
      <c r="C505" s="3490">
        <v>2088</v>
      </c>
      <c r="D505" s="3491">
        <v>36.79</v>
      </c>
      <c r="E505" s="3505" t="s">
        <v>3476</v>
      </c>
    </row>
    <row r="506" spans="1:5" ht="15.75">
      <c r="A506" s="3510">
        <v>503</v>
      </c>
      <c r="B506" s="3489" t="s">
        <v>3464</v>
      </c>
      <c r="C506" s="3492">
        <v>2089</v>
      </c>
      <c r="D506" s="3494">
        <v>36.79</v>
      </c>
      <c r="E506" s="3505" t="s">
        <v>3476</v>
      </c>
    </row>
    <row r="507" spans="1:5" ht="15.75">
      <c r="A507" s="3510">
        <v>504</v>
      </c>
      <c r="B507" s="3489" t="s">
        <v>3464</v>
      </c>
      <c r="C507" s="3490">
        <v>2090</v>
      </c>
      <c r="D507" s="3491">
        <v>34.19</v>
      </c>
      <c r="E507" s="3505" t="s">
        <v>3476</v>
      </c>
    </row>
    <row r="508" spans="1:5" ht="15.75">
      <c r="A508" s="3510">
        <v>505</v>
      </c>
      <c r="B508" s="3489" t="s">
        <v>3464</v>
      </c>
      <c r="C508" s="3490">
        <v>2091</v>
      </c>
      <c r="D508" s="3494">
        <v>36.79</v>
      </c>
      <c r="E508" s="3505" t="s">
        <v>3476</v>
      </c>
    </row>
    <row r="509" spans="1:5" ht="15.75">
      <c r="A509" s="3510">
        <v>506</v>
      </c>
      <c r="B509" s="3489" t="s">
        <v>3464</v>
      </c>
      <c r="C509" s="3490">
        <v>2092</v>
      </c>
      <c r="D509" s="3491">
        <v>36.79</v>
      </c>
      <c r="E509" s="3505" t="s">
        <v>3476</v>
      </c>
    </row>
    <row r="510" spans="1:5" ht="15.75">
      <c r="A510" s="3510">
        <v>507</v>
      </c>
      <c r="B510" s="3489" t="s">
        <v>3464</v>
      </c>
      <c r="C510" s="3490">
        <v>2093</v>
      </c>
      <c r="D510" s="3491">
        <v>34.19</v>
      </c>
      <c r="E510" s="3505" t="s">
        <v>3476</v>
      </c>
    </row>
    <row r="511" spans="1:5" ht="15.75">
      <c r="A511" s="3510">
        <v>508</v>
      </c>
      <c r="B511" s="3489" t="s">
        <v>3464</v>
      </c>
      <c r="C511" s="3490">
        <v>2094</v>
      </c>
      <c r="D511" s="3491">
        <v>36.79</v>
      </c>
      <c r="E511" s="3505" t="s">
        <v>3476</v>
      </c>
    </row>
    <row r="512" spans="1:5" ht="15.75">
      <c r="A512" s="3510">
        <v>509</v>
      </c>
      <c r="B512" s="3489" t="s">
        <v>3464</v>
      </c>
      <c r="C512" s="3490">
        <v>2095</v>
      </c>
      <c r="D512" s="3491">
        <v>35.93</v>
      </c>
      <c r="E512" s="3505" t="s">
        <v>3476</v>
      </c>
    </row>
    <row r="513" spans="1:5" ht="15.75">
      <c r="A513" s="3510">
        <v>510</v>
      </c>
      <c r="B513" s="3489" t="s">
        <v>3464</v>
      </c>
      <c r="C513" s="3490">
        <v>2096</v>
      </c>
      <c r="D513" s="3491">
        <v>36.79</v>
      </c>
      <c r="E513" s="3505" t="s">
        <v>3476</v>
      </c>
    </row>
    <row r="514" spans="1:5" ht="15.75">
      <c r="A514" s="3510">
        <v>511</v>
      </c>
      <c r="B514" s="3489" t="s">
        <v>3464</v>
      </c>
      <c r="C514" s="3490">
        <v>2097</v>
      </c>
      <c r="D514" s="3491">
        <v>34.19</v>
      </c>
      <c r="E514" s="3505" t="s">
        <v>3476</v>
      </c>
    </row>
    <row r="515" spans="1:5" ht="15.75">
      <c r="A515" s="3510">
        <v>512</v>
      </c>
      <c r="B515" s="3489" t="s">
        <v>3464</v>
      </c>
      <c r="C515" s="3490">
        <v>2098</v>
      </c>
      <c r="D515" s="3491">
        <v>36.79</v>
      </c>
      <c r="E515" s="3505" t="s">
        <v>3476</v>
      </c>
    </row>
    <row r="516" spans="1:5" ht="15.75">
      <c r="A516" s="3510">
        <v>513</v>
      </c>
      <c r="B516" s="3489" t="s">
        <v>3464</v>
      </c>
      <c r="C516" s="3490">
        <v>2099</v>
      </c>
      <c r="D516" s="3491">
        <v>36.79</v>
      </c>
      <c r="E516" s="3505" t="s">
        <v>3476</v>
      </c>
    </row>
    <row r="517" spans="1:5" ht="15.75">
      <c r="A517" s="3510">
        <v>514</v>
      </c>
      <c r="B517" s="3489" t="s">
        <v>3464</v>
      </c>
      <c r="C517" s="3490">
        <v>2100</v>
      </c>
      <c r="D517" s="3491">
        <v>34.19</v>
      </c>
      <c r="E517" s="3505" t="s">
        <v>3476</v>
      </c>
    </row>
    <row r="518" spans="1:5" ht="15.75">
      <c r="A518" s="3510">
        <v>515</v>
      </c>
      <c r="B518" s="3489" t="s">
        <v>3464</v>
      </c>
      <c r="C518" s="3492">
        <v>2101</v>
      </c>
      <c r="D518" s="3494">
        <v>36.79</v>
      </c>
      <c r="E518" s="3505" t="s">
        <v>3476</v>
      </c>
    </row>
    <row r="519" spans="1:5" ht="15.75">
      <c r="A519" s="3510">
        <v>516</v>
      </c>
      <c r="B519" s="3489" t="s">
        <v>3464</v>
      </c>
      <c r="C519" s="3490">
        <v>2102</v>
      </c>
      <c r="D519" s="3494">
        <v>36.79</v>
      </c>
      <c r="E519" s="3505" t="s">
        <v>3476</v>
      </c>
    </row>
    <row r="520" spans="1:5" ht="15.75">
      <c r="A520" s="3510">
        <v>517</v>
      </c>
      <c r="B520" s="3489" t="s">
        <v>3464</v>
      </c>
      <c r="C520" s="3490">
        <v>2103</v>
      </c>
      <c r="D520" s="3491">
        <v>34.19</v>
      </c>
      <c r="E520" s="3505" t="s">
        <v>3476</v>
      </c>
    </row>
    <row r="521" spans="1:5" ht="15.75">
      <c r="A521" s="3510">
        <v>518</v>
      </c>
      <c r="B521" s="3489" t="s">
        <v>3464</v>
      </c>
      <c r="C521" s="3490">
        <v>2104</v>
      </c>
      <c r="D521" s="3491">
        <v>36.79</v>
      </c>
      <c r="E521" s="3505" t="s">
        <v>3476</v>
      </c>
    </row>
    <row r="522" spans="1:5" ht="15.75">
      <c r="A522" s="3510">
        <v>519</v>
      </c>
      <c r="B522" s="3489" t="s">
        <v>3464</v>
      </c>
      <c r="C522" s="3490">
        <v>2105</v>
      </c>
      <c r="D522" s="3491">
        <v>35.93</v>
      </c>
      <c r="E522" s="3505" t="s">
        <v>3476</v>
      </c>
    </row>
    <row r="523" spans="1:5" ht="15.75">
      <c r="A523" s="3510">
        <v>520</v>
      </c>
      <c r="B523" s="3489" t="s">
        <v>3464</v>
      </c>
      <c r="C523" s="3490">
        <v>2106</v>
      </c>
      <c r="D523" s="3491">
        <v>33.049999999999997</v>
      </c>
      <c r="E523" s="3505" t="s">
        <v>3476</v>
      </c>
    </row>
    <row r="524" spans="1:5" ht="15.75">
      <c r="A524" s="3510">
        <v>521</v>
      </c>
      <c r="B524" s="3489" t="s">
        <v>3464</v>
      </c>
      <c r="C524" s="3490">
        <v>2107</v>
      </c>
      <c r="D524" s="3491">
        <v>36.79</v>
      </c>
      <c r="E524" s="3505" t="s">
        <v>3476</v>
      </c>
    </row>
    <row r="525" spans="1:5" ht="15.75">
      <c r="A525" s="3510">
        <v>522</v>
      </c>
      <c r="B525" s="3489" t="s">
        <v>3464</v>
      </c>
      <c r="C525" s="3490">
        <v>2108</v>
      </c>
      <c r="D525" s="3491">
        <v>34.19</v>
      </c>
      <c r="E525" s="3505" t="s">
        <v>3476</v>
      </c>
    </row>
    <row r="526" spans="1:5" ht="15.75">
      <c r="A526" s="3510">
        <v>523</v>
      </c>
      <c r="B526" s="3489" t="s">
        <v>3464</v>
      </c>
      <c r="C526" s="3490">
        <v>2109</v>
      </c>
      <c r="D526" s="3491">
        <v>36.79</v>
      </c>
      <c r="E526" s="3505" t="s">
        <v>3476</v>
      </c>
    </row>
    <row r="527" spans="1:5" ht="15.75">
      <c r="A527" s="3510">
        <v>524</v>
      </c>
      <c r="B527" s="3489" t="s">
        <v>3464</v>
      </c>
      <c r="C527" s="3490">
        <v>2110</v>
      </c>
      <c r="D527" s="3491">
        <v>35.93</v>
      </c>
      <c r="E527" s="3505" t="s">
        <v>3476</v>
      </c>
    </row>
    <row r="528" spans="1:5" ht="15.75">
      <c r="A528" s="3510">
        <v>525</v>
      </c>
      <c r="B528" s="3489" t="s">
        <v>3464</v>
      </c>
      <c r="C528" s="3490">
        <v>2111</v>
      </c>
      <c r="D528" s="3491">
        <v>35.93</v>
      </c>
      <c r="E528" s="3505" t="s">
        <v>3476</v>
      </c>
    </row>
    <row r="529" spans="1:5" ht="15.75">
      <c r="A529" s="3510">
        <v>526</v>
      </c>
      <c r="B529" s="3489" t="s">
        <v>3464</v>
      </c>
      <c r="C529" s="3490">
        <v>2112</v>
      </c>
      <c r="D529" s="3491">
        <v>36.79</v>
      </c>
      <c r="E529" s="3505" t="s">
        <v>3476</v>
      </c>
    </row>
    <row r="530" spans="1:5" ht="15.75">
      <c r="A530" s="3510">
        <v>527</v>
      </c>
      <c r="B530" s="3489" t="s">
        <v>3464</v>
      </c>
      <c r="C530" s="3490">
        <v>2113</v>
      </c>
      <c r="D530" s="3491">
        <v>34.19</v>
      </c>
      <c r="E530" s="3505" t="s">
        <v>3476</v>
      </c>
    </row>
    <row r="531" spans="1:5" ht="15.75">
      <c r="A531" s="3510">
        <v>528</v>
      </c>
      <c r="B531" s="3489" t="s">
        <v>3464</v>
      </c>
      <c r="C531" s="3490">
        <v>2114</v>
      </c>
      <c r="D531" s="3491">
        <v>36.79</v>
      </c>
      <c r="E531" s="3505" t="s">
        <v>3476</v>
      </c>
    </row>
    <row r="532" spans="1:5" ht="15.75">
      <c r="A532" s="3510">
        <v>529</v>
      </c>
      <c r="B532" s="3489" t="s">
        <v>3464</v>
      </c>
      <c r="C532" s="3490">
        <v>2115</v>
      </c>
      <c r="D532" s="3491">
        <v>35.93</v>
      </c>
      <c r="E532" s="3505" t="s">
        <v>3476</v>
      </c>
    </row>
    <row r="533" spans="1:5" ht="15.75">
      <c r="A533" s="3510">
        <v>530</v>
      </c>
      <c r="B533" s="3489" t="s">
        <v>3464</v>
      </c>
      <c r="C533" s="3490">
        <v>2116</v>
      </c>
      <c r="D533" s="3491">
        <v>35.93</v>
      </c>
      <c r="E533" s="3505" t="s">
        <v>3476</v>
      </c>
    </row>
    <row r="534" spans="1:5" ht="15.75">
      <c r="A534" s="3510">
        <v>531</v>
      </c>
      <c r="B534" s="3489" t="s">
        <v>3464</v>
      </c>
      <c r="C534" s="3490">
        <v>2117</v>
      </c>
      <c r="D534" s="3491">
        <v>35.93</v>
      </c>
      <c r="E534" s="3505" t="s">
        <v>3476</v>
      </c>
    </row>
    <row r="535" spans="1:5" ht="15.75">
      <c r="A535" s="3510">
        <v>532</v>
      </c>
      <c r="B535" s="3489" t="s">
        <v>3464</v>
      </c>
      <c r="C535" s="3490">
        <v>2118</v>
      </c>
      <c r="D535" s="3491">
        <v>35.93</v>
      </c>
      <c r="E535" s="3505" t="s">
        <v>3476</v>
      </c>
    </row>
    <row r="536" spans="1:5" ht="15.75">
      <c r="A536" s="3510">
        <v>533</v>
      </c>
      <c r="B536" s="3489" t="s">
        <v>3464</v>
      </c>
      <c r="C536" s="3490">
        <v>2119</v>
      </c>
      <c r="D536" s="3491">
        <v>36.79</v>
      </c>
      <c r="E536" s="3505" t="s">
        <v>3476</v>
      </c>
    </row>
    <row r="537" spans="1:5" ht="15.75">
      <c r="A537" s="3510">
        <v>534</v>
      </c>
      <c r="B537" s="3489" t="s">
        <v>3464</v>
      </c>
      <c r="C537" s="3490">
        <v>2120</v>
      </c>
      <c r="D537" s="3491">
        <v>34.19</v>
      </c>
      <c r="E537" s="3505" t="s">
        <v>3476</v>
      </c>
    </row>
    <row r="538" spans="1:5" ht="15.75">
      <c r="A538" s="3510">
        <v>535</v>
      </c>
      <c r="B538" s="3489" t="s">
        <v>3464</v>
      </c>
      <c r="C538" s="3490">
        <v>2121</v>
      </c>
      <c r="D538" s="3491">
        <v>36.79</v>
      </c>
      <c r="E538" s="3505" t="s">
        <v>3476</v>
      </c>
    </row>
    <row r="539" spans="1:5" ht="15.75">
      <c r="A539" s="3510">
        <v>536</v>
      </c>
      <c r="B539" s="3489" t="s">
        <v>3464</v>
      </c>
      <c r="C539" s="3490">
        <v>2122</v>
      </c>
      <c r="D539" s="3491">
        <v>36.79</v>
      </c>
      <c r="E539" s="3505" t="s">
        <v>3476</v>
      </c>
    </row>
    <row r="540" spans="1:5" ht="15.75">
      <c r="A540" s="3510">
        <v>537</v>
      </c>
      <c r="B540" s="3489" t="s">
        <v>3464</v>
      </c>
      <c r="C540" s="3490">
        <v>2123</v>
      </c>
      <c r="D540" s="3491">
        <v>34.19</v>
      </c>
      <c r="E540" s="3505" t="s">
        <v>3476</v>
      </c>
    </row>
    <row r="541" spans="1:5" ht="15.75">
      <c r="A541" s="3510">
        <v>538</v>
      </c>
      <c r="B541" s="3489" t="s">
        <v>3464</v>
      </c>
      <c r="C541" s="3490">
        <v>2124</v>
      </c>
      <c r="D541" s="3491">
        <v>36.79</v>
      </c>
      <c r="E541" s="3505" t="s">
        <v>3476</v>
      </c>
    </row>
    <row r="542" spans="1:5" ht="15.75">
      <c r="A542" s="3510">
        <v>539</v>
      </c>
      <c r="B542" s="3489" t="s">
        <v>3464</v>
      </c>
      <c r="C542" s="3490">
        <v>2125</v>
      </c>
      <c r="D542" s="3491">
        <v>36.79</v>
      </c>
      <c r="E542" s="3505" t="s">
        <v>3476</v>
      </c>
    </row>
    <row r="543" spans="1:5" ht="15.75">
      <c r="A543" s="3510">
        <v>540</v>
      </c>
      <c r="B543" s="3489" t="s">
        <v>3464</v>
      </c>
      <c r="C543" s="3490">
        <v>2126</v>
      </c>
      <c r="D543" s="3491">
        <v>34.19</v>
      </c>
      <c r="E543" s="3505" t="s">
        <v>3476</v>
      </c>
    </row>
    <row r="544" spans="1:5" ht="15.75">
      <c r="A544" s="3510">
        <v>541</v>
      </c>
      <c r="B544" s="3489" t="s">
        <v>3464</v>
      </c>
      <c r="C544" s="3490">
        <v>2127</v>
      </c>
      <c r="D544" s="3491">
        <v>36.79</v>
      </c>
      <c r="E544" s="3505" t="s">
        <v>3476</v>
      </c>
    </row>
    <row r="545" spans="1:5" ht="15.75">
      <c r="A545" s="3510">
        <v>542</v>
      </c>
      <c r="B545" s="3489" t="s">
        <v>3464</v>
      </c>
      <c r="C545" s="3490">
        <v>2128</v>
      </c>
      <c r="D545" s="3491">
        <v>35.93</v>
      </c>
      <c r="E545" s="3505" t="s">
        <v>3476</v>
      </c>
    </row>
    <row r="546" spans="1:5" ht="15.75">
      <c r="A546" s="3510">
        <v>543</v>
      </c>
      <c r="B546" s="3489" t="s">
        <v>3464</v>
      </c>
      <c r="C546" s="3490">
        <v>2129</v>
      </c>
      <c r="D546" s="3491">
        <v>35.93</v>
      </c>
      <c r="E546" s="3505" t="s">
        <v>3476</v>
      </c>
    </row>
    <row r="547" spans="1:5" ht="15.75">
      <c r="A547" s="3510">
        <v>544</v>
      </c>
      <c r="B547" s="3489" t="s">
        <v>3464</v>
      </c>
      <c r="C547" s="3490">
        <v>2130</v>
      </c>
      <c r="D547" s="3491">
        <v>35.36</v>
      </c>
      <c r="E547" s="3505" t="s">
        <v>3476</v>
      </c>
    </row>
    <row r="548" spans="1:5" ht="15.75">
      <c r="A548" s="3510">
        <v>545</v>
      </c>
      <c r="B548" s="3489" t="s">
        <v>3464</v>
      </c>
      <c r="C548" s="3490">
        <v>2131</v>
      </c>
      <c r="D548" s="3491">
        <v>36.79</v>
      </c>
      <c r="E548" s="3505" t="s">
        <v>3476</v>
      </c>
    </row>
    <row r="549" spans="1:5" ht="15.75">
      <c r="A549" s="3510">
        <v>546</v>
      </c>
      <c r="B549" s="3489" t="s">
        <v>3464</v>
      </c>
      <c r="C549" s="3490">
        <v>2132</v>
      </c>
      <c r="D549" s="3491">
        <v>34.19</v>
      </c>
      <c r="E549" s="3505" t="s">
        <v>3476</v>
      </c>
    </row>
    <row r="550" spans="1:5" ht="15.75">
      <c r="A550" s="3510">
        <v>547</v>
      </c>
      <c r="B550" s="3489" t="s">
        <v>3464</v>
      </c>
      <c r="C550" s="3490">
        <v>2133</v>
      </c>
      <c r="D550" s="3491">
        <v>36.79</v>
      </c>
      <c r="E550" s="3505" t="s">
        <v>3476</v>
      </c>
    </row>
    <row r="551" spans="1:5" ht="15.75">
      <c r="A551" s="3510">
        <v>548</v>
      </c>
      <c r="B551" s="3489" t="s">
        <v>3464</v>
      </c>
      <c r="C551" s="3490">
        <v>2134</v>
      </c>
      <c r="D551" s="3491">
        <v>34.049999999999997</v>
      </c>
      <c r="E551" s="3505" t="s">
        <v>3476</v>
      </c>
    </row>
    <row r="552" spans="1:5" ht="15.75">
      <c r="A552" s="3510">
        <v>549</v>
      </c>
      <c r="B552" s="3489" t="s">
        <v>3464</v>
      </c>
      <c r="C552" s="3490">
        <v>2135</v>
      </c>
      <c r="D552" s="3494">
        <v>34.49</v>
      </c>
      <c r="E552" s="3505" t="s">
        <v>3476</v>
      </c>
    </row>
    <row r="553" spans="1:5" ht="15.75">
      <c r="A553" s="3510">
        <v>550</v>
      </c>
      <c r="B553" s="3489" t="s">
        <v>3464</v>
      </c>
      <c r="C553" s="3492">
        <v>2136</v>
      </c>
      <c r="D553" s="3494">
        <v>35.93</v>
      </c>
      <c r="E553" s="3505" t="s">
        <v>3476</v>
      </c>
    </row>
    <row r="554" spans="1:5" ht="15.75">
      <c r="A554" s="3510">
        <v>551</v>
      </c>
      <c r="B554" s="3489" t="s">
        <v>3464</v>
      </c>
      <c r="C554" s="3490">
        <v>2137</v>
      </c>
      <c r="D554" s="3491">
        <v>35.93</v>
      </c>
      <c r="E554" s="3505" t="s">
        <v>3476</v>
      </c>
    </row>
    <row r="555" spans="1:5" ht="15.75">
      <c r="A555" s="3510">
        <v>552</v>
      </c>
      <c r="B555" s="3489" t="s">
        <v>3464</v>
      </c>
      <c r="C555" s="3490">
        <v>2138</v>
      </c>
      <c r="D555" s="3491">
        <v>36.9</v>
      </c>
      <c r="E555" s="3505" t="s">
        <v>3476</v>
      </c>
    </row>
    <row r="556" spans="1:5" ht="15.75">
      <c r="A556" s="3510">
        <v>553</v>
      </c>
      <c r="B556" s="3489" t="s">
        <v>3464</v>
      </c>
      <c r="C556" s="3490">
        <v>2139</v>
      </c>
      <c r="D556" s="3491">
        <v>34.19</v>
      </c>
      <c r="E556" s="3505" t="s">
        <v>3476</v>
      </c>
    </row>
    <row r="557" spans="1:5" ht="15.75">
      <c r="A557" s="3510">
        <v>554</v>
      </c>
      <c r="B557" s="3489" t="s">
        <v>3464</v>
      </c>
      <c r="C557" s="3490">
        <v>2140</v>
      </c>
      <c r="D557" s="3491">
        <v>36.79</v>
      </c>
      <c r="E557" s="3505" t="s">
        <v>3476</v>
      </c>
    </row>
    <row r="558" spans="1:5" ht="15.75">
      <c r="A558" s="3510">
        <v>555</v>
      </c>
      <c r="B558" s="3489" t="s">
        <v>3464</v>
      </c>
      <c r="C558" s="3490">
        <v>2141</v>
      </c>
      <c r="D558" s="3491">
        <v>36.79</v>
      </c>
      <c r="E558" s="3505" t="s">
        <v>3476</v>
      </c>
    </row>
    <row r="559" spans="1:5" ht="15.75">
      <c r="A559" s="3510">
        <v>556</v>
      </c>
      <c r="B559" s="3489" t="s">
        <v>3464</v>
      </c>
      <c r="C559" s="3490">
        <v>2142</v>
      </c>
      <c r="D559" s="3491">
        <v>34.19</v>
      </c>
      <c r="E559" s="3505" t="s">
        <v>3476</v>
      </c>
    </row>
    <row r="560" spans="1:5" ht="15.75">
      <c r="A560" s="3510">
        <v>557</v>
      </c>
      <c r="B560" s="3489" t="s">
        <v>3464</v>
      </c>
      <c r="C560" s="3492">
        <v>2143</v>
      </c>
      <c r="D560" s="3494">
        <v>36.79</v>
      </c>
      <c r="E560" s="3505" t="s">
        <v>3476</v>
      </c>
    </row>
    <row r="561" spans="1:5" ht="15.75">
      <c r="A561" s="3510">
        <v>558</v>
      </c>
      <c r="B561" s="3489" t="s">
        <v>3464</v>
      </c>
      <c r="C561" s="3492">
        <v>2144</v>
      </c>
      <c r="D561" s="3494">
        <v>37.01</v>
      </c>
      <c r="E561" s="3505" t="s">
        <v>3476</v>
      </c>
    </row>
    <row r="562" spans="1:5" ht="15.75">
      <c r="A562" s="3510">
        <v>559</v>
      </c>
      <c r="B562" s="3489" t="s">
        <v>3464</v>
      </c>
      <c r="C562" s="3490">
        <v>2145</v>
      </c>
      <c r="D562" s="3491">
        <v>34.19</v>
      </c>
      <c r="E562" s="3505" t="s">
        <v>3476</v>
      </c>
    </row>
    <row r="563" spans="1:5" ht="15.75">
      <c r="A563" s="3510">
        <v>560</v>
      </c>
      <c r="B563" s="3489" t="s">
        <v>3464</v>
      </c>
      <c r="C563" s="3490">
        <v>2146</v>
      </c>
      <c r="D563" s="3491">
        <v>36.979999999999997</v>
      </c>
      <c r="E563" s="3505" t="s">
        <v>3476</v>
      </c>
    </row>
    <row r="564" spans="1:5" ht="15.75">
      <c r="A564" s="3510">
        <v>561</v>
      </c>
      <c r="B564" s="3489" t="s">
        <v>3464</v>
      </c>
      <c r="C564" s="3492">
        <v>2147</v>
      </c>
      <c r="D564" s="3494">
        <v>37.01</v>
      </c>
      <c r="E564" s="3505" t="s">
        <v>3476</v>
      </c>
    </row>
    <row r="565" spans="1:5" ht="15.75">
      <c r="A565" s="3510">
        <v>562</v>
      </c>
      <c r="B565" s="3489" t="s">
        <v>3464</v>
      </c>
      <c r="C565" s="3490">
        <v>2148</v>
      </c>
      <c r="D565" s="3491">
        <v>34.19</v>
      </c>
      <c r="E565" s="3505" t="s">
        <v>3476</v>
      </c>
    </row>
    <row r="566" spans="1:5" ht="15.75">
      <c r="A566" s="3510">
        <v>563</v>
      </c>
      <c r="B566" s="3489" t="s">
        <v>3464</v>
      </c>
      <c r="C566" s="3490">
        <v>2149</v>
      </c>
      <c r="D566" s="3491">
        <v>36.979999999999997</v>
      </c>
      <c r="E566" s="3505" t="s">
        <v>3476</v>
      </c>
    </row>
    <row r="567" spans="1:5" ht="15.75">
      <c r="A567" s="3510">
        <v>564</v>
      </c>
      <c r="B567" s="3489" t="s">
        <v>3464</v>
      </c>
      <c r="C567" s="3490">
        <v>2150</v>
      </c>
      <c r="D567" s="3491">
        <v>36.79</v>
      </c>
      <c r="E567" s="3505" t="s">
        <v>3476</v>
      </c>
    </row>
    <row r="568" spans="1:5" ht="15.75">
      <c r="A568" s="3510">
        <v>565</v>
      </c>
      <c r="B568" s="3489" t="s">
        <v>3464</v>
      </c>
      <c r="C568" s="3490">
        <v>2151</v>
      </c>
      <c r="D568" s="3491">
        <v>34.19</v>
      </c>
      <c r="E568" s="3505" t="s">
        <v>3476</v>
      </c>
    </row>
    <row r="569" spans="1:5" ht="15.75">
      <c r="A569" s="3510">
        <v>566</v>
      </c>
      <c r="B569" s="3489" t="s">
        <v>3464</v>
      </c>
      <c r="C569" s="3492">
        <v>2152</v>
      </c>
      <c r="D569" s="3494">
        <v>36.79</v>
      </c>
      <c r="E569" s="3505" t="s">
        <v>3476</v>
      </c>
    </row>
    <row r="570" spans="1:5" ht="15.75">
      <c r="A570" s="3510">
        <v>567</v>
      </c>
      <c r="B570" s="3489" t="s">
        <v>3464</v>
      </c>
      <c r="C570" s="3490">
        <v>2153</v>
      </c>
      <c r="D570" s="3491">
        <v>37.06</v>
      </c>
      <c r="E570" s="3505" t="s">
        <v>3476</v>
      </c>
    </row>
    <row r="571" spans="1:5" ht="15.75">
      <c r="A571" s="3510">
        <v>568</v>
      </c>
      <c r="B571" s="3489" t="s">
        <v>3464</v>
      </c>
      <c r="C571" s="3490">
        <v>2154</v>
      </c>
      <c r="D571" s="3491">
        <v>34.19</v>
      </c>
      <c r="E571" s="3505" t="s">
        <v>3476</v>
      </c>
    </row>
    <row r="572" spans="1:5" ht="15.75">
      <c r="A572" s="3510">
        <v>569</v>
      </c>
      <c r="B572" s="3489" t="s">
        <v>3464</v>
      </c>
      <c r="C572" s="3490">
        <v>2155</v>
      </c>
      <c r="D572" s="3491">
        <v>36.93</v>
      </c>
      <c r="E572" s="3505" t="s">
        <v>3476</v>
      </c>
    </row>
    <row r="573" spans="1:5" ht="15.75">
      <c r="A573" s="3510">
        <v>570</v>
      </c>
      <c r="B573" s="3489" t="s">
        <v>3464</v>
      </c>
      <c r="C573" s="3490">
        <v>2156</v>
      </c>
      <c r="D573" s="3491">
        <v>36.979999999999997</v>
      </c>
      <c r="E573" s="3505" t="s">
        <v>3476</v>
      </c>
    </row>
    <row r="574" spans="1:5" ht="15.75">
      <c r="A574" s="3510">
        <v>571</v>
      </c>
      <c r="B574" s="3489" t="s">
        <v>3464</v>
      </c>
      <c r="C574" s="3490">
        <v>2157</v>
      </c>
      <c r="D574" s="3491">
        <v>34.19</v>
      </c>
      <c r="E574" s="3505" t="s">
        <v>3476</v>
      </c>
    </row>
    <row r="575" spans="1:5" ht="15.75">
      <c r="A575" s="3510">
        <v>572</v>
      </c>
      <c r="B575" s="3489" t="s">
        <v>3464</v>
      </c>
      <c r="C575" s="3490">
        <v>2158</v>
      </c>
      <c r="D575" s="3491">
        <v>37.01</v>
      </c>
      <c r="E575" s="3505" t="s">
        <v>3476</v>
      </c>
    </row>
    <row r="576" spans="1:5" ht="15.75">
      <c r="A576" s="3510">
        <v>573</v>
      </c>
      <c r="B576" s="3489" t="s">
        <v>3464</v>
      </c>
      <c r="C576" s="3490">
        <v>2159</v>
      </c>
      <c r="D576" s="3491">
        <v>36.979999999999997</v>
      </c>
      <c r="E576" s="3505" t="s">
        <v>3476</v>
      </c>
    </row>
    <row r="577" spans="1:5" ht="15.75">
      <c r="A577" s="3510">
        <v>574</v>
      </c>
      <c r="B577" s="3489" t="s">
        <v>3464</v>
      </c>
      <c r="C577" s="3490">
        <v>2160</v>
      </c>
      <c r="D577" s="3491">
        <v>34.19</v>
      </c>
      <c r="E577" s="3505" t="s">
        <v>3476</v>
      </c>
    </row>
    <row r="578" spans="1:5" ht="15.75">
      <c r="A578" s="3510">
        <v>575</v>
      </c>
      <c r="B578" s="3489" t="s">
        <v>3464</v>
      </c>
      <c r="C578" s="3490">
        <v>2161</v>
      </c>
      <c r="D578" s="3491">
        <v>37.01</v>
      </c>
      <c r="E578" s="3505" t="s">
        <v>3476</v>
      </c>
    </row>
    <row r="579" spans="1:5" ht="15.75">
      <c r="A579" s="3510">
        <v>576</v>
      </c>
      <c r="B579" s="3489" t="s">
        <v>3464</v>
      </c>
      <c r="C579" s="3490">
        <v>2162</v>
      </c>
      <c r="D579" s="3491">
        <v>36.79</v>
      </c>
      <c r="E579" s="3505" t="s">
        <v>3476</v>
      </c>
    </row>
    <row r="580" spans="1:5" ht="15.75">
      <c r="A580" s="3510">
        <v>577</v>
      </c>
      <c r="B580" s="3489" t="s">
        <v>3464</v>
      </c>
      <c r="C580" s="3490">
        <v>2163</v>
      </c>
      <c r="D580" s="3491">
        <v>34.33</v>
      </c>
      <c r="E580" s="3505" t="s">
        <v>3476</v>
      </c>
    </row>
    <row r="581" spans="1:5" ht="15.75">
      <c r="A581" s="3510">
        <v>578</v>
      </c>
      <c r="B581" s="3489" t="s">
        <v>3464</v>
      </c>
      <c r="C581" s="3490">
        <v>2164</v>
      </c>
      <c r="D581" s="3491">
        <v>36.79</v>
      </c>
      <c r="E581" s="3505" t="s">
        <v>3476</v>
      </c>
    </row>
    <row r="582" spans="1:5" ht="15.75">
      <c r="A582" s="3510">
        <v>579</v>
      </c>
      <c r="B582" s="3489" t="s">
        <v>3464</v>
      </c>
      <c r="C582" s="3490">
        <v>2165</v>
      </c>
      <c r="D582" s="3491">
        <v>36.39</v>
      </c>
      <c r="E582" s="3505" t="s">
        <v>3476</v>
      </c>
    </row>
    <row r="583" spans="1:5" ht="15.75">
      <c r="A583" s="3510">
        <v>580</v>
      </c>
      <c r="B583" s="3489" t="s">
        <v>3464</v>
      </c>
      <c r="C583" s="3490">
        <v>2166</v>
      </c>
      <c r="D583" s="3491">
        <v>34.19</v>
      </c>
      <c r="E583" s="3505" t="s">
        <v>3476</v>
      </c>
    </row>
    <row r="584" spans="1:5" ht="15.75">
      <c r="A584" s="3510">
        <v>581</v>
      </c>
      <c r="B584" s="3489" t="s">
        <v>3464</v>
      </c>
      <c r="C584" s="3490">
        <v>2167</v>
      </c>
      <c r="D584" s="3491">
        <v>36.79</v>
      </c>
      <c r="E584" s="3505" t="s">
        <v>3476</v>
      </c>
    </row>
    <row r="585" spans="1:5" ht="15.75">
      <c r="A585" s="3510">
        <v>582</v>
      </c>
      <c r="B585" s="3489" t="s">
        <v>3464</v>
      </c>
      <c r="C585" s="3490">
        <v>2168</v>
      </c>
      <c r="D585" s="3491">
        <v>35.979999999999997</v>
      </c>
      <c r="E585" s="3505" t="s">
        <v>3476</v>
      </c>
    </row>
    <row r="586" spans="1:5" ht="15.75">
      <c r="A586" s="3510">
        <v>583</v>
      </c>
      <c r="B586" s="3489" t="s">
        <v>3464</v>
      </c>
      <c r="C586" s="3490">
        <v>2169</v>
      </c>
      <c r="D586" s="3491">
        <v>35.93</v>
      </c>
      <c r="E586" s="3505" t="s">
        <v>3476</v>
      </c>
    </row>
    <row r="587" spans="1:5" ht="15.75">
      <c r="A587" s="3510">
        <v>584</v>
      </c>
      <c r="B587" s="3489" t="s">
        <v>3464</v>
      </c>
      <c r="C587" s="3490">
        <v>2170</v>
      </c>
      <c r="D587" s="3491">
        <v>36.79</v>
      </c>
      <c r="E587" s="3505" t="s">
        <v>3476</v>
      </c>
    </row>
    <row r="588" spans="1:5" ht="15.75">
      <c r="A588" s="3510">
        <v>585</v>
      </c>
      <c r="B588" s="3489" t="s">
        <v>3464</v>
      </c>
      <c r="C588" s="3490">
        <v>2171</v>
      </c>
      <c r="D588" s="3491">
        <v>34.19</v>
      </c>
      <c r="E588" s="3505" t="s">
        <v>3476</v>
      </c>
    </row>
    <row r="589" spans="1:5" ht="15.75">
      <c r="A589" s="3510">
        <v>586</v>
      </c>
      <c r="B589" s="3489" t="s">
        <v>3464</v>
      </c>
      <c r="C589" s="3490">
        <v>2172</v>
      </c>
      <c r="D589" s="3491">
        <v>36.79</v>
      </c>
      <c r="E589" s="3505" t="s">
        <v>3476</v>
      </c>
    </row>
    <row r="590" spans="1:5" ht="15.75">
      <c r="A590" s="3510">
        <v>587</v>
      </c>
      <c r="B590" s="3489" t="s">
        <v>3464</v>
      </c>
      <c r="C590" s="3490">
        <v>2173</v>
      </c>
      <c r="D590" s="3491">
        <v>36.79</v>
      </c>
      <c r="E590" s="3505" t="s">
        <v>3476</v>
      </c>
    </row>
    <row r="591" spans="1:5" ht="15.75">
      <c r="A591" s="3510">
        <v>588</v>
      </c>
      <c r="B591" s="3489" t="s">
        <v>3464</v>
      </c>
      <c r="C591" s="3490">
        <v>2174</v>
      </c>
      <c r="D591" s="3491">
        <v>34.19</v>
      </c>
      <c r="E591" s="3505" t="s">
        <v>3476</v>
      </c>
    </row>
    <row r="592" spans="1:5" ht="15.75">
      <c r="A592" s="3510">
        <v>589</v>
      </c>
      <c r="B592" s="3489" t="s">
        <v>3464</v>
      </c>
      <c r="C592" s="3490">
        <v>2175</v>
      </c>
      <c r="D592" s="3491">
        <v>36.79</v>
      </c>
      <c r="E592" s="3505" t="s">
        <v>3476</v>
      </c>
    </row>
    <row r="593" spans="1:5" ht="15.75">
      <c r="A593" s="3510">
        <v>590</v>
      </c>
      <c r="B593" s="3489" t="s">
        <v>3464</v>
      </c>
      <c r="C593" s="3490">
        <v>2176</v>
      </c>
      <c r="D593" s="3491">
        <v>36.79</v>
      </c>
      <c r="E593" s="3505" t="s">
        <v>3476</v>
      </c>
    </row>
    <row r="594" spans="1:5" ht="15.75">
      <c r="A594" s="3510">
        <v>591</v>
      </c>
      <c r="B594" s="3489" t="s">
        <v>3464</v>
      </c>
      <c r="C594" s="3490">
        <v>2177</v>
      </c>
      <c r="D594" s="3491">
        <v>34.19</v>
      </c>
      <c r="E594" s="3505" t="s">
        <v>3476</v>
      </c>
    </row>
    <row r="595" spans="1:5" ht="15.75">
      <c r="A595" s="3510">
        <v>592</v>
      </c>
      <c r="B595" s="3489" t="s">
        <v>3464</v>
      </c>
      <c r="C595" s="3490">
        <v>2178</v>
      </c>
      <c r="D595" s="3491">
        <v>36.79</v>
      </c>
      <c r="E595" s="3505" t="s">
        <v>3476</v>
      </c>
    </row>
    <row r="596" spans="1:5" ht="15.75">
      <c r="A596" s="3510">
        <v>593</v>
      </c>
      <c r="B596" s="3489" t="s">
        <v>3464</v>
      </c>
      <c r="C596" s="3490">
        <v>2179</v>
      </c>
      <c r="D596" s="3491">
        <v>36.79</v>
      </c>
      <c r="E596" s="3505" t="s">
        <v>3476</v>
      </c>
    </row>
    <row r="597" spans="1:5" ht="15.75">
      <c r="A597" s="3510">
        <v>594</v>
      </c>
      <c r="B597" s="3489" t="s">
        <v>3464</v>
      </c>
      <c r="C597" s="3490">
        <v>2180</v>
      </c>
      <c r="D597" s="3491">
        <v>34.19</v>
      </c>
      <c r="E597" s="3505" t="s">
        <v>3476</v>
      </c>
    </row>
    <row r="598" spans="1:5" ht="15.75">
      <c r="A598" s="3510">
        <v>595</v>
      </c>
      <c r="B598" s="3489" t="s">
        <v>3464</v>
      </c>
      <c r="C598" s="3490">
        <v>2181</v>
      </c>
      <c r="D598" s="3491">
        <v>36.79</v>
      </c>
      <c r="E598" s="3505" t="s">
        <v>3476</v>
      </c>
    </row>
    <row r="599" spans="1:5" ht="15.75">
      <c r="A599" s="3510">
        <v>596</v>
      </c>
      <c r="B599" s="3489" t="s">
        <v>3464</v>
      </c>
      <c r="C599" s="3490">
        <v>2182</v>
      </c>
      <c r="D599" s="3491">
        <v>36.79</v>
      </c>
      <c r="E599" s="3505" t="s">
        <v>3476</v>
      </c>
    </row>
    <row r="600" spans="1:5" ht="15.75">
      <c r="A600" s="3510">
        <v>597</v>
      </c>
      <c r="B600" s="3489" t="s">
        <v>3464</v>
      </c>
      <c r="C600" s="3490">
        <v>2183</v>
      </c>
      <c r="D600" s="3491">
        <v>34.19</v>
      </c>
      <c r="E600" s="3505" t="s">
        <v>3476</v>
      </c>
    </row>
    <row r="601" spans="1:5" ht="15.75">
      <c r="A601" s="3510">
        <v>598</v>
      </c>
      <c r="B601" s="3489" t="s">
        <v>3464</v>
      </c>
      <c r="C601" s="3490">
        <v>2184</v>
      </c>
      <c r="D601" s="3491">
        <v>36.79</v>
      </c>
      <c r="E601" s="3505" t="s">
        <v>3476</v>
      </c>
    </row>
    <row r="602" spans="1:5" ht="15.75">
      <c r="A602" s="3510">
        <v>599</v>
      </c>
      <c r="B602" s="3489" t="s">
        <v>3464</v>
      </c>
      <c r="C602" s="3490">
        <v>2185</v>
      </c>
      <c r="D602" s="3491">
        <v>36.79</v>
      </c>
      <c r="E602" s="3505" t="s">
        <v>3476</v>
      </c>
    </row>
    <row r="603" spans="1:5" ht="15.75">
      <c r="A603" s="3510">
        <v>600</v>
      </c>
      <c r="B603" s="3489" t="s">
        <v>3464</v>
      </c>
      <c r="C603" s="3490">
        <v>2186</v>
      </c>
      <c r="D603" s="3491">
        <v>34.19</v>
      </c>
      <c r="E603" s="3505" t="s">
        <v>3476</v>
      </c>
    </row>
    <row r="604" spans="1:5" ht="15.75">
      <c r="A604" s="3510">
        <v>601</v>
      </c>
      <c r="B604" s="3489" t="s">
        <v>3464</v>
      </c>
      <c r="C604" s="3490">
        <v>2187</v>
      </c>
      <c r="D604" s="3491">
        <v>36.39</v>
      </c>
      <c r="E604" s="3505" t="s">
        <v>3476</v>
      </c>
    </row>
    <row r="605" spans="1:5" ht="15.75">
      <c r="A605" s="3510">
        <v>602</v>
      </c>
      <c r="B605" s="3489" t="s">
        <v>3464</v>
      </c>
      <c r="C605" s="3490">
        <v>2188</v>
      </c>
      <c r="D605" s="3494">
        <v>36.79</v>
      </c>
      <c r="E605" s="3505" t="s">
        <v>3476</v>
      </c>
    </row>
    <row r="606" spans="1:5" ht="15.75">
      <c r="A606" s="3510">
        <v>603</v>
      </c>
      <c r="B606" s="3489" t="s">
        <v>3464</v>
      </c>
      <c r="C606" s="3490">
        <v>2189</v>
      </c>
      <c r="D606" s="3491">
        <v>34.19</v>
      </c>
      <c r="E606" s="3505" t="s">
        <v>3476</v>
      </c>
    </row>
    <row r="607" spans="1:5" ht="15.75">
      <c r="A607" s="3510">
        <v>604</v>
      </c>
      <c r="B607" s="3489" t="s">
        <v>3464</v>
      </c>
      <c r="C607" s="3490">
        <v>2190</v>
      </c>
      <c r="D607" s="3491">
        <v>36.79</v>
      </c>
      <c r="E607" s="3505" t="s">
        <v>3476</v>
      </c>
    </row>
    <row r="608" spans="1:5" ht="15.75">
      <c r="A608" s="3510">
        <v>605</v>
      </c>
      <c r="B608" s="3489" t="s">
        <v>3464</v>
      </c>
      <c r="C608" s="3490">
        <v>2191</v>
      </c>
      <c r="D608" s="3491">
        <v>36.79</v>
      </c>
      <c r="E608" s="3505" t="s">
        <v>3476</v>
      </c>
    </row>
    <row r="609" spans="1:5" ht="15.75">
      <c r="A609" s="3510">
        <v>606</v>
      </c>
      <c r="B609" s="3489" t="s">
        <v>3464</v>
      </c>
      <c r="C609" s="3490">
        <v>2192</v>
      </c>
      <c r="D609" s="3491">
        <v>34.19</v>
      </c>
      <c r="E609" s="3505" t="s">
        <v>3476</v>
      </c>
    </row>
    <row r="610" spans="1:5" ht="15.75">
      <c r="A610" s="3510">
        <v>607</v>
      </c>
      <c r="B610" s="3489" t="s">
        <v>3464</v>
      </c>
      <c r="C610" s="3490">
        <v>2193</v>
      </c>
      <c r="D610" s="3491">
        <v>36.79</v>
      </c>
      <c r="E610" s="3505" t="s">
        <v>3476</v>
      </c>
    </row>
    <row r="611" spans="1:5" ht="15.75">
      <c r="A611" s="3510">
        <v>608</v>
      </c>
      <c r="B611" s="3489" t="s">
        <v>3464</v>
      </c>
      <c r="C611" s="3490">
        <v>2194</v>
      </c>
      <c r="D611" s="3491">
        <v>36.79</v>
      </c>
      <c r="E611" s="3505" t="s">
        <v>3476</v>
      </c>
    </row>
    <row r="612" spans="1:5" ht="15.75">
      <c r="A612" s="3510">
        <v>609</v>
      </c>
      <c r="B612" s="3489" t="s">
        <v>3464</v>
      </c>
      <c r="C612" s="3490">
        <v>2195</v>
      </c>
      <c r="D612" s="3491">
        <v>34.19</v>
      </c>
      <c r="E612" s="3505" t="s">
        <v>3476</v>
      </c>
    </row>
    <row r="613" spans="1:5" ht="15.75">
      <c r="A613" s="3510">
        <v>610</v>
      </c>
      <c r="B613" s="3489" t="s">
        <v>3464</v>
      </c>
      <c r="C613" s="3492">
        <v>2196</v>
      </c>
      <c r="D613" s="3494">
        <v>36.79</v>
      </c>
      <c r="E613" s="3505" t="s">
        <v>3476</v>
      </c>
    </row>
    <row r="614" spans="1:5" ht="15.75">
      <c r="A614" s="3510">
        <v>611</v>
      </c>
      <c r="B614" s="3489" t="s">
        <v>3464</v>
      </c>
      <c r="C614" s="3490">
        <v>2197</v>
      </c>
      <c r="D614" s="3491">
        <v>36.79</v>
      </c>
      <c r="E614" s="3505" t="s">
        <v>3476</v>
      </c>
    </row>
    <row r="615" spans="1:5" ht="15.75">
      <c r="A615" s="3510">
        <v>612</v>
      </c>
      <c r="B615" s="3489" t="s">
        <v>3464</v>
      </c>
      <c r="C615" s="3490">
        <v>2198</v>
      </c>
      <c r="D615" s="3491">
        <v>34.19</v>
      </c>
      <c r="E615" s="3505" t="s">
        <v>3476</v>
      </c>
    </row>
    <row r="616" spans="1:5" ht="15.75">
      <c r="A616" s="3510">
        <v>613</v>
      </c>
      <c r="B616" s="3489" t="s">
        <v>3464</v>
      </c>
      <c r="C616" s="3490">
        <v>2199</v>
      </c>
      <c r="D616" s="3491">
        <v>36.79</v>
      </c>
      <c r="E616" s="3505" t="s">
        <v>3476</v>
      </c>
    </row>
    <row r="617" spans="1:5" ht="15.75">
      <c r="A617" s="3510">
        <v>614</v>
      </c>
      <c r="B617" s="3489" t="s">
        <v>3464</v>
      </c>
      <c r="C617" s="3490">
        <v>2200</v>
      </c>
      <c r="D617" s="3491">
        <v>35.93</v>
      </c>
      <c r="E617" s="3505" t="s">
        <v>3476</v>
      </c>
    </row>
    <row r="618" spans="1:5" ht="15.75">
      <c r="A618" s="3510">
        <v>615</v>
      </c>
      <c r="B618" s="3489" t="s">
        <v>3464</v>
      </c>
      <c r="C618" s="3490">
        <v>2201</v>
      </c>
      <c r="D618" s="3491">
        <v>35.93</v>
      </c>
      <c r="E618" s="3505" t="s">
        <v>3476</v>
      </c>
    </row>
    <row r="619" spans="1:5" ht="15.75">
      <c r="A619" s="3510">
        <v>616</v>
      </c>
      <c r="B619" s="3489" t="s">
        <v>3464</v>
      </c>
      <c r="C619" s="3490">
        <v>2202</v>
      </c>
      <c r="D619" s="3491">
        <v>35.93</v>
      </c>
      <c r="E619" s="3505" t="s">
        <v>3476</v>
      </c>
    </row>
    <row r="620" spans="1:5" ht="15.75">
      <c r="A620" s="3510">
        <v>617</v>
      </c>
      <c r="B620" s="3489" t="s">
        <v>3464</v>
      </c>
      <c r="C620" s="3492">
        <v>2203</v>
      </c>
      <c r="D620" s="3494">
        <v>35.57</v>
      </c>
      <c r="E620" s="3505" t="s">
        <v>3476</v>
      </c>
    </row>
    <row r="621" spans="1:5" ht="15.75">
      <c r="A621" s="3510">
        <v>618</v>
      </c>
      <c r="B621" s="3489" t="s">
        <v>3464</v>
      </c>
      <c r="C621" s="3490">
        <v>2204</v>
      </c>
      <c r="D621" s="3491">
        <v>35.36</v>
      </c>
      <c r="E621" s="3505" t="s">
        <v>3476</v>
      </c>
    </row>
    <row r="622" spans="1:5" ht="15.75">
      <c r="A622" s="3510">
        <v>619</v>
      </c>
      <c r="B622" s="3489" t="s">
        <v>3464</v>
      </c>
      <c r="C622" s="3490">
        <v>2205</v>
      </c>
      <c r="D622" s="3491">
        <v>36.79</v>
      </c>
      <c r="E622" s="3505" t="s">
        <v>3476</v>
      </c>
    </row>
    <row r="623" spans="1:5" ht="15.75">
      <c r="A623" s="3510">
        <v>620</v>
      </c>
      <c r="B623" s="3489" t="s">
        <v>3464</v>
      </c>
      <c r="C623" s="3490">
        <v>2206</v>
      </c>
      <c r="D623" s="3491">
        <v>34.19</v>
      </c>
      <c r="E623" s="3505" t="s">
        <v>3476</v>
      </c>
    </row>
    <row r="624" spans="1:5" ht="15.75">
      <c r="A624" s="3510">
        <v>621</v>
      </c>
      <c r="B624" s="3489" t="s">
        <v>3464</v>
      </c>
      <c r="C624" s="3490">
        <v>2207</v>
      </c>
      <c r="D624" s="3491">
        <v>36.79</v>
      </c>
      <c r="E624" s="3505" t="s">
        <v>3476</v>
      </c>
    </row>
    <row r="625" spans="1:5" ht="15.75">
      <c r="A625" s="3510">
        <v>622</v>
      </c>
      <c r="B625" s="3489" t="s">
        <v>3464</v>
      </c>
      <c r="C625" s="3490">
        <v>2208</v>
      </c>
      <c r="D625" s="3491">
        <v>36.79</v>
      </c>
      <c r="E625" s="3505" t="s">
        <v>3476</v>
      </c>
    </row>
    <row r="626" spans="1:5" ht="15.75">
      <c r="A626" s="3510">
        <v>623</v>
      </c>
      <c r="B626" s="3489" t="s">
        <v>3464</v>
      </c>
      <c r="C626" s="3490">
        <v>2209</v>
      </c>
      <c r="D626" s="3491">
        <v>34.19</v>
      </c>
      <c r="E626" s="3505" t="s">
        <v>3476</v>
      </c>
    </row>
    <row r="627" spans="1:5" ht="15.75">
      <c r="A627" s="3510">
        <v>624</v>
      </c>
      <c r="B627" s="3489" t="s">
        <v>3464</v>
      </c>
      <c r="C627" s="3490">
        <v>2210</v>
      </c>
      <c r="D627" s="3491">
        <v>36.79</v>
      </c>
      <c r="E627" s="3505" t="s">
        <v>3476</v>
      </c>
    </row>
    <row r="628" spans="1:5" ht="15.75">
      <c r="A628" s="3510">
        <v>625</v>
      </c>
      <c r="B628" s="3489" t="s">
        <v>3464</v>
      </c>
      <c r="C628" s="3490">
        <v>2211</v>
      </c>
      <c r="D628" s="3491">
        <v>36.79</v>
      </c>
      <c r="E628" s="3505" t="s">
        <v>3476</v>
      </c>
    </row>
    <row r="629" spans="1:5" ht="15.75">
      <c r="A629" s="3510">
        <v>626</v>
      </c>
      <c r="B629" s="3489" t="s">
        <v>3464</v>
      </c>
      <c r="C629" s="3490">
        <v>2212</v>
      </c>
      <c r="D629" s="3491">
        <v>34.19</v>
      </c>
      <c r="E629" s="3505" t="s">
        <v>3476</v>
      </c>
    </row>
    <row r="630" spans="1:5" ht="15.75">
      <c r="A630" s="3510">
        <v>627</v>
      </c>
      <c r="B630" s="3489" t="s">
        <v>3464</v>
      </c>
      <c r="C630" s="3490">
        <v>2213</v>
      </c>
      <c r="D630" s="3491">
        <v>36.79</v>
      </c>
      <c r="E630" s="3505" t="s">
        <v>3476</v>
      </c>
    </row>
    <row r="631" spans="1:5" ht="15.75">
      <c r="A631" s="3510">
        <v>628</v>
      </c>
      <c r="B631" s="3489" t="s">
        <v>3464</v>
      </c>
      <c r="C631" s="3490">
        <v>2215</v>
      </c>
      <c r="D631" s="3491">
        <v>71.849999999999994</v>
      </c>
      <c r="E631" s="3505" t="s">
        <v>3476</v>
      </c>
    </row>
    <row r="632" spans="1:5" ht="15.75">
      <c r="A632" s="3510">
        <v>629</v>
      </c>
      <c r="B632" s="3489" t="s">
        <v>3464</v>
      </c>
      <c r="C632" s="3490">
        <v>2216</v>
      </c>
      <c r="D632" s="3491">
        <v>35.93</v>
      </c>
      <c r="E632" s="3505" t="s">
        <v>3476</v>
      </c>
    </row>
    <row r="633" spans="1:5" ht="15.75">
      <c r="A633" s="3510">
        <v>630</v>
      </c>
      <c r="B633" s="3489" t="s">
        <v>3464</v>
      </c>
      <c r="C633" s="3490">
        <v>2217</v>
      </c>
      <c r="D633" s="3491">
        <v>35.93</v>
      </c>
      <c r="E633" s="3505" t="s">
        <v>3476</v>
      </c>
    </row>
    <row r="634" spans="1:5" ht="15.75">
      <c r="A634" s="3510">
        <v>631</v>
      </c>
      <c r="B634" s="3489" t="s">
        <v>3464</v>
      </c>
      <c r="C634" s="3490">
        <v>2218</v>
      </c>
      <c r="D634" s="3491">
        <v>71.849999999999994</v>
      </c>
      <c r="E634" s="3505" t="s">
        <v>3476</v>
      </c>
    </row>
    <row r="635" spans="1:5" ht="15.75">
      <c r="A635" s="3510">
        <v>632</v>
      </c>
      <c r="B635" s="3489" t="s">
        <v>3464</v>
      </c>
      <c r="C635" s="3490">
        <v>2220</v>
      </c>
      <c r="D635" s="3491">
        <v>34.049999999999997</v>
      </c>
      <c r="E635" s="3505" t="s">
        <v>3476</v>
      </c>
    </row>
    <row r="636" spans="1:5" ht="15.75">
      <c r="A636" s="3510">
        <v>633</v>
      </c>
      <c r="B636" s="3489" t="s">
        <v>3464</v>
      </c>
      <c r="C636" s="3490">
        <v>2221</v>
      </c>
      <c r="D636" s="3491">
        <v>34.49</v>
      </c>
      <c r="E636" s="3505" t="s">
        <v>3476</v>
      </c>
    </row>
    <row r="637" spans="1:5" ht="15.75">
      <c r="A637" s="3510">
        <v>634</v>
      </c>
      <c r="B637" s="3489" t="s">
        <v>3464</v>
      </c>
      <c r="C637" s="3490">
        <v>2222</v>
      </c>
      <c r="D637" s="3491">
        <v>35.93</v>
      </c>
      <c r="E637" s="3505" t="s">
        <v>3476</v>
      </c>
    </row>
    <row r="638" spans="1:5" ht="15.75">
      <c r="A638" s="3510">
        <v>635</v>
      </c>
      <c r="B638" s="3489" t="s">
        <v>3464</v>
      </c>
      <c r="C638" s="3490">
        <v>2223</v>
      </c>
      <c r="D638" s="3491">
        <v>35.93</v>
      </c>
      <c r="E638" s="3505" t="s">
        <v>3476</v>
      </c>
    </row>
    <row r="639" spans="1:5" ht="15.75">
      <c r="A639" s="3510">
        <v>636</v>
      </c>
      <c r="B639" s="3489" t="s">
        <v>3464</v>
      </c>
      <c r="C639" s="3490">
        <v>2224</v>
      </c>
      <c r="D639" s="3491">
        <v>33.92</v>
      </c>
      <c r="E639" s="3505" t="s">
        <v>3476</v>
      </c>
    </row>
    <row r="640" spans="1:5" ht="15.75">
      <c r="A640" s="3510">
        <v>637</v>
      </c>
      <c r="B640" s="3489" t="s">
        <v>3464</v>
      </c>
      <c r="C640" s="3490">
        <v>2225</v>
      </c>
      <c r="D640" s="3491">
        <v>31.32</v>
      </c>
      <c r="E640" s="3505" t="s">
        <v>3476</v>
      </c>
    </row>
    <row r="641" spans="1:5" ht="15.75">
      <c r="A641" s="3510">
        <v>638</v>
      </c>
      <c r="B641" s="3489" t="s">
        <v>3464</v>
      </c>
      <c r="C641" s="3490">
        <v>2226</v>
      </c>
      <c r="D641" s="3491">
        <v>33.950000000000003</v>
      </c>
      <c r="E641" s="3505" t="s">
        <v>3476</v>
      </c>
    </row>
    <row r="642" spans="1:5" ht="15.75">
      <c r="A642" s="3510">
        <v>639</v>
      </c>
      <c r="B642" s="3489" t="s">
        <v>3464</v>
      </c>
      <c r="C642" s="3490">
        <v>2227</v>
      </c>
      <c r="D642" s="3491">
        <v>36.79</v>
      </c>
      <c r="E642" s="3505" t="s">
        <v>3476</v>
      </c>
    </row>
    <row r="643" spans="1:5" ht="15.75">
      <c r="A643" s="3510">
        <v>640</v>
      </c>
      <c r="B643" s="3489" t="s">
        <v>3464</v>
      </c>
      <c r="C643" s="3492">
        <v>2228</v>
      </c>
      <c r="D643" s="3494">
        <v>34.19</v>
      </c>
      <c r="E643" s="3505" t="s">
        <v>3476</v>
      </c>
    </row>
    <row r="644" spans="1:5" ht="15.75">
      <c r="A644" s="3510">
        <v>641</v>
      </c>
      <c r="B644" s="3489" t="s">
        <v>3464</v>
      </c>
      <c r="C644" s="3492">
        <v>2229</v>
      </c>
      <c r="D644" s="3494">
        <v>36.79</v>
      </c>
      <c r="E644" s="3505" t="s">
        <v>3476</v>
      </c>
    </row>
    <row r="645" spans="1:5" ht="15.75">
      <c r="A645" s="3510">
        <v>642</v>
      </c>
      <c r="B645" s="3489" t="s">
        <v>3464</v>
      </c>
      <c r="C645" s="3490">
        <v>2230</v>
      </c>
      <c r="D645" s="3491">
        <v>35.93</v>
      </c>
      <c r="E645" s="3505" t="s">
        <v>3476</v>
      </c>
    </row>
    <row r="646" spans="1:5" ht="15.75">
      <c r="A646" s="3510">
        <v>643</v>
      </c>
      <c r="B646" s="3489" t="s">
        <v>3464</v>
      </c>
      <c r="C646" s="3490">
        <v>2231</v>
      </c>
      <c r="D646" s="3491">
        <v>35.93</v>
      </c>
      <c r="E646" s="3505" t="s">
        <v>3476</v>
      </c>
    </row>
    <row r="647" spans="1:5" ht="15.75">
      <c r="A647" s="3510">
        <v>644</v>
      </c>
      <c r="B647" s="3489" t="s">
        <v>3464</v>
      </c>
      <c r="C647" s="3492">
        <v>2232</v>
      </c>
      <c r="D647" s="3494">
        <v>35.93</v>
      </c>
      <c r="E647" s="3505" t="s">
        <v>3476</v>
      </c>
    </row>
    <row r="648" spans="1:5" ht="15.75">
      <c r="A648" s="3510">
        <v>645</v>
      </c>
      <c r="B648" s="3489" t="s">
        <v>3464</v>
      </c>
      <c r="C648" s="3490">
        <v>2233</v>
      </c>
      <c r="D648" s="3491">
        <v>35.93</v>
      </c>
      <c r="E648" s="3505" t="s">
        <v>3476</v>
      </c>
    </row>
    <row r="649" spans="1:5" ht="15.75">
      <c r="A649" s="3510">
        <v>646</v>
      </c>
      <c r="B649" s="3489" t="s">
        <v>3464</v>
      </c>
      <c r="C649" s="3490">
        <v>2234</v>
      </c>
      <c r="D649" s="3491">
        <v>36.79</v>
      </c>
      <c r="E649" s="3505" t="s">
        <v>3476</v>
      </c>
    </row>
    <row r="650" spans="1:5" ht="15.75">
      <c r="A650" s="3510">
        <v>647</v>
      </c>
      <c r="B650" s="3489" t="s">
        <v>3464</v>
      </c>
      <c r="C650" s="3492">
        <v>2235</v>
      </c>
      <c r="D650" s="3494">
        <v>34.19</v>
      </c>
      <c r="E650" s="3505" t="s">
        <v>3476</v>
      </c>
    </row>
    <row r="651" spans="1:5" ht="15.75">
      <c r="A651" s="3510">
        <v>648</v>
      </c>
      <c r="B651" s="3489" t="s">
        <v>3464</v>
      </c>
      <c r="C651" s="3490">
        <v>2236</v>
      </c>
      <c r="D651" s="3491">
        <v>36.79</v>
      </c>
      <c r="E651" s="3505" t="s">
        <v>3476</v>
      </c>
    </row>
    <row r="652" spans="1:5" ht="15.75">
      <c r="A652" s="3510">
        <v>649</v>
      </c>
      <c r="B652" s="3489" t="s">
        <v>3464</v>
      </c>
      <c r="C652" s="3490">
        <v>2237</v>
      </c>
      <c r="D652" s="3491">
        <v>35.93</v>
      </c>
      <c r="E652" s="3505" t="s">
        <v>3476</v>
      </c>
    </row>
    <row r="653" spans="1:5" ht="15.75">
      <c r="A653" s="3510">
        <v>650</v>
      </c>
      <c r="B653" s="3489" t="s">
        <v>3464</v>
      </c>
      <c r="C653" s="3490">
        <v>2238</v>
      </c>
      <c r="D653" s="3491">
        <v>35.93</v>
      </c>
      <c r="E653" s="3505" t="s">
        <v>3476</v>
      </c>
    </row>
    <row r="654" spans="1:5" ht="15.75">
      <c r="A654" s="3510">
        <v>651</v>
      </c>
      <c r="B654" s="3489" t="s">
        <v>3464</v>
      </c>
      <c r="C654" s="3490">
        <v>2239</v>
      </c>
      <c r="D654" s="3491">
        <v>35.93</v>
      </c>
      <c r="E654" s="3505" t="s">
        <v>3476</v>
      </c>
    </row>
    <row r="655" spans="1:5" ht="15.75">
      <c r="A655" s="3510">
        <v>652</v>
      </c>
      <c r="B655" s="3489" t="s">
        <v>3464</v>
      </c>
      <c r="C655" s="3490">
        <v>2240</v>
      </c>
      <c r="D655" s="3491">
        <v>35.93</v>
      </c>
      <c r="E655" s="3505" t="s">
        <v>3476</v>
      </c>
    </row>
    <row r="656" spans="1:5" ht="15.75">
      <c r="A656" s="3510">
        <v>653</v>
      </c>
      <c r="B656" s="3489" t="s">
        <v>3464</v>
      </c>
      <c r="C656" s="3490">
        <v>2241</v>
      </c>
      <c r="D656" s="3491">
        <v>35.93</v>
      </c>
      <c r="E656" s="3505" t="s">
        <v>3476</v>
      </c>
    </row>
    <row r="657" spans="1:5" ht="15.75">
      <c r="A657" s="3510">
        <v>654</v>
      </c>
      <c r="B657" s="3489" t="s">
        <v>3464</v>
      </c>
      <c r="C657" s="3490">
        <v>2242</v>
      </c>
      <c r="D657" s="3491">
        <v>35.93</v>
      </c>
      <c r="E657" s="3505" t="s">
        <v>3476</v>
      </c>
    </row>
    <row r="658" spans="1:5" ht="15.75">
      <c r="A658" s="3510">
        <v>655</v>
      </c>
      <c r="B658" s="3489" t="s">
        <v>3464</v>
      </c>
      <c r="C658" s="3490">
        <v>2243</v>
      </c>
      <c r="D658" s="3491">
        <v>36.06</v>
      </c>
      <c r="E658" s="3505" t="s">
        <v>3476</v>
      </c>
    </row>
    <row r="659" spans="1:5" ht="15.75">
      <c r="A659" s="3510">
        <v>656</v>
      </c>
      <c r="B659" s="3489" t="s">
        <v>3464</v>
      </c>
      <c r="C659" s="3492">
        <v>2244</v>
      </c>
      <c r="D659" s="3494">
        <v>35.93</v>
      </c>
      <c r="E659" s="3505" t="s">
        <v>3476</v>
      </c>
    </row>
    <row r="660" spans="1:5" ht="15.75">
      <c r="A660" s="3510">
        <v>657</v>
      </c>
      <c r="B660" s="3489" t="s">
        <v>3464</v>
      </c>
      <c r="C660" s="3490">
        <v>2245</v>
      </c>
      <c r="D660" s="3491">
        <v>35.93</v>
      </c>
      <c r="E660" s="3505" t="s">
        <v>3476</v>
      </c>
    </row>
    <row r="661" spans="1:5" ht="15.75">
      <c r="A661" s="3510">
        <v>658</v>
      </c>
      <c r="B661" s="3489" t="s">
        <v>3464</v>
      </c>
      <c r="C661" s="3490">
        <v>2246</v>
      </c>
      <c r="D661" s="3491">
        <v>36.33</v>
      </c>
      <c r="E661" s="3505" t="s">
        <v>3476</v>
      </c>
    </row>
    <row r="662" spans="1:5" ht="15.75">
      <c r="A662" s="3510">
        <v>659</v>
      </c>
      <c r="B662" s="3489" t="s">
        <v>3464</v>
      </c>
      <c r="C662" s="3490">
        <v>2247</v>
      </c>
      <c r="D662" s="3491">
        <v>35.93</v>
      </c>
      <c r="E662" s="3505" t="s">
        <v>3476</v>
      </c>
    </row>
    <row r="663" spans="1:5" ht="15.75">
      <c r="A663" s="3510">
        <v>660</v>
      </c>
      <c r="B663" s="3489" t="s">
        <v>3464</v>
      </c>
      <c r="C663" s="3490">
        <v>2248</v>
      </c>
      <c r="D663" s="3491">
        <v>23.86</v>
      </c>
      <c r="E663" s="3505" t="s">
        <v>3476</v>
      </c>
    </row>
    <row r="664" spans="1:5" ht="15.75">
      <c r="A664" s="3510">
        <v>661</v>
      </c>
      <c r="B664" s="3489" t="s">
        <v>3464</v>
      </c>
      <c r="C664" s="3490">
        <v>2249</v>
      </c>
      <c r="D664" s="3491">
        <v>34.299999999999997</v>
      </c>
      <c r="E664" s="3505" t="s">
        <v>3476</v>
      </c>
    </row>
    <row r="665" spans="1:5" ht="15.75">
      <c r="A665" s="3510">
        <v>662</v>
      </c>
      <c r="B665" s="3489" t="s">
        <v>3464</v>
      </c>
      <c r="C665" s="3490">
        <v>2250</v>
      </c>
      <c r="D665" s="3491">
        <v>35.11</v>
      </c>
      <c r="E665" s="3505" t="s">
        <v>3476</v>
      </c>
    </row>
    <row r="666" spans="1:5" ht="15.75">
      <c r="A666" s="3510">
        <v>663</v>
      </c>
      <c r="B666" s="3489" t="s">
        <v>3464</v>
      </c>
      <c r="C666" s="3490">
        <v>2251</v>
      </c>
      <c r="D666" s="3491">
        <v>71.06</v>
      </c>
      <c r="E666" s="3505" t="s">
        <v>3476</v>
      </c>
    </row>
    <row r="667" spans="1:5" ht="15.75">
      <c r="A667" s="3510">
        <v>664</v>
      </c>
      <c r="B667" s="3489" t="s">
        <v>3464</v>
      </c>
      <c r="C667" s="3492">
        <v>2253</v>
      </c>
      <c r="D667" s="3491">
        <v>66.08</v>
      </c>
      <c r="E667" s="3505" t="s">
        <v>3476</v>
      </c>
    </row>
    <row r="668" spans="1:5" ht="15.75">
      <c r="A668" s="3510">
        <v>665</v>
      </c>
      <c r="B668" s="3489" t="s">
        <v>3464</v>
      </c>
      <c r="C668" s="3490">
        <v>2255</v>
      </c>
      <c r="D668" s="3491">
        <v>35.950000000000003</v>
      </c>
      <c r="E668" s="3505" t="s">
        <v>3476</v>
      </c>
    </row>
    <row r="669" spans="1:5" ht="15.75">
      <c r="A669" s="3510">
        <v>666</v>
      </c>
      <c r="B669" s="3489" t="s">
        <v>3464</v>
      </c>
      <c r="C669" s="3490">
        <v>2256</v>
      </c>
      <c r="D669" s="3491">
        <v>35.11</v>
      </c>
      <c r="E669" s="3505" t="s">
        <v>3476</v>
      </c>
    </row>
    <row r="670" spans="1:5" ht="15.75">
      <c r="A670" s="3510">
        <v>667</v>
      </c>
      <c r="B670" s="3489" t="s">
        <v>3464</v>
      </c>
      <c r="C670" s="3490">
        <v>2257</v>
      </c>
      <c r="D670" s="3491">
        <v>34.71</v>
      </c>
      <c r="E670" s="3505" t="s">
        <v>3476</v>
      </c>
    </row>
    <row r="671" spans="1:5" ht="15.75">
      <c r="A671" s="3510">
        <v>668</v>
      </c>
      <c r="B671" s="3489" t="s">
        <v>3464</v>
      </c>
      <c r="C671" s="3490">
        <v>2258</v>
      </c>
      <c r="D671" s="3491">
        <v>37.04</v>
      </c>
      <c r="E671" s="3505" t="s">
        <v>3476</v>
      </c>
    </row>
    <row r="672" spans="1:5" ht="15.75">
      <c r="A672" s="3510">
        <v>669</v>
      </c>
      <c r="B672" s="3489" t="s">
        <v>3464</v>
      </c>
      <c r="C672" s="3490">
        <v>2259</v>
      </c>
      <c r="D672" s="3491">
        <v>66.459999999999994</v>
      </c>
      <c r="E672" s="3505" t="s">
        <v>3476</v>
      </c>
    </row>
    <row r="673" spans="1:5" ht="15.75">
      <c r="A673" s="3510">
        <v>670</v>
      </c>
      <c r="B673" s="3489" t="s">
        <v>3464</v>
      </c>
      <c r="C673" s="3490">
        <v>2261</v>
      </c>
      <c r="D673" s="3491">
        <v>34.71</v>
      </c>
      <c r="E673" s="3505" t="s">
        <v>3476</v>
      </c>
    </row>
    <row r="674" spans="1:5" ht="15.75">
      <c r="A674" s="3510">
        <v>671</v>
      </c>
      <c r="B674" s="3489" t="s">
        <v>3464</v>
      </c>
      <c r="C674" s="3490">
        <v>2262</v>
      </c>
      <c r="D674" s="3491">
        <v>36.96</v>
      </c>
      <c r="E674" s="3505" t="s">
        <v>3476</v>
      </c>
    </row>
    <row r="675" spans="1:5" ht="15.75">
      <c r="A675" s="3510">
        <v>672</v>
      </c>
      <c r="B675" s="3489" t="s">
        <v>3464</v>
      </c>
      <c r="C675" s="3490">
        <v>2263</v>
      </c>
      <c r="D675" s="3491">
        <v>34.71</v>
      </c>
      <c r="E675" s="3505" t="s">
        <v>3476</v>
      </c>
    </row>
    <row r="676" spans="1:5" ht="15.75">
      <c r="A676" s="3510">
        <v>673</v>
      </c>
      <c r="B676" s="3489" t="s">
        <v>3464</v>
      </c>
      <c r="C676" s="3490">
        <v>2264</v>
      </c>
      <c r="D676" s="3491">
        <v>36.979999999999997</v>
      </c>
      <c r="E676" s="3505" t="s">
        <v>3476</v>
      </c>
    </row>
    <row r="677" spans="1:5" ht="15.75">
      <c r="A677" s="3510">
        <v>674</v>
      </c>
      <c r="B677" s="3489" t="s">
        <v>3464</v>
      </c>
      <c r="C677" s="3490">
        <v>2265</v>
      </c>
      <c r="D677" s="3491">
        <v>66.459999999999994</v>
      </c>
      <c r="E677" s="3505" t="s">
        <v>3476</v>
      </c>
    </row>
    <row r="678" spans="1:5" ht="15.75">
      <c r="A678" s="3510">
        <v>675</v>
      </c>
      <c r="B678" s="3489" t="s">
        <v>3464</v>
      </c>
      <c r="C678" s="3490">
        <v>2267</v>
      </c>
      <c r="D678" s="3491">
        <v>34.71</v>
      </c>
      <c r="E678" s="3505" t="s">
        <v>3476</v>
      </c>
    </row>
    <row r="679" spans="1:5" ht="15.75">
      <c r="A679" s="3510">
        <v>676</v>
      </c>
      <c r="B679" s="3489" t="s">
        <v>3464</v>
      </c>
      <c r="C679" s="3490">
        <v>2268</v>
      </c>
      <c r="D679" s="3491">
        <v>37.01</v>
      </c>
      <c r="E679" s="3505" t="s">
        <v>3476</v>
      </c>
    </row>
    <row r="680" spans="1:5" ht="15.75">
      <c r="A680" s="3510">
        <v>677</v>
      </c>
      <c r="B680" s="3489" t="s">
        <v>3464</v>
      </c>
      <c r="C680" s="3490">
        <v>2269</v>
      </c>
      <c r="D680" s="3491">
        <v>36.33</v>
      </c>
      <c r="E680" s="3505" t="s">
        <v>3476</v>
      </c>
    </row>
    <row r="681" spans="1:5" ht="15.75">
      <c r="A681" s="3510">
        <v>678</v>
      </c>
      <c r="B681" s="3489" t="s">
        <v>3464</v>
      </c>
      <c r="C681" s="3490">
        <v>2270</v>
      </c>
      <c r="D681" s="3491">
        <v>36.33</v>
      </c>
      <c r="E681" s="3505" t="s">
        <v>3476</v>
      </c>
    </row>
    <row r="682" spans="1:5" ht="15.75">
      <c r="A682" s="3510">
        <v>679</v>
      </c>
      <c r="B682" s="3489" t="s">
        <v>3464</v>
      </c>
      <c r="C682" s="3490">
        <v>2271</v>
      </c>
      <c r="D682" s="3491">
        <v>34.71</v>
      </c>
      <c r="E682" s="3505" t="s">
        <v>3476</v>
      </c>
    </row>
    <row r="683" spans="1:5" ht="15.75">
      <c r="A683" s="3510">
        <v>680</v>
      </c>
      <c r="B683" s="3489" t="s">
        <v>3464</v>
      </c>
      <c r="C683" s="3490">
        <v>2272</v>
      </c>
      <c r="D683" s="3491">
        <v>36.979999999999997</v>
      </c>
      <c r="E683" s="3505" t="s">
        <v>3476</v>
      </c>
    </row>
    <row r="684" spans="1:5" ht="15.75">
      <c r="A684" s="3510">
        <v>681</v>
      </c>
      <c r="B684" s="3489" t="s">
        <v>3464</v>
      </c>
      <c r="C684" s="3490">
        <v>2273</v>
      </c>
      <c r="D684" s="3491">
        <v>66.459999999999994</v>
      </c>
      <c r="E684" s="3505" t="s">
        <v>3476</v>
      </c>
    </row>
    <row r="685" spans="1:5" ht="15.75">
      <c r="A685" s="3510">
        <v>682</v>
      </c>
      <c r="B685" s="3489" t="s">
        <v>3464</v>
      </c>
      <c r="C685" s="3490">
        <v>2275</v>
      </c>
      <c r="D685" s="3491">
        <v>34.71</v>
      </c>
      <c r="E685" s="3505" t="s">
        <v>3476</v>
      </c>
    </row>
    <row r="686" spans="1:5" ht="15.75">
      <c r="A686" s="3510">
        <v>683</v>
      </c>
      <c r="B686" s="3489" t="s">
        <v>3464</v>
      </c>
      <c r="C686" s="3490">
        <v>2276</v>
      </c>
      <c r="D686" s="3491">
        <v>37.01</v>
      </c>
      <c r="E686" s="3505" t="s">
        <v>3476</v>
      </c>
    </row>
    <row r="687" spans="1:5" ht="15.75">
      <c r="A687" s="3510">
        <v>684</v>
      </c>
      <c r="B687" s="3489" t="s">
        <v>3464</v>
      </c>
      <c r="C687" s="3490">
        <v>2277</v>
      </c>
      <c r="D687" s="3491">
        <v>34.71</v>
      </c>
      <c r="E687" s="3505" t="s">
        <v>3476</v>
      </c>
    </row>
    <row r="688" spans="1:5" ht="15.75">
      <c r="A688" s="3510">
        <v>685</v>
      </c>
      <c r="B688" s="3489" t="s">
        <v>3464</v>
      </c>
      <c r="C688" s="3490">
        <v>2278</v>
      </c>
      <c r="D688" s="3491">
        <v>37.01</v>
      </c>
      <c r="E688" s="3505" t="s">
        <v>3476</v>
      </c>
    </row>
    <row r="689" spans="1:5" ht="15.75">
      <c r="A689" s="3510">
        <v>686</v>
      </c>
      <c r="B689" s="3489" t="s">
        <v>3464</v>
      </c>
      <c r="C689" s="3490">
        <v>2279</v>
      </c>
      <c r="D689" s="3491">
        <v>66.459999999999994</v>
      </c>
      <c r="E689" s="3505" t="s">
        <v>3476</v>
      </c>
    </row>
    <row r="690" spans="1:5" ht="15.75">
      <c r="A690" s="3510">
        <v>687</v>
      </c>
      <c r="B690" s="3489" t="s">
        <v>3464</v>
      </c>
      <c r="C690" s="3490">
        <v>2281</v>
      </c>
      <c r="D690" s="3491">
        <v>34.71</v>
      </c>
      <c r="E690" s="3505" t="s">
        <v>3476</v>
      </c>
    </row>
    <row r="691" spans="1:5" ht="15.75">
      <c r="A691" s="3510">
        <v>688</v>
      </c>
      <c r="B691" s="3489" t="s">
        <v>3464</v>
      </c>
      <c r="C691" s="3490">
        <v>2282</v>
      </c>
      <c r="D691" s="3491">
        <v>36.96</v>
      </c>
      <c r="E691" s="3505" t="s">
        <v>3476</v>
      </c>
    </row>
    <row r="692" spans="1:5" ht="15.75">
      <c r="A692" s="3510">
        <v>689</v>
      </c>
      <c r="B692" s="3489" t="s">
        <v>3464</v>
      </c>
      <c r="C692" s="3490">
        <v>2283</v>
      </c>
      <c r="D692" s="3491">
        <v>34.299999999999997</v>
      </c>
      <c r="E692" s="3505" t="s">
        <v>3476</v>
      </c>
    </row>
    <row r="693" spans="1:5" ht="15.75">
      <c r="A693" s="3510">
        <v>690</v>
      </c>
      <c r="B693" s="3489" t="s">
        <v>3464</v>
      </c>
      <c r="C693" s="3490">
        <v>2284</v>
      </c>
      <c r="D693" s="3491">
        <v>35.11</v>
      </c>
      <c r="E693" s="3505" t="s">
        <v>3476</v>
      </c>
    </row>
    <row r="694" spans="1:5" ht="15.75">
      <c r="A694" s="3510">
        <v>691</v>
      </c>
      <c r="B694" s="3489" t="s">
        <v>3464</v>
      </c>
      <c r="C694" s="3490">
        <v>2285</v>
      </c>
      <c r="D694" s="3491">
        <v>35.11</v>
      </c>
      <c r="E694" s="3505" t="s">
        <v>3476</v>
      </c>
    </row>
    <row r="695" spans="1:5" ht="15.75">
      <c r="A695" s="3510">
        <v>692</v>
      </c>
      <c r="B695" s="3489" t="s">
        <v>3464</v>
      </c>
      <c r="C695" s="3490">
        <v>2286</v>
      </c>
      <c r="D695" s="3491">
        <v>34.299999999999997</v>
      </c>
      <c r="E695" s="3505" t="s">
        <v>3476</v>
      </c>
    </row>
    <row r="696" spans="1:5" ht="15.75">
      <c r="A696" s="3510">
        <v>693</v>
      </c>
      <c r="B696" s="3489" t="s">
        <v>3464</v>
      </c>
      <c r="C696" s="3490">
        <v>2287</v>
      </c>
      <c r="D696" s="3491">
        <v>35.93</v>
      </c>
      <c r="E696" s="3505" t="s">
        <v>3476</v>
      </c>
    </row>
    <row r="697" spans="1:5" ht="15.75">
      <c r="A697" s="3510">
        <v>694</v>
      </c>
      <c r="B697" s="3489" t="s">
        <v>3464</v>
      </c>
      <c r="C697" s="3490">
        <v>2288</v>
      </c>
      <c r="D697" s="3491">
        <v>35.93</v>
      </c>
      <c r="E697" s="3505" t="s">
        <v>3476</v>
      </c>
    </row>
    <row r="698" spans="1:5" ht="15.75">
      <c r="A698" s="3510">
        <v>695</v>
      </c>
      <c r="B698" s="3489" t="s">
        <v>3464</v>
      </c>
      <c r="C698" s="3490">
        <v>2289</v>
      </c>
      <c r="D698" s="3491">
        <v>36.79</v>
      </c>
      <c r="E698" s="3505" t="s">
        <v>3476</v>
      </c>
    </row>
    <row r="699" spans="1:5" ht="15.75">
      <c r="A699" s="3510">
        <v>696</v>
      </c>
      <c r="B699" s="3489" t="s">
        <v>3464</v>
      </c>
      <c r="C699" s="3490">
        <v>2290</v>
      </c>
      <c r="D699" s="3491">
        <v>34.19</v>
      </c>
      <c r="E699" s="3505" t="s">
        <v>3476</v>
      </c>
    </row>
    <row r="700" spans="1:5" ht="15.75">
      <c r="A700" s="3510">
        <v>697</v>
      </c>
      <c r="B700" s="3489" t="s">
        <v>3464</v>
      </c>
      <c r="C700" s="3490">
        <v>2291</v>
      </c>
      <c r="D700" s="3491">
        <v>36.79</v>
      </c>
      <c r="E700" s="3505" t="s">
        <v>3476</v>
      </c>
    </row>
    <row r="701" spans="1:5" ht="15.75">
      <c r="A701" s="3510">
        <v>698</v>
      </c>
      <c r="B701" s="3489" t="s">
        <v>3464</v>
      </c>
      <c r="C701" s="3490">
        <v>2292</v>
      </c>
      <c r="D701" s="3491">
        <v>36.79</v>
      </c>
      <c r="E701" s="3505" t="s">
        <v>3476</v>
      </c>
    </row>
    <row r="702" spans="1:5" ht="15.75">
      <c r="A702" s="3510">
        <v>699</v>
      </c>
      <c r="B702" s="3489" t="s">
        <v>3464</v>
      </c>
      <c r="C702" s="3490">
        <v>2293</v>
      </c>
      <c r="D702" s="3491">
        <v>34.19</v>
      </c>
      <c r="E702" s="3505" t="s">
        <v>3476</v>
      </c>
    </row>
    <row r="703" spans="1:5" ht="15.75">
      <c r="A703" s="3510">
        <v>700</v>
      </c>
      <c r="B703" s="3489" t="s">
        <v>3464</v>
      </c>
      <c r="C703" s="3490">
        <v>2294</v>
      </c>
      <c r="D703" s="3491">
        <v>36.79</v>
      </c>
      <c r="E703" s="3505" t="s">
        <v>3476</v>
      </c>
    </row>
    <row r="704" spans="1:5" ht="15.75">
      <c r="A704" s="3510">
        <v>701</v>
      </c>
      <c r="B704" s="3489" t="s">
        <v>3464</v>
      </c>
      <c r="C704" s="3490">
        <v>2295</v>
      </c>
      <c r="D704" s="3491">
        <v>35.93</v>
      </c>
      <c r="E704" s="3505" t="s">
        <v>3476</v>
      </c>
    </row>
    <row r="705" spans="1:5" ht="15.75">
      <c r="A705" s="3510">
        <v>702</v>
      </c>
      <c r="B705" s="3489" t="s">
        <v>3464</v>
      </c>
      <c r="C705" s="3490">
        <v>2296</v>
      </c>
      <c r="D705" s="3491">
        <v>35.93</v>
      </c>
      <c r="E705" s="3505" t="s">
        <v>3476</v>
      </c>
    </row>
    <row r="706" spans="1:5" ht="15.75">
      <c r="A706" s="3510">
        <v>703</v>
      </c>
      <c r="B706" s="3489" t="s">
        <v>3464</v>
      </c>
      <c r="C706" s="3490">
        <v>2297</v>
      </c>
      <c r="D706" s="3491">
        <v>35.93</v>
      </c>
      <c r="E706" s="3505" t="s">
        <v>3476</v>
      </c>
    </row>
    <row r="707" spans="1:5" ht="15.75">
      <c r="A707" s="3510">
        <v>704</v>
      </c>
      <c r="B707" s="3489" t="s">
        <v>3464</v>
      </c>
      <c r="C707" s="3490">
        <v>2298</v>
      </c>
      <c r="D707" s="3491">
        <v>35.93</v>
      </c>
      <c r="E707" s="3505" t="s">
        <v>3476</v>
      </c>
    </row>
    <row r="708" spans="1:5" ht="15.75">
      <c r="A708" s="3510">
        <v>705</v>
      </c>
      <c r="B708" s="3489" t="s">
        <v>3464</v>
      </c>
      <c r="C708" s="3490">
        <v>2299</v>
      </c>
      <c r="D708" s="3491">
        <v>36.79</v>
      </c>
      <c r="E708" s="3505" t="s">
        <v>3476</v>
      </c>
    </row>
    <row r="709" spans="1:5" ht="15.75">
      <c r="A709" s="3510">
        <v>706</v>
      </c>
      <c r="B709" s="3489" t="s">
        <v>3464</v>
      </c>
      <c r="C709" s="3490">
        <v>2300</v>
      </c>
      <c r="D709" s="3491">
        <v>34.19</v>
      </c>
      <c r="E709" s="3505" t="s">
        <v>3476</v>
      </c>
    </row>
    <row r="710" spans="1:5" ht="15.75">
      <c r="A710" s="3510">
        <v>707</v>
      </c>
      <c r="B710" s="3489" t="s">
        <v>3464</v>
      </c>
      <c r="C710" s="3490">
        <v>2301</v>
      </c>
      <c r="D710" s="3491">
        <v>36.79</v>
      </c>
      <c r="E710" s="3505" t="s">
        <v>3476</v>
      </c>
    </row>
    <row r="711" spans="1:5" ht="15.75">
      <c r="A711" s="3510">
        <v>708</v>
      </c>
      <c r="B711" s="3489" t="s">
        <v>3464</v>
      </c>
      <c r="C711" s="3490">
        <v>2302</v>
      </c>
      <c r="D711" s="3491">
        <v>36.79</v>
      </c>
      <c r="E711" s="3505" t="s">
        <v>3476</v>
      </c>
    </row>
    <row r="712" spans="1:5" ht="15.75">
      <c r="A712" s="3510">
        <v>709</v>
      </c>
      <c r="B712" s="3489" t="s">
        <v>3464</v>
      </c>
      <c r="C712" s="3490">
        <v>2303</v>
      </c>
      <c r="D712" s="3491">
        <v>34.19</v>
      </c>
      <c r="E712" s="3505" t="s">
        <v>3476</v>
      </c>
    </row>
    <row r="713" spans="1:5" ht="15.75">
      <c r="A713" s="3510">
        <v>710</v>
      </c>
      <c r="B713" s="3489" t="s">
        <v>3464</v>
      </c>
      <c r="C713" s="3490">
        <v>2304</v>
      </c>
      <c r="D713" s="3491">
        <v>36.79</v>
      </c>
      <c r="E713" s="3505" t="s">
        <v>3476</v>
      </c>
    </row>
    <row r="714" spans="1:5" ht="15.75">
      <c r="A714" s="3510">
        <v>711</v>
      </c>
      <c r="B714" s="3489" t="s">
        <v>3464</v>
      </c>
      <c r="C714" s="3490">
        <v>2305</v>
      </c>
      <c r="D714" s="3491">
        <v>35.93</v>
      </c>
      <c r="E714" s="3505" t="s">
        <v>3476</v>
      </c>
    </row>
    <row r="715" spans="1:5" ht="15.75">
      <c r="A715" s="3510">
        <v>712</v>
      </c>
      <c r="B715" s="3489" t="s">
        <v>3464</v>
      </c>
      <c r="C715" s="3490">
        <v>2306</v>
      </c>
      <c r="D715" s="3491">
        <v>35.36</v>
      </c>
      <c r="E715" s="3505" t="s">
        <v>3476</v>
      </c>
    </row>
    <row r="716" spans="1:5" ht="15.75">
      <c r="A716" s="3510">
        <v>713</v>
      </c>
      <c r="B716" s="3489" t="s">
        <v>3464</v>
      </c>
      <c r="C716" s="3490">
        <v>2307</v>
      </c>
      <c r="D716" s="3491">
        <v>34.19</v>
      </c>
      <c r="E716" s="3505" t="s">
        <v>3476</v>
      </c>
    </row>
    <row r="717" spans="1:5" ht="15.75">
      <c r="A717" s="3510">
        <v>714</v>
      </c>
      <c r="B717" s="3489" t="s">
        <v>3464</v>
      </c>
      <c r="C717" s="3490">
        <v>2308</v>
      </c>
      <c r="D717" s="3491">
        <v>36.79</v>
      </c>
      <c r="E717" s="3505" t="s">
        <v>3476</v>
      </c>
    </row>
    <row r="718" spans="1:5" ht="15.75">
      <c r="A718" s="3510">
        <v>715</v>
      </c>
      <c r="B718" s="3489" t="s">
        <v>3464</v>
      </c>
      <c r="C718" s="3490">
        <v>2309</v>
      </c>
      <c r="D718" s="3491">
        <v>36.79</v>
      </c>
      <c r="E718" s="3505" t="s">
        <v>3476</v>
      </c>
    </row>
    <row r="719" spans="1:5" ht="15.75">
      <c r="A719" s="3510">
        <v>716</v>
      </c>
      <c r="B719" s="3489" t="s">
        <v>3464</v>
      </c>
      <c r="C719" s="3490">
        <v>2310</v>
      </c>
      <c r="D719" s="3491">
        <v>34.19</v>
      </c>
      <c r="E719" s="3505" t="s">
        <v>3476</v>
      </c>
    </row>
    <row r="720" spans="1:5" ht="15.75">
      <c r="A720" s="3510">
        <v>717</v>
      </c>
      <c r="B720" s="3489" t="s">
        <v>3464</v>
      </c>
      <c r="C720" s="3490">
        <v>2311</v>
      </c>
      <c r="D720" s="3491">
        <v>36.79</v>
      </c>
      <c r="E720" s="3505" t="s">
        <v>3476</v>
      </c>
    </row>
    <row r="721" spans="1:5" ht="15.75">
      <c r="A721" s="3510">
        <v>718</v>
      </c>
      <c r="B721" s="3489" t="s">
        <v>3464</v>
      </c>
      <c r="C721" s="3490">
        <v>2312</v>
      </c>
      <c r="D721" s="3491">
        <v>35.93</v>
      </c>
      <c r="E721" s="3505" t="s">
        <v>3476</v>
      </c>
    </row>
    <row r="722" spans="1:5" ht="15.75">
      <c r="A722" s="3510">
        <v>719</v>
      </c>
      <c r="B722" s="3489" t="s">
        <v>3464</v>
      </c>
      <c r="C722" s="3490">
        <v>2313</v>
      </c>
      <c r="D722" s="3491">
        <v>35.93</v>
      </c>
      <c r="E722" s="3505" t="s">
        <v>3476</v>
      </c>
    </row>
    <row r="723" spans="1:5" ht="15.75">
      <c r="A723" s="3510">
        <v>720</v>
      </c>
      <c r="B723" s="3489" t="s">
        <v>3464</v>
      </c>
      <c r="C723" s="3490">
        <v>2314</v>
      </c>
      <c r="D723" s="3491">
        <v>27.79</v>
      </c>
      <c r="E723" s="3505" t="s">
        <v>3476</v>
      </c>
    </row>
    <row r="724" spans="1:5" ht="15.75">
      <c r="A724" s="3510">
        <v>721</v>
      </c>
      <c r="B724" s="3489" t="s">
        <v>3464</v>
      </c>
      <c r="C724" s="3490">
        <v>2315</v>
      </c>
      <c r="D724" s="3491">
        <v>36.79</v>
      </c>
      <c r="E724" s="3505" t="s">
        <v>3476</v>
      </c>
    </row>
    <row r="725" spans="1:5" ht="15.75">
      <c r="A725" s="3510">
        <v>722</v>
      </c>
      <c r="B725" s="3489" t="s">
        <v>3464</v>
      </c>
      <c r="C725" s="3490">
        <v>2316</v>
      </c>
      <c r="D725" s="3491">
        <v>34.19</v>
      </c>
      <c r="E725" s="3505" t="s">
        <v>3476</v>
      </c>
    </row>
    <row r="726" spans="1:5" ht="15.75">
      <c r="A726" s="3510">
        <v>723</v>
      </c>
      <c r="B726" s="3489" t="s">
        <v>3464</v>
      </c>
      <c r="C726" s="3490">
        <v>2317</v>
      </c>
      <c r="D726" s="3491">
        <v>36.79</v>
      </c>
      <c r="E726" s="3505" t="s">
        <v>3476</v>
      </c>
    </row>
    <row r="727" spans="1:5" ht="15.75">
      <c r="A727" s="3510">
        <v>724</v>
      </c>
      <c r="B727" s="3489" t="s">
        <v>3464</v>
      </c>
      <c r="C727" s="3490">
        <v>2318</v>
      </c>
      <c r="D727" s="3491">
        <v>27.79</v>
      </c>
      <c r="E727" s="3505" t="s">
        <v>3476</v>
      </c>
    </row>
    <row r="728" spans="1:5" ht="15.75">
      <c r="A728" s="3510">
        <v>725</v>
      </c>
      <c r="B728" s="3489" t="s">
        <v>3464</v>
      </c>
      <c r="C728" s="3490">
        <v>2319</v>
      </c>
      <c r="D728" s="3491">
        <v>35.93</v>
      </c>
      <c r="E728" s="3505" t="s">
        <v>3476</v>
      </c>
    </row>
    <row r="729" spans="1:5" ht="15.75">
      <c r="A729" s="3510">
        <v>726</v>
      </c>
      <c r="B729" s="3489" t="s">
        <v>3464</v>
      </c>
      <c r="C729" s="3490">
        <v>2320</v>
      </c>
      <c r="D729" s="3491">
        <v>35.93</v>
      </c>
      <c r="E729" s="3505" t="s">
        <v>3476</v>
      </c>
    </row>
    <row r="730" spans="1:5" ht="15.75">
      <c r="A730" s="3510">
        <v>727</v>
      </c>
      <c r="B730" s="3489" t="s">
        <v>3464</v>
      </c>
      <c r="C730" s="3490">
        <v>2321</v>
      </c>
      <c r="D730" s="3491">
        <v>35.93</v>
      </c>
      <c r="E730" s="3505" t="s">
        <v>3476</v>
      </c>
    </row>
    <row r="731" spans="1:5" ht="15.75">
      <c r="A731" s="3510">
        <v>728</v>
      </c>
      <c r="B731" s="3489" t="s">
        <v>3464</v>
      </c>
      <c r="C731" s="3490">
        <v>2322</v>
      </c>
      <c r="D731" s="3491">
        <v>35.93</v>
      </c>
      <c r="E731" s="3505" t="s">
        <v>3476</v>
      </c>
    </row>
    <row r="732" spans="1:5" ht="15.75">
      <c r="A732" s="3510">
        <v>729</v>
      </c>
      <c r="B732" s="3489" t="s">
        <v>3464</v>
      </c>
      <c r="C732" s="3490">
        <v>2323</v>
      </c>
      <c r="D732" s="3491">
        <v>27.79</v>
      </c>
      <c r="E732" s="3505" t="s">
        <v>3476</v>
      </c>
    </row>
    <row r="733" spans="1:5" ht="15.75">
      <c r="A733" s="3510">
        <v>730</v>
      </c>
      <c r="B733" s="3489" t="s">
        <v>3464</v>
      </c>
      <c r="C733" s="3490">
        <v>2324</v>
      </c>
      <c r="D733" s="3491">
        <v>36.79</v>
      </c>
      <c r="E733" s="3505" t="s">
        <v>3476</v>
      </c>
    </row>
    <row r="734" spans="1:5" ht="15.75">
      <c r="A734" s="3510">
        <v>731</v>
      </c>
      <c r="B734" s="3489" t="s">
        <v>3464</v>
      </c>
      <c r="C734" s="3492">
        <v>2325</v>
      </c>
      <c r="D734" s="3494">
        <v>34.19</v>
      </c>
      <c r="E734" s="3505" t="s">
        <v>3476</v>
      </c>
    </row>
    <row r="735" spans="1:5" ht="15.75">
      <c r="A735" s="3510">
        <v>732</v>
      </c>
      <c r="B735" s="3489" t="s">
        <v>3464</v>
      </c>
      <c r="C735" s="3492">
        <v>2326</v>
      </c>
      <c r="D735" s="3494">
        <v>36.79</v>
      </c>
      <c r="E735" s="3505" t="s">
        <v>3476</v>
      </c>
    </row>
    <row r="736" spans="1:5" ht="15.75">
      <c r="A736" s="3510">
        <v>733</v>
      </c>
      <c r="B736" s="3489" t="s">
        <v>3464</v>
      </c>
      <c r="C736" s="3490">
        <v>2327</v>
      </c>
      <c r="D736" s="3494">
        <v>36.79</v>
      </c>
      <c r="E736" s="3505" t="s">
        <v>3476</v>
      </c>
    </row>
    <row r="737" spans="1:5" ht="15.75">
      <c r="A737" s="3510">
        <v>734</v>
      </c>
      <c r="B737" s="3489" t="s">
        <v>3464</v>
      </c>
      <c r="C737" s="3492">
        <v>2328</v>
      </c>
      <c r="D737" s="3494">
        <v>34.19</v>
      </c>
      <c r="E737" s="3505" t="s">
        <v>3476</v>
      </c>
    </row>
    <row r="738" spans="1:5" ht="15.75">
      <c r="A738" s="3510">
        <v>735</v>
      </c>
      <c r="B738" s="3489" t="s">
        <v>3464</v>
      </c>
      <c r="C738" s="3492">
        <v>2329</v>
      </c>
      <c r="D738" s="3494">
        <v>36.79</v>
      </c>
      <c r="E738" s="3505" t="s">
        <v>3476</v>
      </c>
    </row>
    <row r="739" spans="1:5" ht="15.75">
      <c r="A739" s="3510">
        <v>736</v>
      </c>
      <c r="B739" s="3489" t="s">
        <v>3464</v>
      </c>
      <c r="C739" s="3492">
        <v>2330</v>
      </c>
      <c r="D739" s="3494">
        <v>35.93</v>
      </c>
      <c r="E739" s="3505" t="s">
        <v>3476</v>
      </c>
    </row>
    <row r="740" spans="1:5" ht="15.75">
      <c r="A740" s="3510">
        <v>737</v>
      </c>
      <c r="B740" s="3489" t="s">
        <v>3464</v>
      </c>
      <c r="C740" s="3492">
        <v>2331</v>
      </c>
      <c r="D740" s="3491">
        <v>35.93</v>
      </c>
      <c r="E740" s="3505" t="s">
        <v>3476</v>
      </c>
    </row>
    <row r="741" spans="1:5" ht="15.75">
      <c r="A741" s="3510">
        <v>738</v>
      </c>
      <c r="B741" s="3489" t="s">
        <v>3464</v>
      </c>
      <c r="C741" s="3490">
        <v>2332</v>
      </c>
      <c r="D741" s="3494">
        <v>36.33</v>
      </c>
      <c r="E741" s="3505" t="s">
        <v>3476</v>
      </c>
    </row>
    <row r="742" spans="1:5" ht="15.75">
      <c r="A742" s="3510">
        <v>739</v>
      </c>
      <c r="B742" s="3489" t="s">
        <v>3464</v>
      </c>
      <c r="C742" s="3490">
        <v>2333</v>
      </c>
      <c r="D742" s="3491">
        <v>37.200000000000003</v>
      </c>
      <c r="E742" s="3505" t="s">
        <v>3476</v>
      </c>
    </row>
    <row r="743" spans="1:5" ht="15.75">
      <c r="A743" s="3510">
        <v>740</v>
      </c>
      <c r="B743" s="3489" t="s">
        <v>3464</v>
      </c>
      <c r="C743" s="3490">
        <v>2334</v>
      </c>
      <c r="D743" s="3491">
        <v>34.6</v>
      </c>
      <c r="E743" s="3505" t="s">
        <v>3476</v>
      </c>
    </row>
    <row r="744" spans="1:5" ht="15.75">
      <c r="A744" s="3510">
        <v>741</v>
      </c>
      <c r="B744" s="3489" t="s">
        <v>3464</v>
      </c>
      <c r="C744" s="3490">
        <v>2335</v>
      </c>
      <c r="D744" s="3491">
        <v>37.200000000000003</v>
      </c>
      <c r="E744" s="3505" t="s">
        <v>3476</v>
      </c>
    </row>
    <row r="745" spans="1:5" ht="15.75">
      <c r="A745" s="3510">
        <v>742</v>
      </c>
      <c r="B745" s="3489" t="s">
        <v>3464</v>
      </c>
      <c r="C745" s="3490">
        <v>2336</v>
      </c>
      <c r="D745" s="3494">
        <v>35.93</v>
      </c>
      <c r="E745" s="3505" t="s">
        <v>3476</v>
      </c>
    </row>
    <row r="746" spans="1:5" ht="15.75">
      <c r="A746" s="3510">
        <v>743</v>
      </c>
      <c r="B746" s="3489" t="s">
        <v>3464</v>
      </c>
      <c r="C746" s="3492">
        <v>2337</v>
      </c>
      <c r="D746" s="3494">
        <v>35.93</v>
      </c>
      <c r="E746" s="3505" t="s">
        <v>3476</v>
      </c>
    </row>
    <row r="747" spans="1:5" ht="15.75">
      <c r="A747" s="3510">
        <v>744</v>
      </c>
      <c r="B747" s="3489" t="s">
        <v>3464</v>
      </c>
      <c r="C747" s="3490">
        <v>2338</v>
      </c>
      <c r="D747" s="3491">
        <v>35.93</v>
      </c>
      <c r="E747" s="3505" t="s">
        <v>3476</v>
      </c>
    </row>
    <row r="748" spans="1:5" ht="15.75">
      <c r="A748" s="3510">
        <v>745</v>
      </c>
      <c r="B748" s="3489" t="s">
        <v>3464</v>
      </c>
      <c r="C748" s="3490">
        <v>2339</v>
      </c>
      <c r="D748" s="3491">
        <v>35.93</v>
      </c>
      <c r="E748" s="3505" t="s">
        <v>3476</v>
      </c>
    </row>
    <row r="749" spans="1:5" ht="15.75">
      <c r="A749" s="3510">
        <v>746</v>
      </c>
      <c r="B749" s="3489" t="s">
        <v>3464</v>
      </c>
      <c r="C749" s="3492">
        <v>2340</v>
      </c>
      <c r="D749" s="3494">
        <v>36.5</v>
      </c>
      <c r="E749" s="3505" t="s">
        <v>3476</v>
      </c>
    </row>
    <row r="750" spans="1:5" ht="15.75">
      <c r="A750" s="3510">
        <v>747</v>
      </c>
      <c r="B750" s="3489" t="s">
        <v>3464</v>
      </c>
      <c r="C750" s="3490">
        <v>2341</v>
      </c>
      <c r="D750" s="3491">
        <v>34.08</v>
      </c>
      <c r="E750" s="3505" t="s">
        <v>3476</v>
      </c>
    </row>
    <row r="751" spans="1:5" ht="15.75">
      <c r="A751" s="3510">
        <v>748</v>
      </c>
      <c r="B751" s="3489" t="s">
        <v>3464</v>
      </c>
      <c r="C751" s="3490">
        <v>2342</v>
      </c>
      <c r="D751" s="3491">
        <v>36.79</v>
      </c>
      <c r="E751" s="3505" t="s">
        <v>3476</v>
      </c>
    </row>
    <row r="752" spans="1:5" ht="15.75">
      <c r="A752" s="3510">
        <v>749</v>
      </c>
      <c r="B752" s="3489" t="s">
        <v>3464</v>
      </c>
      <c r="C752" s="3490">
        <v>2343</v>
      </c>
      <c r="D752" s="3491">
        <v>36.79</v>
      </c>
      <c r="E752" s="3505" t="s">
        <v>3476</v>
      </c>
    </row>
    <row r="753" spans="1:5" ht="15.75">
      <c r="A753" s="3510">
        <v>750</v>
      </c>
      <c r="B753" s="3489" t="s">
        <v>3464</v>
      </c>
      <c r="C753" s="3490">
        <v>2344</v>
      </c>
      <c r="D753" s="3491">
        <v>34.19</v>
      </c>
      <c r="E753" s="3505" t="s">
        <v>3476</v>
      </c>
    </row>
    <row r="754" spans="1:5" ht="15.75">
      <c r="A754" s="3510">
        <v>751</v>
      </c>
      <c r="B754" s="3489" t="s">
        <v>3464</v>
      </c>
      <c r="C754" s="3490">
        <v>2345</v>
      </c>
      <c r="D754" s="3491">
        <v>36.39</v>
      </c>
      <c r="E754" s="3505" t="s">
        <v>3476</v>
      </c>
    </row>
    <row r="755" spans="1:5" ht="15.75">
      <c r="A755" s="3510">
        <v>752</v>
      </c>
      <c r="B755" s="3489" t="s">
        <v>3464</v>
      </c>
      <c r="C755" s="3490">
        <v>2346</v>
      </c>
      <c r="D755" s="3491">
        <v>35.93</v>
      </c>
      <c r="E755" s="3505" t="s">
        <v>3476</v>
      </c>
    </row>
    <row r="756" spans="1:5" ht="15.75">
      <c r="A756" s="3510">
        <v>753</v>
      </c>
      <c r="B756" s="3489" t="s">
        <v>3464</v>
      </c>
      <c r="C756" s="3490">
        <v>2347</v>
      </c>
      <c r="D756" s="3491">
        <v>35.93</v>
      </c>
      <c r="E756" s="3505" t="s">
        <v>3476</v>
      </c>
    </row>
    <row r="757" spans="1:5" ht="15.75">
      <c r="A757" s="3510">
        <v>754</v>
      </c>
      <c r="B757" s="3489" t="s">
        <v>3464</v>
      </c>
      <c r="C757" s="3490">
        <v>2348</v>
      </c>
      <c r="D757" s="3491">
        <v>35.93</v>
      </c>
      <c r="E757" s="3505" t="s">
        <v>3476</v>
      </c>
    </row>
    <row r="758" spans="1:5" ht="15.75">
      <c r="A758" s="3510">
        <v>755</v>
      </c>
      <c r="B758" s="3489" t="s">
        <v>3464</v>
      </c>
      <c r="C758" s="3490">
        <v>2349</v>
      </c>
      <c r="D758" s="3491">
        <v>35.93</v>
      </c>
      <c r="E758" s="3505" t="s">
        <v>3476</v>
      </c>
    </row>
    <row r="759" spans="1:5" ht="15.75">
      <c r="A759" s="3510">
        <v>756</v>
      </c>
      <c r="B759" s="3489" t="s">
        <v>3464</v>
      </c>
      <c r="C759" s="3490">
        <v>2350</v>
      </c>
      <c r="D759" s="3491">
        <v>36.33</v>
      </c>
      <c r="E759" s="3505" t="s">
        <v>3476</v>
      </c>
    </row>
    <row r="760" spans="1:5" ht="15.75">
      <c r="A760" s="3510">
        <v>757</v>
      </c>
      <c r="B760" s="3489" t="s">
        <v>3464</v>
      </c>
      <c r="C760" s="3490">
        <v>2351</v>
      </c>
      <c r="D760" s="3491">
        <v>36.33</v>
      </c>
      <c r="E760" s="3505" t="s">
        <v>3476</v>
      </c>
    </row>
    <row r="761" spans="1:5" ht="15.75">
      <c r="A761" s="3510">
        <v>758</v>
      </c>
      <c r="B761" s="3489" t="s">
        <v>3464</v>
      </c>
      <c r="C761" s="3490">
        <v>2352</v>
      </c>
      <c r="D761" s="3491">
        <v>35.93</v>
      </c>
      <c r="E761" s="3505" t="s">
        <v>3476</v>
      </c>
    </row>
    <row r="762" spans="1:5" ht="15.75">
      <c r="A762" s="3510">
        <v>759</v>
      </c>
      <c r="B762" s="3489" t="s">
        <v>3464</v>
      </c>
      <c r="C762" s="3490">
        <v>2353</v>
      </c>
      <c r="D762" s="3491">
        <v>36.79</v>
      </c>
      <c r="E762" s="3505" t="s">
        <v>3476</v>
      </c>
    </row>
    <row r="763" spans="1:5" ht="15.75">
      <c r="A763" s="3510">
        <v>760</v>
      </c>
      <c r="B763" s="3489" t="s">
        <v>3464</v>
      </c>
      <c r="C763" s="3490">
        <v>2354</v>
      </c>
      <c r="D763" s="3491">
        <v>34.19</v>
      </c>
      <c r="E763" s="3505" t="s">
        <v>3476</v>
      </c>
    </row>
    <row r="764" spans="1:5" ht="15.75">
      <c r="A764" s="3510">
        <v>761</v>
      </c>
      <c r="B764" s="3489" t="s">
        <v>3464</v>
      </c>
      <c r="C764" s="3490">
        <v>2355</v>
      </c>
      <c r="D764" s="3491">
        <v>36.79</v>
      </c>
      <c r="E764" s="3505" t="s">
        <v>3476</v>
      </c>
    </row>
    <row r="765" spans="1:5" ht="15.75">
      <c r="A765" s="3510">
        <v>762</v>
      </c>
      <c r="B765" s="3489" t="s">
        <v>3464</v>
      </c>
      <c r="C765" s="3490">
        <v>2356</v>
      </c>
      <c r="D765" s="3491">
        <v>35.93</v>
      </c>
      <c r="E765" s="3505" t="s">
        <v>3476</v>
      </c>
    </row>
    <row r="766" spans="1:5" ht="15.75">
      <c r="A766" s="3510">
        <v>763</v>
      </c>
      <c r="B766" s="3489" t="s">
        <v>3464</v>
      </c>
      <c r="C766" s="3490">
        <v>2357</v>
      </c>
      <c r="D766" s="3491">
        <v>35.93</v>
      </c>
      <c r="E766" s="3505" t="s">
        <v>3476</v>
      </c>
    </row>
    <row r="767" spans="1:5" ht="15.75">
      <c r="A767" s="3510">
        <v>764</v>
      </c>
      <c r="B767" s="3489" t="s">
        <v>3464</v>
      </c>
      <c r="C767" s="3490">
        <v>2358</v>
      </c>
      <c r="D767" s="3491">
        <v>35.93</v>
      </c>
      <c r="E767" s="3505" t="s">
        <v>3476</v>
      </c>
    </row>
    <row r="768" spans="1:5" ht="15.75">
      <c r="A768" s="3510">
        <v>765</v>
      </c>
      <c r="B768" s="3489" t="s">
        <v>3464</v>
      </c>
      <c r="C768" s="3490">
        <v>2359</v>
      </c>
      <c r="D768" s="3491">
        <v>33.049999999999997</v>
      </c>
      <c r="E768" s="3505" t="s">
        <v>3476</v>
      </c>
    </row>
    <row r="769" spans="1:5" ht="15.75">
      <c r="A769" s="3510">
        <v>766</v>
      </c>
      <c r="B769" s="3489" t="s">
        <v>3464</v>
      </c>
      <c r="C769" s="3490">
        <v>2360</v>
      </c>
      <c r="D769" s="3491">
        <v>35.93</v>
      </c>
      <c r="E769" s="3505" t="s">
        <v>3476</v>
      </c>
    </row>
    <row r="770" spans="1:5" ht="15.75">
      <c r="A770" s="3510">
        <v>767</v>
      </c>
      <c r="B770" s="3489" t="s">
        <v>3464</v>
      </c>
      <c r="C770" s="3490">
        <v>2361</v>
      </c>
      <c r="D770" s="3491">
        <v>35.93</v>
      </c>
      <c r="E770" s="3505" t="s">
        <v>3476</v>
      </c>
    </row>
    <row r="771" spans="1:5" ht="15.75">
      <c r="A771" s="3510">
        <v>768</v>
      </c>
      <c r="B771" s="3489" t="s">
        <v>3464</v>
      </c>
      <c r="C771" s="3490">
        <v>2362</v>
      </c>
      <c r="D771" s="3491">
        <v>36.79</v>
      </c>
      <c r="E771" s="3505" t="s">
        <v>3476</v>
      </c>
    </row>
    <row r="772" spans="1:5" ht="15.75">
      <c r="A772" s="3510">
        <v>769</v>
      </c>
      <c r="B772" s="3489" t="s">
        <v>3464</v>
      </c>
      <c r="C772" s="3490">
        <v>2363</v>
      </c>
      <c r="D772" s="3491">
        <v>34.19</v>
      </c>
      <c r="E772" s="3505" t="s">
        <v>3476</v>
      </c>
    </row>
    <row r="773" spans="1:5" ht="15.75">
      <c r="A773" s="3510">
        <v>770</v>
      </c>
      <c r="B773" s="3489" t="s">
        <v>3464</v>
      </c>
      <c r="C773" s="3490">
        <v>2364</v>
      </c>
      <c r="D773" s="3491">
        <v>36.79</v>
      </c>
      <c r="E773" s="3505" t="s">
        <v>3476</v>
      </c>
    </row>
    <row r="774" spans="1:5" ht="15.75">
      <c r="A774" s="3510">
        <v>771</v>
      </c>
      <c r="B774" s="3489" t="s">
        <v>3464</v>
      </c>
      <c r="C774" s="3490">
        <v>2365</v>
      </c>
      <c r="D774" s="3491">
        <v>35.93</v>
      </c>
      <c r="E774" s="3505" t="s">
        <v>3476</v>
      </c>
    </row>
    <row r="775" spans="1:5" ht="15.75">
      <c r="A775" s="3510">
        <v>772</v>
      </c>
      <c r="B775" s="3489" t="s">
        <v>3464</v>
      </c>
      <c r="C775" s="3490">
        <v>2366</v>
      </c>
      <c r="D775" s="3491">
        <v>35.93</v>
      </c>
      <c r="E775" s="3505" t="s">
        <v>3476</v>
      </c>
    </row>
    <row r="776" spans="1:5">
      <c r="A776" s="3488"/>
      <c r="B776" s="3489"/>
      <c r="C776" s="3490"/>
      <c r="D776" s="3491">
        <f>SUM(D418:D775)</f>
        <v>13007.800000000021</v>
      </c>
      <c r="E776" s="3491"/>
    </row>
    <row r="777" spans="1:5" ht="15.75">
      <c r="A777" s="3510">
        <v>773</v>
      </c>
      <c r="B777" s="3489" t="s">
        <v>3465</v>
      </c>
      <c r="C777" s="3490">
        <v>1001</v>
      </c>
      <c r="D777" s="3491">
        <v>118.26</v>
      </c>
      <c r="E777" s="3505" t="s">
        <v>3476</v>
      </c>
    </row>
    <row r="778" spans="1:5" ht="15.75">
      <c r="A778" s="3510">
        <v>774</v>
      </c>
      <c r="B778" s="3489" t="s">
        <v>3465</v>
      </c>
      <c r="C778" s="3490">
        <v>1002</v>
      </c>
      <c r="D778" s="3491">
        <v>118.26</v>
      </c>
      <c r="E778" s="3505" t="s">
        <v>3476</v>
      </c>
    </row>
    <row r="779" spans="1:5" ht="15.75">
      <c r="A779" s="3510">
        <v>775</v>
      </c>
      <c r="B779" s="3489" t="s">
        <v>3465</v>
      </c>
      <c r="C779" s="3490">
        <v>1003</v>
      </c>
      <c r="D779" s="3491">
        <v>101.37</v>
      </c>
      <c r="E779" s="3505" t="s">
        <v>3476</v>
      </c>
    </row>
    <row r="780" spans="1:5" ht="15.75">
      <c r="A780" s="3510">
        <v>776</v>
      </c>
      <c r="B780" s="3489" t="s">
        <v>3465</v>
      </c>
      <c r="C780" s="3490">
        <v>1004</v>
      </c>
      <c r="D780" s="3491">
        <v>101.37</v>
      </c>
      <c r="E780" s="3505" t="s">
        <v>3476</v>
      </c>
    </row>
    <row r="781" spans="1:5" ht="15.75">
      <c r="A781" s="3510">
        <v>777</v>
      </c>
      <c r="B781" s="3489" t="s">
        <v>3465</v>
      </c>
      <c r="C781" s="3490">
        <v>1005</v>
      </c>
      <c r="D781" s="3491">
        <v>101.37</v>
      </c>
      <c r="E781" s="3505" t="s">
        <v>3476</v>
      </c>
    </row>
    <row r="782" spans="1:5" ht="15.75">
      <c r="A782" s="3510">
        <v>778</v>
      </c>
      <c r="B782" s="3489" t="s">
        <v>3465</v>
      </c>
      <c r="C782" s="3490">
        <v>1006</v>
      </c>
      <c r="D782" s="3491">
        <v>101.37</v>
      </c>
      <c r="E782" s="3505" t="s">
        <v>3476</v>
      </c>
    </row>
    <row r="783" spans="1:5" ht="15.75">
      <c r="A783" s="3510">
        <v>779</v>
      </c>
      <c r="B783" s="3489" t="s">
        <v>3465</v>
      </c>
      <c r="C783" s="3490">
        <v>1007</v>
      </c>
      <c r="D783" s="3491">
        <v>101.37</v>
      </c>
      <c r="E783" s="3505" t="s">
        <v>3476</v>
      </c>
    </row>
    <row r="784" spans="1:5" ht="15.75">
      <c r="A784" s="3510">
        <v>780</v>
      </c>
      <c r="B784" s="3489" t="s">
        <v>3465</v>
      </c>
      <c r="C784" s="3497">
        <v>1008</v>
      </c>
      <c r="D784" s="3498">
        <v>101.37</v>
      </c>
      <c r="E784" s="3505" t="s">
        <v>3476</v>
      </c>
    </row>
    <row r="785" spans="1:5" ht="15.75">
      <c r="A785" s="3510">
        <v>781</v>
      </c>
      <c r="B785" s="3489" t="s">
        <v>3465</v>
      </c>
      <c r="C785" s="3497">
        <v>1009</v>
      </c>
      <c r="D785" s="3498">
        <v>118.26</v>
      </c>
      <c r="E785" s="3505" t="s">
        <v>3476</v>
      </c>
    </row>
    <row r="786" spans="1:5" ht="15.75">
      <c r="A786" s="3510">
        <v>782</v>
      </c>
      <c r="B786" s="3489" t="s">
        <v>3465</v>
      </c>
      <c r="C786" s="3500">
        <v>-101</v>
      </c>
      <c r="D786" s="3501">
        <v>388.07</v>
      </c>
      <c r="E786" s="3501"/>
    </row>
    <row r="787" spans="1:5" ht="15.75">
      <c r="A787" s="3510">
        <v>783</v>
      </c>
      <c r="B787" s="3489" t="s">
        <v>3465</v>
      </c>
      <c r="C787" s="3499">
        <v>1010</v>
      </c>
      <c r="D787" s="3498">
        <v>118.26</v>
      </c>
      <c r="E787" s="3505" t="s">
        <v>3476</v>
      </c>
    </row>
    <row r="788" spans="1:5" ht="15.75">
      <c r="A788" s="3510">
        <v>784</v>
      </c>
      <c r="B788" s="3489" t="s">
        <v>3465</v>
      </c>
      <c r="C788" s="3497">
        <v>1011</v>
      </c>
      <c r="D788" s="3498">
        <v>118.26</v>
      </c>
      <c r="E788" s="3505" t="s">
        <v>3476</v>
      </c>
    </row>
    <row r="789" spans="1:5" ht="15.75">
      <c r="A789" s="3510">
        <v>785</v>
      </c>
      <c r="B789" s="3489" t="s">
        <v>3465</v>
      </c>
      <c r="C789" s="3499">
        <v>1012</v>
      </c>
      <c r="D789" s="3498">
        <v>118.26</v>
      </c>
      <c r="E789" s="3505" t="s">
        <v>3476</v>
      </c>
    </row>
    <row r="790" spans="1:5" ht="15.75">
      <c r="A790" s="3510">
        <v>786</v>
      </c>
      <c r="B790" s="3489" t="s">
        <v>3465</v>
      </c>
      <c r="C790" s="3497">
        <v>1013</v>
      </c>
      <c r="D790" s="3498">
        <v>118.26</v>
      </c>
      <c r="E790" s="3505" t="s">
        <v>3476</v>
      </c>
    </row>
    <row r="791" spans="1:5" ht="15.75">
      <c r="A791" s="3510">
        <v>787</v>
      </c>
      <c r="B791" s="3489" t="s">
        <v>3465</v>
      </c>
      <c r="C791" s="3497">
        <v>1014</v>
      </c>
      <c r="D791" s="3498">
        <v>116.96</v>
      </c>
      <c r="E791" s="3505" t="s">
        <v>3476</v>
      </c>
    </row>
    <row r="792" spans="1:5" ht="15.75">
      <c r="A792" s="3510">
        <v>788</v>
      </c>
      <c r="B792" s="3489" t="s">
        <v>3465</v>
      </c>
      <c r="C792" s="3497">
        <v>1015</v>
      </c>
      <c r="D792" s="3498">
        <v>118.26</v>
      </c>
      <c r="E792" s="3505" t="s">
        <v>3476</v>
      </c>
    </row>
    <row r="793" spans="1:5" ht="15.75">
      <c r="A793" s="3510">
        <v>789</v>
      </c>
      <c r="B793" s="3489" t="s">
        <v>3465</v>
      </c>
      <c r="C793" s="3497">
        <v>1016</v>
      </c>
      <c r="D793" s="3498">
        <v>118.26</v>
      </c>
      <c r="E793" s="3505" t="s">
        <v>3476</v>
      </c>
    </row>
    <row r="794" spans="1:5" ht="15.75">
      <c r="A794" s="3510">
        <v>790</v>
      </c>
      <c r="B794" s="3489" t="s">
        <v>3465</v>
      </c>
      <c r="C794" s="3497">
        <v>1017</v>
      </c>
      <c r="D794" s="3498">
        <v>118.26</v>
      </c>
      <c r="E794" s="3505" t="s">
        <v>3476</v>
      </c>
    </row>
    <row r="795" spans="1:5" ht="15.75">
      <c r="A795" s="3510">
        <v>791</v>
      </c>
      <c r="B795" s="3489" t="s">
        <v>3465</v>
      </c>
      <c r="C795" s="3497">
        <v>1018</v>
      </c>
      <c r="D795" s="3498">
        <v>118.26</v>
      </c>
      <c r="E795" s="3505" t="s">
        <v>3476</v>
      </c>
    </row>
    <row r="796" spans="1:5" ht="15.75">
      <c r="A796" s="3510">
        <v>792</v>
      </c>
      <c r="B796" s="3489" t="s">
        <v>3465</v>
      </c>
      <c r="C796" s="3497">
        <v>1019</v>
      </c>
      <c r="D796" s="3498">
        <v>118.26</v>
      </c>
      <c r="E796" s="3505" t="s">
        <v>3476</v>
      </c>
    </row>
    <row r="797" spans="1:5" s="3502" customFormat="1" ht="15.75">
      <c r="A797" s="3510">
        <v>793</v>
      </c>
      <c r="B797" s="3489" t="s">
        <v>3465</v>
      </c>
      <c r="C797" s="3500">
        <v>-102</v>
      </c>
      <c r="D797" s="3501">
        <v>814.77</v>
      </c>
      <c r="E797" s="3501"/>
    </row>
    <row r="798" spans="1:5" ht="15.75">
      <c r="A798" s="3510">
        <v>794</v>
      </c>
      <c r="B798" s="3489" t="s">
        <v>3465</v>
      </c>
      <c r="C798" s="3497">
        <v>1020</v>
      </c>
      <c r="D798" s="3498">
        <v>118.26</v>
      </c>
      <c r="E798" s="3505" t="s">
        <v>3476</v>
      </c>
    </row>
    <row r="799" spans="1:5" ht="15.75">
      <c r="A799" s="3510">
        <v>795</v>
      </c>
      <c r="B799" s="3489" t="s">
        <v>3465</v>
      </c>
      <c r="C799" s="3497">
        <v>1021</v>
      </c>
      <c r="D799" s="3498">
        <v>118.26</v>
      </c>
      <c r="E799" s="3505" t="s">
        <v>3476</v>
      </c>
    </row>
    <row r="800" spans="1:5" ht="15.75">
      <c r="A800" s="3510">
        <v>796</v>
      </c>
      <c r="B800" s="3489" t="s">
        <v>3465</v>
      </c>
      <c r="C800" s="3497">
        <v>1022</v>
      </c>
      <c r="D800" s="3498">
        <v>118.26</v>
      </c>
      <c r="E800" s="3505" t="s">
        <v>3476</v>
      </c>
    </row>
    <row r="801" spans="1:5" ht="15.75">
      <c r="A801" s="3510">
        <v>797</v>
      </c>
      <c r="B801" s="3489" t="s">
        <v>3465</v>
      </c>
      <c r="C801" s="3497">
        <v>1023</v>
      </c>
      <c r="D801" s="3498">
        <v>118.26</v>
      </c>
      <c r="E801" s="3505" t="s">
        <v>3476</v>
      </c>
    </row>
    <row r="802" spans="1:5" ht="15.75">
      <c r="A802" s="3510">
        <v>798</v>
      </c>
      <c r="B802" s="3489" t="s">
        <v>3465</v>
      </c>
      <c r="C802" s="3497">
        <v>1024</v>
      </c>
      <c r="D802" s="3498">
        <v>118.26</v>
      </c>
      <c r="E802" s="3505" t="s">
        <v>3476</v>
      </c>
    </row>
    <row r="803" spans="1:5" ht="15.75">
      <c r="A803" s="3510">
        <v>799</v>
      </c>
      <c r="B803" s="3489" t="s">
        <v>3465</v>
      </c>
      <c r="C803" s="3497">
        <v>1025</v>
      </c>
      <c r="D803" s="3498">
        <v>118.26</v>
      </c>
      <c r="E803" s="3505" t="s">
        <v>3476</v>
      </c>
    </row>
    <row r="804" spans="1:5" ht="15.75">
      <c r="A804" s="3510">
        <v>800</v>
      </c>
      <c r="B804" s="3489" t="s">
        <v>3465</v>
      </c>
      <c r="C804" s="3497">
        <v>1026</v>
      </c>
      <c r="D804" s="3498">
        <v>118.26</v>
      </c>
      <c r="E804" s="3505" t="s">
        <v>3476</v>
      </c>
    </row>
    <row r="805" spans="1:5" ht="15.75">
      <c r="A805" s="3510">
        <v>801</v>
      </c>
      <c r="B805" s="3489" t="s">
        <v>3465</v>
      </c>
      <c r="C805" s="3497">
        <v>1027</v>
      </c>
      <c r="D805" s="3498">
        <v>118.26</v>
      </c>
      <c r="E805" s="3505" t="s">
        <v>3476</v>
      </c>
    </row>
    <row r="806" spans="1:5" ht="15.75">
      <c r="A806" s="3510">
        <v>802</v>
      </c>
      <c r="B806" s="3489" t="s">
        <v>3465</v>
      </c>
      <c r="C806" s="3497">
        <v>1028</v>
      </c>
      <c r="D806" s="3498">
        <v>118.26</v>
      </c>
      <c r="E806" s="3505" t="s">
        <v>3476</v>
      </c>
    </row>
    <row r="807" spans="1:5" ht="15.75">
      <c r="A807" s="3510">
        <v>803</v>
      </c>
      <c r="B807" s="3489" t="s">
        <v>3465</v>
      </c>
      <c r="C807" s="3497">
        <v>1029</v>
      </c>
      <c r="D807" s="3498">
        <v>118.26</v>
      </c>
      <c r="E807" s="3505" t="s">
        <v>3476</v>
      </c>
    </row>
    <row r="808" spans="1:5" s="3502" customFormat="1" ht="15.75">
      <c r="A808" s="3510">
        <v>804</v>
      </c>
      <c r="B808" s="3489" t="s">
        <v>3465</v>
      </c>
      <c r="C808" s="3500">
        <v>-103</v>
      </c>
      <c r="D808" s="3501">
        <v>938.51</v>
      </c>
      <c r="E808" s="3501"/>
    </row>
    <row r="809" spans="1:5" ht="15.75">
      <c r="A809" s="3510">
        <v>805</v>
      </c>
      <c r="B809" s="3489" t="s">
        <v>3465</v>
      </c>
      <c r="C809" s="3497">
        <v>1030</v>
      </c>
      <c r="D809" s="3498">
        <v>118.26</v>
      </c>
      <c r="E809" s="3505" t="s">
        <v>3476</v>
      </c>
    </row>
    <row r="810" spans="1:5" ht="15.75">
      <c r="A810" s="3510">
        <v>806</v>
      </c>
      <c r="B810" s="3489" t="s">
        <v>3465</v>
      </c>
      <c r="C810" s="3497">
        <v>1031</v>
      </c>
      <c r="D810" s="3498">
        <v>118.26</v>
      </c>
      <c r="E810" s="3505" t="s">
        <v>3476</v>
      </c>
    </row>
    <row r="811" spans="1:5" ht="15.75">
      <c r="A811" s="3510">
        <v>807</v>
      </c>
      <c r="B811" s="3489" t="s">
        <v>3465</v>
      </c>
      <c r="C811" s="3497">
        <v>1032</v>
      </c>
      <c r="D811" s="3498">
        <v>118.26</v>
      </c>
      <c r="E811" s="3505" t="s">
        <v>3476</v>
      </c>
    </row>
    <row r="812" spans="1:5" ht="15.75">
      <c r="A812" s="3510">
        <v>808</v>
      </c>
      <c r="B812" s="3489" t="s">
        <v>3465</v>
      </c>
      <c r="C812" s="3497">
        <v>1033</v>
      </c>
      <c r="D812" s="3498">
        <v>118.26</v>
      </c>
      <c r="E812" s="3505" t="s">
        <v>3476</v>
      </c>
    </row>
    <row r="813" spans="1:5" ht="15.75">
      <c r="A813" s="3510">
        <v>809</v>
      </c>
      <c r="B813" s="3489" t="s">
        <v>3465</v>
      </c>
      <c r="C813" s="3497">
        <v>1034</v>
      </c>
      <c r="D813" s="3498">
        <v>118.26</v>
      </c>
      <c r="E813" s="3505" t="s">
        <v>3476</v>
      </c>
    </row>
    <row r="814" spans="1:5" ht="15.75">
      <c r="A814" s="3510">
        <v>810</v>
      </c>
      <c r="B814" s="3489" t="s">
        <v>3465</v>
      </c>
      <c r="C814" s="3490">
        <v>1035</v>
      </c>
      <c r="D814" s="3491">
        <v>118.26</v>
      </c>
      <c r="E814" s="3505" t="s">
        <v>3476</v>
      </c>
    </row>
    <row r="815" spans="1:5" ht="15.75">
      <c r="A815" s="3510">
        <v>811</v>
      </c>
      <c r="B815" s="3489" t="s">
        <v>3465</v>
      </c>
      <c r="C815" s="3490">
        <v>1036</v>
      </c>
      <c r="D815" s="3491">
        <v>118.26</v>
      </c>
      <c r="E815" s="3505" t="s">
        <v>3476</v>
      </c>
    </row>
    <row r="816" spans="1:5" ht="15.75">
      <c r="A816" s="3510">
        <v>812</v>
      </c>
      <c r="B816" s="3489" t="s">
        <v>3465</v>
      </c>
      <c r="C816" s="3490">
        <v>1037</v>
      </c>
      <c r="D816" s="3491">
        <v>118.26</v>
      </c>
      <c r="E816" s="3505" t="s">
        <v>3476</v>
      </c>
    </row>
    <row r="817" spans="1:5" ht="15.75">
      <c r="A817" s="3510">
        <v>813</v>
      </c>
      <c r="B817" s="3489" t="s">
        <v>3465</v>
      </c>
      <c r="C817" s="3490">
        <v>1038</v>
      </c>
      <c r="D817" s="3491">
        <v>118.26</v>
      </c>
      <c r="E817" s="3505" t="s">
        <v>3476</v>
      </c>
    </row>
    <row r="818" spans="1:5" ht="15.75">
      <c r="A818" s="3510">
        <v>814</v>
      </c>
      <c r="B818" s="3489" t="s">
        <v>3465</v>
      </c>
      <c r="C818" s="3490">
        <v>1039</v>
      </c>
      <c r="D818" s="3491">
        <v>118.26</v>
      </c>
      <c r="E818" s="3505" t="s">
        <v>3476</v>
      </c>
    </row>
    <row r="819" spans="1:5" ht="15.75">
      <c r="A819" s="3510">
        <v>815</v>
      </c>
      <c r="B819" s="3489" t="s">
        <v>3465</v>
      </c>
      <c r="C819" s="3490">
        <v>-104</v>
      </c>
      <c r="D819" s="3491">
        <v>4295.38</v>
      </c>
      <c r="E819" s="3506" t="s">
        <v>3479</v>
      </c>
    </row>
    <row r="820" spans="1:5" ht="15.75">
      <c r="A820" s="3510">
        <v>816</v>
      </c>
      <c r="B820" s="3489" t="s">
        <v>3465</v>
      </c>
      <c r="C820" s="3490">
        <v>1040</v>
      </c>
      <c r="D820" s="3491">
        <v>118.26</v>
      </c>
      <c r="E820" s="3505" t="s">
        <v>3476</v>
      </c>
    </row>
    <row r="821" spans="1:5" ht="15.75">
      <c r="A821" s="3510">
        <v>817</v>
      </c>
      <c r="B821" s="3489" t="s">
        <v>3465</v>
      </c>
      <c r="C821" s="3490">
        <v>1041</v>
      </c>
      <c r="D821" s="3491">
        <v>118.26</v>
      </c>
      <c r="E821" s="3505" t="s">
        <v>3476</v>
      </c>
    </row>
    <row r="822" spans="1:5" ht="15.75">
      <c r="A822" s="3510">
        <v>818</v>
      </c>
      <c r="B822" s="3489" t="s">
        <v>3465</v>
      </c>
      <c r="C822" s="3490">
        <v>1042</v>
      </c>
      <c r="D822" s="3491">
        <v>118.26</v>
      </c>
      <c r="E822" s="3505" t="s">
        <v>3476</v>
      </c>
    </row>
    <row r="823" spans="1:5" ht="15.75">
      <c r="A823" s="3510">
        <v>819</v>
      </c>
      <c r="B823" s="3489" t="s">
        <v>3465</v>
      </c>
      <c r="C823" s="3490">
        <v>1043</v>
      </c>
      <c r="D823" s="3491">
        <v>118.26</v>
      </c>
      <c r="E823" s="3505" t="s">
        <v>3476</v>
      </c>
    </row>
    <row r="824" spans="1:5" ht="15.75">
      <c r="A824" s="3510">
        <v>820</v>
      </c>
      <c r="B824" s="3489" t="s">
        <v>3465</v>
      </c>
      <c r="C824" s="3490">
        <v>1044</v>
      </c>
      <c r="D824" s="3491">
        <v>118.26</v>
      </c>
      <c r="E824" s="3505" t="s">
        <v>3476</v>
      </c>
    </row>
    <row r="825" spans="1:5" ht="15.75">
      <c r="A825" s="3510">
        <v>821</v>
      </c>
      <c r="B825" s="3489" t="s">
        <v>3465</v>
      </c>
      <c r="C825" s="3490">
        <v>1045</v>
      </c>
      <c r="D825" s="3491">
        <v>118.26</v>
      </c>
      <c r="E825" s="3505" t="s">
        <v>3476</v>
      </c>
    </row>
    <row r="826" spans="1:5" ht="15.75">
      <c r="A826" s="3510">
        <v>822</v>
      </c>
      <c r="B826" s="3489" t="s">
        <v>3465</v>
      </c>
      <c r="C826" s="3490">
        <v>1046</v>
      </c>
      <c r="D826" s="3491">
        <v>118.26</v>
      </c>
      <c r="E826" s="3505" t="s">
        <v>3476</v>
      </c>
    </row>
    <row r="827" spans="1:5">
      <c r="A827" s="3488"/>
      <c r="B827" s="3489"/>
      <c r="C827" s="3490"/>
      <c r="D827" s="3491">
        <f>SUM(D777:D826)</f>
        <v>11774.050000000007</v>
      </c>
      <c r="E827" s="3491"/>
    </row>
    <row r="828" spans="1:5" ht="15.75">
      <c r="A828" s="3510">
        <v>823</v>
      </c>
      <c r="B828" s="3489" t="s">
        <v>3466</v>
      </c>
      <c r="C828" s="3490">
        <v>101</v>
      </c>
      <c r="D828" s="3491">
        <v>9566.2800000000007</v>
      </c>
      <c r="E828" s="3505" t="s">
        <v>3424</v>
      </c>
    </row>
    <row r="829" spans="1:5" ht="15.75">
      <c r="A829" s="3510">
        <v>824</v>
      </c>
      <c r="B829" s="3489" t="s">
        <v>3466</v>
      </c>
      <c r="C829" s="3490">
        <v>102</v>
      </c>
      <c r="D829" s="3491">
        <v>404.69</v>
      </c>
      <c r="E829" s="3505" t="s">
        <v>3424</v>
      </c>
    </row>
    <row r="830" spans="1:5" ht="15.75">
      <c r="A830" s="3510"/>
      <c r="B830" s="3600" t="s">
        <v>3467</v>
      </c>
      <c r="C830" s="3600"/>
      <c r="D830" s="3491">
        <f>SUM(D828:D829)</f>
        <v>9970.9700000000012</v>
      </c>
      <c r="E830" s="3491"/>
    </row>
    <row r="831" spans="1:5" ht="15.75">
      <c r="A831" s="3510">
        <v>825</v>
      </c>
      <c r="B831" s="3489" t="s">
        <v>3468</v>
      </c>
      <c r="C831" s="3490">
        <v>201</v>
      </c>
      <c r="D831" s="3491">
        <v>10214.120000000001</v>
      </c>
      <c r="E831" s="3505" t="s">
        <v>3424</v>
      </c>
    </row>
    <row r="832" spans="1:5" ht="15.75">
      <c r="A832" s="3510">
        <v>826</v>
      </c>
      <c r="B832" s="3489" t="s">
        <v>3469</v>
      </c>
      <c r="C832" s="3490">
        <v>301</v>
      </c>
      <c r="D832" s="3491">
        <v>8263.26</v>
      </c>
      <c r="E832" s="3505" t="s">
        <v>3424</v>
      </c>
    </row>
    <row r="833" spans="1:5" ht="15.75">
      <c r="A833" s="3510">
        <v>827</v>
      </c>
      <c r="B833" s="3489" t="s">
        <v>3469</v>
      </c>
      <c r="C833" s="3490">
        <v>302</v>
      </c>
      <c r="D833" s="3491">
        <v>72.05</v>
      </c>
      <c r="E833" s="3505" t="s">
        <v>3474</v>
      </c>
    </row>
    <row r="834" spans="1:5" ht="15.75">
      <c r="A834" s="3510">
        <v>828</v>
      </c>
      <c r="B834" s="3489" t="s">
        <v>3469</v>
      </c>
      <c r="C834" s="3490">
        <v>303</v>
      </c>
      <c r="D834" s="3491">
        <v>70</v>
      </c>
      <c r="E834" s="3505" t="s">
        <v>3474</v>
      </c>
    </row>
    <row r="835" spans="1:5" ht="15.75">
      <c r="A835" s="3510">
        <v>829</v>
      </c>
      <c r="B835" s="3489" t="s">
        <v>3469</v>
      </c>
      <c r="C835" s="3490">
        <v>305</v>
      </c>
      <c r="D835" s="3491">
        <v>70</v>
      </c>
      <c r="E835" s="3505" t="s">
        <v>3474</v>
      </c>
    </row>
    <row r="836" spans="1:5" ht="15.75">
      <c r="A836" s="3510">
        <v>830</v>
      </c>
      <c r="B836" s="3489" t="s">
        <v>3469</v>
      </c>
      <c r="C836" s="3490">
        <v>306</v>
      </c>
      <c r="D836" s="3491">
        <v>69.069999999999993</v>
      </c>
      <c r="E836" s="3505" t="s">
        <v>3474</v>
      </c>
    </row>
    <row r="837" spans="1:5" ht="15.75">
      <c r="A837" s="3510">
        <v>831</v>
      </c>
      <c r="B837" s="3489" t="s">
        <v>3469</v>
      </c>
      <c r="C837" s="3490">
        <v>307</v>
      </c>
      <c r="D837" s="3491">
        <v>118.45</v>
      </c>
      <c r="E837" s="3505" t="s">
        <v>3474</v>
      </c>
    </row>
    <row r="838" spans="1:5" ht="15.75">
      <c r="A838" s="3510">
        <v>832</v>
      </c>
      <c r="B838" s="3489" t="s">
        <v>3469</v>
      </c>
      <c r="C838" s="3490">
        <v>308</v>
      </c>
      <c r="D838" s="3491">
        <v>113.43</v>
      </c>
      <c r="E838" s="3505" t="s">
        <v>3474</v>
      </c>
    </row>
    <row r="839" spans="1:5" ht="15.75">
      <c r="A839" s="3510">
        <v>833</v>
      </c>
      <c r="B839" s="3489" t="s">
        <v>3469</v>
      </c>
      <c r="C839" s="3490">
        <v>309</v>
      </c>
      <c r="D839" s="3491">
        <v>70</v>
      </c>
      <c r="E839" s="3505" t="s">
        <v>3474</v>
      </c>
    </row>
    <row r="840" spans="1:5" ht="15.75">
      <c r="A840" s="3510">
        <v>834</v>
      </c>
      <c r="B840" s="3489" t="s">
        <v>3469</v>
      </c>
      <c r="C840" s="3490">
        <v>310</v>
      </c>
      <c r="D840" s="3491">
        <v>70</v>
      </c>
      <c r="E840" s="3505" t="s">
        <v>3474</v>
      </c>
    </row>
    <row r="841" spans="1:5" ht="15.75">
      <c r="A841" s="3510">
        <v>835</v>
      </c>
      <c r="B841" s="3489" t="s">
        <v>3469</v>
      </c>
      <c r="C841" s="3490">
        <v>311</v>
      </c>
      <c r="D841" s="3491">
        <v>70</v>
      </c>
      <c r="E841" s="3505" t="s">
        <v>3474</v>
      </c>
    </row>
    <row r="842" spans="1:5" ht="15.75">
      <c r="A842" s="3510">
        <v>836</v>
      </c>
      <c r="B842" s="3489" t="s">
        <v>3469</v>
      </c>
      <c r="C842" s="3490">
        <v>312</v>
      </c>
      <c r="D842" s="3491">
        <v>71.489999999999995</v>
      </c>
      <c r="E842" s="3505" t="s">
        <v>3474</v>
      </c>
    </row>
    <row r="843" spans="1:5" ht="15.75">
      <c r="A843" s="3510">
        <v>837</v>
      </c>
      <c r="B843" s="3489" t="s">
        <v>3469</v>
      </c>
      <c r="C843" s="3490">
        <v>315</v>
      </c>
      <c r="D843" s="3494">
        <v>98.61</v>
      </c>
      <c r="E843" s="3505" t="s">
        <v>3424</v>
      </c>
    </row>
    <row r="844" spans="1:5" ht="15.75">
      <c r="A844" s="3510">
        <v>838</v>
      </c>
      <c r="B844" s="3489" t="s">
        <v>3469</v>
      </c>
      <c r="C844" s="3490">
        <v>316</v>
      </c>
      <c r="D844" s="3491">
        <v>90.42</v>
      </c>
      <c r="E844" s="3505" t="s">
        <v>3424</v>
      </c>
    </row>
    <row r="845" spans="1:5" ht="15.75">
      <c r="A845" s="3510">
        <v>839</v>
      </c>
      <c r="B845" s="3489" t="s">
        <v>3469</v>
      </c>
      <c r="C845" s="3490">
        <v>317</v>
      </c>
      <c r="D845" s="3491">
        <v>57.07</v>
      </c>
      <c r="E845" s="3505" t="s">
        <v>3424</v>
      </c>
    </row>
    <row r="846" spans="1:5" ht="15.75">
      <c r="A846" s="3510">
        <v>840</v>
      </c>
      <c r="B846" s="3489" t="s">
        <v>3469</v>
      </c>
      <c r="C846" s="3490">
        <v>318</v>
      </c>
      <c r="D846" s="3491">
        <v>57.07</v>
      </c>
      <c r="E846" s="3505" t="s">
        <v>3424</v>
      </c>
    </row>
    <row r="847" spans="1:5" ht="15.75">
      <c r="A847" s="3510">
        <v>841</v>
      </c>
      <c r="B847" s="3489" t="s">
        <v>3469</v>
      </c>
      <c r="C847" s="3490">
        <v>319</v>
      </c>
      <c r="D847" s="3491">
        <v>63.66</v>
      </c>
      <c r="E847" s="3505" t="s">
        <v>3424</v>
      </c>
    </row>
    <row r="848" spans="1:5" ht="15.75">
      <c r="A848" s="3510">
        <v>842</v>
      </c>
      <c r="B848" s="3489" t="s">
        <v>3469</v>
      </c>
      <c r="C848" s="3490">
        <v>320</v>
      </c>
      <c r="D848" s="3491">
        <v>66.069999999999993</v>
      </c>
      <c r="E848" s="3505" t="s">
        <v>3424</v>
      </c>
    </row>
    <row r="849" spans="1:5" ht="15.75">
      <c r="A849" s="3510">
        <v>843</v>
      </c>
      <c r="B849" s="3489" t="s">
        <v>3469</v>
      </c>
      <c r="C849" s="3490">
        <v>321</v>
      </c>
      <c r="D849" s="3491">
        <v>59.04</v>
      </c>
      <c r="E849" s="3505" t="s">
        <v>3424</v>
      </c>
    </row>
    <row r="850" spans="1:5" ht="15.75">
      <c r="A850" s="3510">
        <v>844</v>
      </c>
      <c r="B850" s="3489" t="s">
        <v>3469</v>
      </c>
      <c r="C850" s="3490">
        <v>322</v>
      </c>
      <c r="D850" s="3491">
        <v>59.04</v>
      </c>
      <c r="E850" s="3505" t="s">
        <v>3424</v>
      </c>
    </row>
    <row r="851" spans="1:5" ht="15.75">
      <c r="A851" s="3510">
        <v>845</v>
      </c>
      <c r="B851" s="3489" t="s">
        <v>3469</v>
      </c>
      <c r="C851" s="3490">
        <v>323</v>
      </c>
      <c r="D851" s="3495">
        <v>58.12</v>
      </c>
      <c r="E851" s="3505" t="s">
        <v>3424</v>
      </c>
    </row>
    <row r="852" spans="1:5" ht="15.75">
      <c r="A852" s="3510">
        <v>846</v>
      </c>
      <c r="B852" s="3489" t="s">
        <v>3469</v>
      </c>
      <c r="C852" s="3490">
        <v>325</v>
      </c>
      <c r="D852" s="3491">
        <v>53.91</v>
      </c>
      <c r="E852" s="3505" t="s">
        <v>3424</v>
      </c>
    </row>
    <row r="853" spans="1:5" ht="15.75">
      <c r="A853" s="3510">
        <v>847</v>
      </c>
      <c r="B853" s="3489" t="s">
        <v>3469</v>
      </c>
      <c r="C853" s="3490">
        <v>326</v>
      </c>
      <c r="D853" s="3491">
        <v>55.23</v>
      </c>
      <c r="E853" s="3505" t="s">
        <v>3424</v>
      </c>
    </row>
    <row r="854" spans="1:5" ht="15.75">
      <c r="A854" s="3510">
        <v>848</v>
      </c>
      <c r="B854" s="3489" t="s">
        <v>3469</v>
      </c>
      <c r="C854" s="3490">
        <v>327</v>
      </c>
      <c r="D854" s="3491">
        <v>57.78</v>
      </c>
      <c r="E854" s="3505" t="s">
        <v>3424</v>
      </c>
    </row>
    <row r="855" spans="1:5" ht="15.75">
      <c r="A855" s="3510">
        <v>849</v>
      </c>
      <c r="B855" s="3489" t="s">
        <v>3469</v>
      </c>
      <c r="C855" s="3490">
        <v>328</v>
      </c>
      <c r="D855" s="3491">
        <v>60.89</v>
      </c>
      <c r="E855" s="3505" t="s">
        <v>3424</v>
      </c>
    </row>
    <row r="856" spans="1:5" ht="15.75">
      <c r="A856" s="3510">
        <v>850</v>
      </c>
      <c r="B856" s="3489" t="s">
        <v>3469</v>
      </c>
      <c r="C856" s="3490">
        <v>329</v>
      </c>
      <c r="D856" s="3491">
        <v>72.13</v>
      </c>
      <c r="E856" s="3505" t="s">
        <v>3424</v>
      </c>
    </row>
    <row r="857" spans="1:5" ht="15.75">
      <c r="A857" s="3510">
        <v>851</v>
      </c>
      <c r="B857" s="3489" t="s">
        <v>3469</v>
      </c>
      <c r="C857" s="3490">
        <v>330</v>
      </c>
      <c r="D857" s="3491">
        <v>67.099999999999994</v>
      </c>
      <c r="E857" s="3505" t="s">
        <v>3424</v>
      </c>
    </row>
    <row r="858" spans="1:5" ht="15.75">
      <c r="A858" s="3510">
        <v>852</v>
      </c>
      <c r="B858" s="3489" t="s">
        <v>3469</v>
      </c>
      <c r="C858" s="3490">
        <v>331</v>
      </c>
      <c r="D858" s="3491">
        <v>167.18</v>
      </c>
      <c r="E858" s="3505" t="s">
        <v>3424</v>
      </c>
    </row>
    <row r="859" spans="1:5" ht="15.75">
      <c r="A859" s="3510">
        <v>853</v>
      </c>
      <c r="B859" s="3489" t="s">
        <v>3469</v>
      </c>
      <c r="C859" s="3492">
        <v>332</v>
      </c>
      <c r="D859" s="3494">
        <v>67.510000000000005</v>
      </c>
      <c r="E859" s="3505" t="s">
        <v>3424</v>
      </c>
    </row>
    <row r="860" spans="1:5" ht="15.75">
      <c r="A860" s="3488"/>
      <c r="B860" s="3600" t="s">
        <v>3470</v>
      </c>
      <c r="C860" s="3600"/>
      <c r="D860" s="3494">
        <f>SUM(D832:D859)</f>
        <v>10268.580000000002</v>
      </c>
      <c r="E860" s="3494"/>
    </row>
    <row r="861" spans="1:5" ht="15.75">
      <c r="A861" s="3510">
        <v>854</v>
      </c>
      <c r="B861" s="3489" t="s">
        <v>3471</v>
      </c>
      <c r="C861" s="3490">
        <v>401</v>
      </c>
      <c r="D861" s="3491">
        <v>6894.84</v>
      </c>
      <c r="E861" s="3505" t="s">
        <v>3475</v>
      </c>
    </row>
    <row r="862" spans="1:5" ht="15.75">
      <c r="A862" s="3510">
        <v>855</v>
      </c>
      <c r="B862" s="3489" t="s">
        <v>3471</v>
      </c>
      <c r="C862" s="3490">
        <v>402</v>
      </c>
      <c r="D862" s="3491">
        <v>1693.82</v>
      </c>
      <c r="E862" s="3505" t="s">
        <v>3424</v>
      </c>
    </row>
    <row r="863" spans="1:5" ht="15.75">
      <c r="A863" s="3510">
        <v>856</v>
      </c>
      <c r="B863" s="3489" t="s">
        <v>3471</v>
      </c>
      <c r="C863" s="3490">
        <v>403</v>
      </c>
      <c r="D863" s="3491">
        <v>98.32</v>
      </c>
      <c r="E863" s="3505" t="s">
        <v>3424</v>
      </c>
    </row>
    <row r="864" spans="1:5" ht="15.75">
      <c r="A864" s="3510">
        <v>857</v>
      </c>
      <c r="B864" s="3489" t="s">
        <v>3471</v>
      </c>
      <c r="C864" s="3490">
        <v>405</v>
      </c>
      <c r="D864" s="3491">
        <v>90.16</v>
      </c>
      <c r="E864" s="3505" t="s">
        <v>3424</v>
      </c>
    </row>
    <row r="865" spans="1:5" ht="15.75">
      <c r="A865" s="3510">
        <v>858</v>
      </c>
      <c r="B865" s="3489" t="s">
        <v>3471</v>
      </c>
      <c r="C865" s="3490">
        <v>406</v>
      </c>
      <c r="D865" s="3491">
        <v>56.9</v>
      </c>
      <c r="E865" s="3505" t="s">
        <v>3424</v>
      </c>
    </row>
    <row r="866" spans="1:5" ht="15.75">
      <c r="A866" s="3510">
        <v>859</v>
      </c>
      <c r="B866" s="3489" t="s">
        <v>3471</v>
      </c>
      <c r="C866" s="3490">
        <v>407</v>
      </c>
      <c r="D866" s="3491">
        <v>56.9</v>
      </c>
      <c r="E866" s="3505" t="s">
        <v>3424</v>
      </c>
    </row>
    <row r="867" spans="1:5" ht="15.75">
      <c r="A867" s="3510">
        <v>860</v>
      </c>
      <c r="B867" s="3489" t="s">
        <v>3471</v>
      </c>
      <c r="C867" s="3490">
        <v>408</v>
      </c>
      <c r="D867" s="3491">
        <v>63.47</v>
      </c>
      <c r="E867" s="3505" t="s">
        <v>3424</v>
      </c>
    </row>
    <row r="868" spans="1:5" ht="15.75">
      <c r="A868" s="3510">
        <v>861</v>
      </c>
      <c r="B868" s="3489" t="s">
        <v>3471</v>
      </c>
      <c r="C868" s="3490">
        <v>409</v>
      </c>
      <c r="D868" s="3491">
        <v>65.88</v>
      </c>
      <c r="E868" s="3505" t="s">
        <v>3424</v>
      </c>
    </row>
    <row r="869" spans="1:5" ht="15.75">
      <c r="A869" s="3510">
        <v>862</v>
      </c>
      <c r="B869" s="3489" t="s">
        <v>3471</v>
      </c>
      <c r="C869" s="3490">
        <v>410</v>
      </c>
      <c r="D869" s="3491">
        <v>58.87</v>
      </c>
      <c r="E869" s="3505" t="s">
        <v>3424</v>
      </c>
    </row>
    <row r="870" spans="1:5" ht="15.75">
      <c r="A870" s="3510">
        <v>863</v>
      </c>
      <c r="B870" s="3489" t="s">
        <v>3471</v>
      </c>
      <c r="C870" s="3490">
        <v>411</v>
      </c>
      <c r="D870" s="3491">
        <v>58.87</v>
      </c>
      <c r="E870" s="3505" t="s">
        <v>3424</v>
      </c>
    </row>
    <row r="871" spans="1:5" ht="15.75">
      <c r="A871" s="3510">
        <v>864</v>
      </c>
      <c r="B871" s="3489" t="s">
        <v>3471</v>
      </c>
      <c r="C871" s="3490">
        <v>412</v>
      </c>
      <c r="D871" s="3491">
        <v>57.95</v>
      </c>
      <c r="E871" s="3505" t="s">
        <v>3424</v>
      </c>
    </row>
    <row r="872" spans="1:5" ht="15.75">
      <c r="A872" s="3510">
        <v>865</v>
      </c>
      <c r="B872" s="3489" t="s">
        <v>3471</v>
      </c>
      <c r="C872" s="3490">
        <v>415</v>
      </c>
      <c r="D872" s="3491">
        <v>82.59</v>
      </c>
      <c r="E872" s="3505" t="s">
        <v>3424</v>
      </c>
    </row>
    <row r="873" spans="1:5" ht="15.75">
      <c r="A873" s="3510">
        <v>866</v>
      </c>
      <c r="B873" s="3489" t="s">
        <v>3471</v>
      </c>
      <c r="C873" s="3490">
        <v>416</v>
      </c>
      <c r="D873" s="3491">
        <v>80.23</v>
      </c>
      <c r="E873" s="3505" t="s">
        <v>3424</v>
      </c>
    </row>
    <row r="874" spans="1:5" ht="15.75">
      <c r="A874" s="3510">
        <v>867</v>
      </c>
      <c r="B874" s="3489" t="s">
        <v>3471</v>
      </c>
      <c r="C874" s="3490">
        <v>417</v>
      </c>
      <c r="D874" s="3491">
        <v>80.23</v>
      </c>
      <c r="E874" s="3505" t="s">
        <v>3424</v>
      </c>
    </row>
    <row r="875" spans="1:5" ht="15.75">
      <c r="A875" s="3510">
        <v>868</v>
      </c>
      <c r="B875" s="3489" t="s">
        <v>3471</v>
      </c>
      <c r="C875" s="3490">
        <v>418</v>
      </c>
      <c r="D875" s="3491">
        <v>79.17</v>
      </c>
      <c r="E875" s="3505" t="s">
        <v>3424</v>
      </c>
    </row>
    <row r="876" spans="1:5" ht="15.75">
      <c r="A876" s="3510">
        <v>869</v>
      </c>
      <c r="B876" s="3489" t="s">
        <v>3471</v>
      </c>
      <c r="C876" s="3490">
        <v>419</v>
      </c>
      <c r="D876" s="3491">
        <v>135.76</v>
      </c>
      <c r="E876" s="3505" t="s">
        <v>3424</v>
      </c>
    </row>
    <row r="877" spans="1:5" ht="15.75">
      <c r="A877" s="3510">
        <v>870</v>
      </c>
      <c r="B877" s="3489" t="s">
        <v>3471</v>
      </c>
      <c r="C877" s="3490">
        <v>420</v>
      </c>
      <c r="D877" s="3491">
        <v>130.01</v>
      </c>
      <c r="E877" s="3505" t="s">
        <v>3424</v>
      </c>
    </row>
    <row r="878" spans="1:5" ht="15.75">
      <c r="A878" s="3510">
        <v>871</v>
      </c>
      <c r="B878" s="3489" t="s">
        <v>3471</v>
      </c>
      <c r="C878" s="3490">
        <v>421</v>
      </c>
      <c r="D878" s="3491">
        <v>80.23</v>
      </c>
      <c r="E878" s="3505" t="s">
        <v>3424</v>
      </c>
    </row>
    <row r="879" spans="1:5" ht="15.75">
      <c r="A879" s="3510">
        <v>872</v>
      </c>
      <c r="B879" s="3489" t="s">
        <v>3471</v>
      </c>
      <c r="C879" s="3490">
        <v>422</v>
      </c>
      <c r="D879" s="3491">
        <v>80.23</v>
      </c>
      <c r="E879" s="3505" t="s">
        <v>3424</v>
      </c>
    </row>
    <row r="880" spans="1:5" ht="15.75">
      <c r="A880" s="3510">
        <v>873</v>
      </c>
      <c r="B880" s="3489" t="s">
        <v>3471</v>
      </c>
      <c r="C880" s="3490">
        <v>423</v>
      </c>
      <c r="D880" s="3491">
        <v>80.23</v>
      </c>
      <c r="E880" s="3505" t="s">
        <v>3424</v>
      </c>
    </row>
    <row r="881" spans="1:5" ht="15.75">
      <c r="A881" s="3510">
        <v>874</v>
      </c>
      <c r="B881" s="3489" t="s">
        <v>3471</v>
      </c>
      <c r="C881" s="3490">
        <v>425</v>
      </c>
      <c r="D881" s="3495">
        <v>81.93</v>
      </c>
      <c r="E881" s="3505" t="s">
        <v>3424</v>
      </c>
    </row>
    <row r="882" spans="1:5" ht="15.75">
      <c r="A882" s="3510">
        <v>875</v>
      </c>
      <c r="B882" s="3489" t="s">
        <v>3471</v>
      </c>
      <c r="C882" s="3490">
        <v>426</v>
      </c>
      <c r="D882" s="3491">
        <v>69.989999999999995</v>
      </c>
      <c r="E882" s="3505" t="s">
        <v>3424</v>
      </c>
    </row>
    <row r="883" spans="1:5" ht="15.75">
      <c r="A883" s="3510">
        <v>876</v>
      </c>
      <c r="B883" s="3489" t="s">
        <v>3471</v>
      </c>
      <c r="C883" s="3490">
        <v>427</v>
      </c>
      <c r="D883" s="3491">
        <v>71.69</v>
      </c>
      <c r="E883" s="3505" t="s">
        <v>3424</v>
      </c>
    </row>
    <row r="884" spans="1:5" ht="15.75">
      <c r="A884" s="3510">
        <v>877</v>
      </c>
      <c r="B884" s="3489" t="s">
        <v>3471</v>
      </c>
      <c r="C884" s="3490">
        <v>428</v>
      </c>
      <c r="D884" s="3491">
        <v>57.8</v>
      </c>
      <c r="E884" s="3505" t="s">
        <v>3424</v>
      </c>
    </row>
    <row r="885" spans="1:5" ht="15.75">
      <c r="A885" s="3510">
        <v>878</v>
      </c>
      <c r="B885" s="3489" t="s">
        <v>3471</v>
      </c>
      <c r="C885" s="3490">
        <v>429</v>
      </c>
      <c r="D885" s="3491">
        <v>60.91</v>
      </c>
      <c r="E885" s="3505" t="s">
        <v>3424</v>
      </c>
    </row>
    <row r="886" spans="1:5" ht="15.75">
      <c r="A886" s="3510">
        <v>879</v>
      </c>
      <c r="B886" s="3489" t="s">
        <v>3471</v>
      </c>
      <c r="C886" s="3490">
        <v>430</v>
      </c>
      <c r="D886" s="3491">
        <v>72.150000000000006</v>
      </c>
      <c r="E886" s="3505" t="s">
        <v>3424</v>
      </c>
    </row>
    <row r="887" spans="1:5" ht="15.75">
      <c r="A887" s="3510">
        <v>880</v>
      </c>
      <c r="B887" s="3489" t="s">
        <v>3471</v>
      </c>
      <c r="C887" s="3490">
        <v>431</v>
      </c>
      <c r="D887" s="3491">
        <v>67.12</v>
      </c>
      <c r="E887" s="3505" t="s">
        <v>3424</v>
      </c>
    </row>
    <row r="888" spans="1:5" ht="15.75">
      <c r="A888" s="3510">
        <v>881</v>
      </c>
      <c r="B888" s="3489" t="s">
        <v>3471</v>
      </c>
      <c r="C888" s="3490">
        <v>432</v>
      </c>
      <c r="D888" s="3491">
        <v>167.24</v>
      </c>
      <c r="E888" s="3505" t="s">
        <v>3424</v>
      </c>
    </row>
    <row r="889" spans="1:5" ht="15.75">
      <c r="A889" s="3510">
        <v>882</v>
      </c>
      <c r="B889" s="3489" t="s">
        <v>3471</v>
      </c>
      <c r="C889" s="3490">
        <v>433</v>
      </c>
      <c r="D889" s="3491">
        <v>67.53</v>
      </c>
      <c r="E889" s="3505" t="s">
        <v>3424</v>
      </c>
    </row>
    <row r="890" spans="1:5" ht="15.75">
      <c r="A890" s="3488"/>
      <c r="B890" s="3600" t="s">
        <v>3472</v>
      </c>
      <c r="C890" s="3600"/>
      <c r="D890" s="3494">
        <f>SUM(D861:D889)</f>
        <v>10741.019999999999</v>
      </c>
      <c r="E890" s="3494"/>
    </row>
    <row r="891" spans="1:5">
      <c r="A891" s="3488"/>
      <c r="B891" s="3603" t="s">
        <v>3483</v>
      </c>
      <c r="C891" s="3600"/>
      <c r="D891" s="3494">
        <f>SUM(D53,D417,D776,D827,D830,D831,D860,D890)</f>
        <v>80996.480000000069</v>
      </c>
      <c r="E891" s="3494"/>
    </row>
    <row r="892" spans="1:5">
      <c r="D892" s="3525">
        <f>D808+D797+D786</f>
        <v>2141.35</v>
      </c>
    </row>
    <row r="893" spans="1:5">
      <c r="D893" s="3526">
        <f>D891-D892</f>
        <v>78855.130000000063</v>
      </c>
    </row>
  </sheetData>
  <mergeCells count="6">
    <mergeCell ref="B890:C890"/>
    <mergeCell ref="B53:C53"/>
    <mergeCell ref="B417:C417"/>
    <mergeCell ref="B891:C891"/>
    <mergeCell ref="B860:C860"/>
    <mergeCell ref="B830:C830"/>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22" sqref="G22"/>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13" t="s">
        <v>1131</v>
      </c>
      <c r="B2" s="3613"/>
      <c r="C2" s="3613"/>
      <c r="D2" s="791" t="s">
        <v>1107</v>
      </c>
      <c r="E2" s="1634" t="s">
        <v>1108</v>
      </c>
      <c r="F2" s="2653"/>
      <c r="G2" s="2645"/>
      <c r="H2" s="2646"/>
      <c r="I2" s="2320" t="s">
        <v>1132</v>
      </c>
      <c r="J2" s="2653"/>
      <c r="K2" s="2653"/>
      <c r="L2" s="2653"/>
      <c r="M2" s="2653"/>
      <c r="N2" s="2655"/>
      <c r="O2" s="2653"/>
      <c r="P2" s="2653"/>
    </row>
    <row r="3" spans="1:16" ht="15.75" thickBot="1">
      <c r="A3" s="3614" t="s">
        <v>1105</v>
      </c>
      <c r="B3" s="3614"/>
      <c r="C3" s="3614"/>
      <c r="D3" s="43">
        <f>'数据-基础表'!AY6</f>
        <v>10858.85</v>
      </c>
      <c r="E3" s="43">
        <f>'数据-基础表'!AZ5</f>
        <v>78855.130000000063</v>
      </c>
      <c r="F3" s="2653"/>
      <c r="G3" s="1140"/>
      <c r="H3" s="1021" t="s">
        <v>1106</v>
      </c>
      <c r="I3" s="850">
        <f>ROUND('数据-基础表'!B3/'数据-基础表'!A3,2)</f>
        <v>7.26</v>
      </c>
      <c r="J3" s="2653"/>
      <c r="K3" s="2653"/>
      <c r="L3" s="2653"/>
      <c r="M3" s="2653"/>
      <c r="N3" s="2655"/>
      <c r="O3" s="2653"/>
      <c r="P3" s="2653"/>
    </row>
    <row r="4" spans="1:16" ht="15">
      <c r="A4" s="3615"/>
      <c r="B4" s="3616"/>
      <c r="C4" s="3617"/>
      <c r="D4" s="1636" t="s">
        <v>1107</v>
      </c>
      <c r="E4" s="1637" t="s">
        <v>1108</v>
      </c>
      <c r="F4" s="2653"/>
      <c r="G4" s="2647" t="s">
        <v>1133</v>
      </c>
      <c r="H4" s="1021" t="s">
        <v>1113</v>
      </c>
      <c r="I4" s="850">
        <f>ROUND(SUMIF('数据-基础表'!I9:AS9,"地上",'数据-基础表'!I5:AS5)/'数据-基础表'!A3,2)</f>
        <v>2.13</v>
      </c>
      <c r="J4" s="2653"/>
      <c r="K4" s="2653"/>
      <c r="L4" s="2653"/>
      <c r="M4" s="2653"/>
      <c r="N4" s="2655"/>
      <c r="O4" s="2653"/>
      <c r="P4" s="2653"/>
    </row>
    <row r="5" spans="1:16">
      <c r="A5" s="44" t="s">
        <v>1109</v>
      </c>
      <c r="B5" s="3618" t="s">
        <v>1110</v>
      </c>
      <c r="C5" s="3618"/>
      <c r="D5" s="45">
        <f>ROUND($D$3*E5/$E$3,2)</f>
        <v>0</v>
      </c>
      <c r="E5" s="46">
        <f>SUMIF('数据-基础表'!$11:$11,"住宅",'数据-基础表'!$5:$5)</f>
        <v>0</v>
      </c>
      <c r="F5" s="2653"/>
      <c r="G5" s="1140"/>
      <c r="H5" s="1021" t="s">
        <v>1106</v>
      </c>
      <c r="I5" s="850">
        <f>ROUND(E31/D31,2)</f>
        <v>7.26</v>
      </c>
      <c r="J5" s="2653"/>
      <c r="K5" s="2653"/>
      <c r="L5" s="2653"/>
      <c r="M5" s="2653"/>
      <c r="N5" s="2653"/>
      <c r="O5" s="2653"/>
      <c r="P5" s="2653"/>
    </row>
    <row r="6" spans="1:16" ht="15" thickBot="1">
      <c r="A6" s="1639"/>
      <c r="B6" s="3618" t="s">
        <v>1111</v>
      </c>
      <c r="C6" s="3618"/>
      <c r="D6" s="45">
        <f>ROUND($D$3*E6/$E$3,2)</f>
        <v>10858.85</v>
      </c>
      <c r="E6" s="46">
        <f>E3-E5</f>
        <v>78855.130000000063</v>
      </c>
      <c r="F6" s="2653"/>
      <c r="G6" s="2648" t="s">
        <v>1112</v>
      </c>
      <c r="H6" s="1141" t="s">
        <v>1113</v>
      </c>
      <c r="I6" s="2649">
        <f>ROUND(F31/D31,2)</f>
        <v>3.79</v>
      </c>
      <c r="J6" s="2653"/>
      <c r="K6" s="2653"/>
      <c r="L6" s="2653"/>
      <c r="M6" s="2653"/>
      <c r="N6" s="2653"/>
      <c r="O6" s="2653"/>
      <c r="P6" s="2653"/>
    </row>
    <row r="7" spans="1:16" ht="15.75" thickBot="1">
      <c r="A7" s="3610"/>
      <c r="B7" s="3611"/>
      <c r="C7" s="3612"/>
      <c r="D7" s="1636" t="s">
        <v>1107</v>
      </c>
      <c r="E7" s="1640" t="s">
        <v>1114</v>
      </c>
      <c r="F7" s="2653"/>
      <c r="G7" s="2650" t="s">
        <v>1115</v>
      </c>
      <c r="H7" s="2651"/>
      <c r="I7" s="3511">
        <f>取值过程!C47</f>
        <v>5.202054195487535</v>
      </c>
      <c r="J7" s="2653"/>
      <c r="K7" s="2653"/>
      <c r="L7" s="2653"/>
      <c r="M7" s="2653"/>
      <c r="N7" s="2653"/>
      <c r="O7" s="2653"/>
      <c r="P7" s="2653"/>
    </row>
    <row r="8" spans="1:16">
      <c r="A8" s="44" t="s">
        <v>1116</v>
      </c>
      <c r="B8" s="47" t="s">
        <v>1117</v>
      </c>
      <c r="C8" s="45" t="s">
        <v>1118</v>
      </c>
      <c r="D8" s="45">
        <f t="shared" ref="D8:D15" si="0">ROUND($D$3*E8/$E$3,2)</f>
        <v>5672.77</v>
      </c>
      <c r="E8" s="48">
        <f>SUMIF('数据-基础表'!BB10:BK10,"地上",'数据-基础表'!BB5:BK5)</f>
        <v>41194.69</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591.5</v>
      </c>
      <c r="E10" s="48">
        <f>SUMPRODUCT(('数据-基础表'!BB10:BK10="地下")*('数据-基础表'!BB11:BK11="商业")*('数据-基础表'!BB5:BK5))</f>
        <v>4295.38</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4594.58</v>
      </c>
      <c r="E13" s="48">
        <f>SUMPRODUCT(('数据-基础表'!BB10:BK10="地下")*('数据-基础表'!BB11:BK11="车库")*('数据-基础表'!BB5:BK5))</f>
        <v>33365.060000000063</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10858.85</v>
      </c>
      <c r="E16" s="50">
        <f>SUM(E8:E15)</f>
        <v>78855.130000000063</v>
      </c>
      <c r="F16" s="2653"/>
      <c r="G16" s="2654"/>
      <c r="H16" s="1643" t="s">
        <v>1135</v>
      </c>
      <c r="I16" s="1644"/>
      <c r="J16" s="1134"/>
      <c r="K16" s="3607" t="s">
        <v>1135</v>
      </c>
      <c r="L16" s="3608"/>
      <c r="M16" s="3608"/>
      <c r="N16" s="3608"/>
      <c r="O16" s="3608"/>
      <c r="P16" s="3609"/>
    </row>
    <row r="17" spans="1:19" ht="15">
      <c r="A17" s="1645" t="s">
        <v>1136</v>
      </c>
      <c r="B17" s="1646" t="s">
        <v>1137</v>
      </c>
      <c r="C17" s="1647" t="s">
        <v>1138</v>
      </c>
      <c r="D17" s="1648" t="s">
        <v>1126</v>
      </c>
      <c r="E17" s="1649" t="s">
        <v>1127</v>
      </c>
      <c r="F17" s="1650"/>
      <c r="G17" s="1651"/>
      <c r="H17" s="1652" t="s">
        <v>1139</v>
      </c>
      <c r="I17" s="1653" t="s">
        <v>1124</v>
      </c>
      <c r="J17" s="1134"/>
      <c r="K17" s="3604" t="s">
        <v>1140</v>
      </c>
      <c r="L17" s="3605"/>
      <c r="M17" s="3606"/>
      <c r="N17" s="3604" t="s">
        <v>1141</v>
      </c>
      <c r="O17" s="3605"/>
      <c r="P17" s="3606"/>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3431</v>
      </c>
      <c r="D19" s="45">
        <f>ROUND($D$3*E19/$E$3,2)</f>
        <v>5205.3999999999996</v>
      </c>
      <c r="E19" s="53">
        <f t="shared" ref="E19:E26" si="1">SUM(F19:G19)</f>
        <v>37800.740000000005</v>
      </c>
      <c r="F19" s="2789">
        <f>'数据-基础表'!I13+'数据-基础表'!I14+'数据-基础表'!I15+'数据-基础表'!I16</f>
        <v>33505.360000000008</v>
      </c>
      <c r="G19" s="2790">
        <f>'数据-基础表'!K17</f>
        <v>4295.38</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5205.3999999999996</v>
      </c>
      <c r="S19" s="1022">
        <f t="shared" si="5"/>
        <v>37800.740000000005</v>
      </c>
    </row>
    <row r="20" spans="1:19">
      <c r="A20" s="1665"/>
      <c r="B20" s="47" t="s">
        <v>1153</v>
      </c>
      <c r="C20" s="3411" t="s">
        <v>3506</v>
      </c>
      <c r="D20" s="45">
        <f t="shared" ref="D20:D26" si="6">ROUND($D$3*E20/$E$3,2)</f>
        <v>5653.45</v>
      </c>
      <c r="E20" s="53">
        <f t="shared" si="1"/>
        <v>41054.390000000065</v>
      </c>
      <c r="F20" s="3512">
        <f>'数据-基础表'!O15+'数据-基础表'!Q16</f>
        <v>7689.33</v>
      </c>
      <c r="G20" s="2790">
        <f>'数据-基础表'!M18</f>
        <v>33365.060000000063</v>
      </c>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5653.45</v>
      </c>
      <c r="S20" s="1022">
        <f t="shared" si="5"/>
        <v>41054.390000000065</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515"/>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10858.849999999999</v>
      </c>
      <c r="E27" s="1136">
        <f>IF(SUM(E19:E26)='数据-基础表'!BA5,SUM(E19:E26),IF(F27="地上面积有误","面积有误","地下面积有误"))</f>
        <v>78855.130000000063</v>
      </c>
      <c r="F27" s="1135">
        <f>IF(SUM(F19:F26)=E8,SUM(F19:F26),"地上面积有误")</f>
        <v>41194.69000000001</v>
      </c>
      <c r="G27" s="1137">
        <f>SUM(G19:G26)</f>
        <v>37660.440000000061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10858.849999999999</v>
      </c>
      <c r="S27" s="1021">
        <f>IF(SUM(S19:S26)=$E$3,SUM(S19:S26),SUM(S19:S26)&amp;"误差"&amp;ROUND(SUM(S19:S26)-E3,2))</f>
        <v>78855.130000000063</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10858.849999999999</v>
      </c>
      <c r="E31" s="676">
        <f>E27+E30</f>
        <v>78855.130000000063</v>
      </c>
      <c r="F31" s="677">
        <f>F27+F30</f>
        <v>41194.69000000001</v>
      </c>
      <c r="G31" s="678">
        <f>G27+G30</f>
        <v>37660.440000000061</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3454</v>
      </c>
      <c r="F37" s="3520">
        <f>F19+F20+F21</f>
        <v>41194.69000000001</v>
      </c>
      <c r="G37" s="3487">
        <f ca="1">(结果表!G19-(F38*G38+F39*G39)/10000)/'数据-汇总表'!F37*10000</f>
        <v>54205.02885201951</v>
      </c>
    </row>
    <row r="38" spans="4:7">
      <c r="E38" s="3486" t="s">
        <v>3455</v>
      </c>
      <c r="F38" s="1633">
        <f>G19</f>
        <v>4295.38</v>
      </c>
      <c r="G38" s="1633">
        <v>28000</v>
      </c>
    </row>
    <row r="39" spans="4:7">
      <c r="E39" s="3486" t="s">
        <v>3456</v>
      </c>
      <c r="F39" s="1633">
        <f>G22</f>
        <v>0</v>
      </c>
      <c r="G39"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V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45477</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3432</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52730</v>
      </c>
      <c r="F6" s="64">
        <f>SUMIF(项目基本情况!C$12:I$12,C6,项目基本情况!C$15:I$15)</f>
        <v>19.87</v>
      </c>
      <c r="G6" s="65">
        <f>IF(ISERROR(ROUND(POWER(1+H6,D6-F6)*(POWER(1+H6,F6)-1)/(POWER(1+H6,D6)-1),3)),0,ROUND(POWER(1+H6,D6-F6)*(POWER(1+H6,F6)-1)/(POWER(1+H6,D6)-1),3))</f>
        <v>0.72299999999999998</v>
      </c>
      <c r="H6" s="732">
        <v>0.05</v>
      </c>
      <c r="I6" s="732">
        <v>5.5E-2</v>
      </c>
      <c r="J6" s="66">
        <v>7.0000000000000007E-2</v>
      </c>
      <c r="K6" s="1025">
        <f>SUMIF('数据-汇总表'!C$19:C$33,A6,'数据-汇总表'!E$19:E$33)</f>
        <v>37800.740000000005</v>
      </c>
      <c r="L6" s="733">
        <v>6500</v>
      </c>
      <c r="M6" s="67">
        <f t="shared" ref="M6:M14" si="0">ROUND(K6*L6/10000,0)</f>
        <v>24570</v>
      </c>
      <c r="N6" s="731">
        <f>取值过程!H18</f>
        <v>0.84</v>
      </c>
      <c r="O6" s="67" t="str">
        <f>IF($N$5="成新度","——",ROUND(M6*N6,0))</f>
        <v>——</v>
      </c>
      <c r="P6" s="68" t="str">
        <f>IF($N$5="成新度","——",M6-O6)</f>
        <v>——</v>
      </c>
      <c r="Q6" s="734">
        <v>0.25</v>
      </c>
      <c r="R6" s="69">
        <f ca="1">SUMIF('数据-汇总表'!C$19:C$33,A6,'数据-汇总表'!R$19:R$27)</f>
        <v>5205.3999999999996</v>
      </c>
      <c r="S6" s="51">
        <f>IF('数据-汇总表'!$I$17="按面积比例",SUMIF('数据-汇总表'!C$19:C$33,A6,'数据-汇总表'!K$19:K$33),SUMIF('数据-汇总表'!C$19:C$33,A6,'数据-汇总表'!N$19:N$33))</f>
        <v>0</v>
      </c>
      <c r="T6" s="1167">
        <f>ROUND($L$14*S6/10000,0)</f>
        <v>0</v>
      </c>
      <c r="U6" s="3422">
        <v>6.5</v>
      </c>
      <c r="V6" s="70">
        <v>2.5000000000000001E-2</v>
      </c>
      <c r="W6" s="70">
        <v>0.1</v>
      </c>
      <c r="X6" s="1035"/>
      <c r="Y6" s="71">
        <f>N6</f>
        <v>0.84</v>
      </c>
      <c r="Z6" s="72"/>
      <c r="AA6" s="66"/>
      <c r="AB6" s="66"/>
      <c r="AC6" s="1035"/>
      <c r="AD6" s="73"/>
      <c r="AE6" s="1036">
        <f ca="1">IF(AN6="",0,SUMIF(INDIRECT("'"&amp;AN6&amp;"'"&amp;"!E:E"),$AE$5,INDIRECT("'"&amp;AN6&amp;"'"&amp;"!F:F")))</f>
        <v>19.87</v>
      </c>
      <c r="AF6" s="1343"/>
      <c r="AG6" s="138">
        <f>IF(AF6="",0,AE6-AF6)</f>
        <v>0</v>
      </c>
      <c r="AH6" s="74"/>
      <c r="AI6" s="76">
        <v>365</v>
      </c>
      <c r="AJ6" s="77"/>
      <c r="AK6" s="78">
        <v>3.0000000000000001E-3</v>
      </c>
      <c r="AL6" s="79">
        <v>1E-3</v>
      </c>
      <c r="AM6" s="80">
        <v>4.0000000000000001E-3</v>
      </c>
      <c r="AN6" s="1710" t="s">
        <v>3433</v>
      </c>
      <c r="AO6" s="52">
        <f ca="1">SUMIF(INDIRECT("'"&amp;AN6&amp;"'"&amp;"!A:A"),"总价",INDIRECT("'"&amp;AN6&amp;"'"&amp;"!B:B"))</f>
        <v>99258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综合</v>
      </c>
      <c r="B7" s="1708" t="str">
        <f t="shared" ref="B7:B13" si="1">IF(A7=0,"","经营性")</f>
        <v>经营性</v>
      </c>
      <c r="C7" s="1709" t="s">
        <v>21</v>
      </c>
      <c r="D7" s="853">
        <f>SUMIF(项目基本情况!C$12:I$12,C7,项目基本情况!C$14:I$14)</f>
        <v>50</v>
      </c>
      <c r="E7" s="852">
        <f>IF(B7="","",SUMIF(项目基本情况!C$12:I$12,C7,项目基本情况!C$13:I$13))</f>
        <v>56382</v>
      </c>
      <c r="F7" s="64">
        <f>SUMIF(项目基本情况!C$12:I$12,C7,项目基本情况!C$15:I$15)</f>
        <v>29.87</v>
      </c>
      <c r="G7" s="65">
        <f t="shared" ref="G7:G11" si="2">IF(ISERROR(ROUND(POWER(1+H7,D7-F7)*(POWER(1+H7,F7)-1)/(POWER(1+H7,D7)-1),3)),0,ROUND(POWER(1+H7,D7-F7)*(POWER(1+H7,F7)-1)/(POWER(1+H7,D7)-1),3))</f>
        <v>0.84</v>
      </c>
      <c r="H7" s="732">
        <v>0.05</v>
      </c>
      <c r="I7" s="732">
        <v>5.5E-2</v>
      </c>
      <c r="J7" s="66">
        <v>7.0000000000000007E-2</v>
      </c>
      <c r="K7" s="1025">
        <f>SUMIF('数据-汇总表'!C$19:C$33,A7,'数据-汇总表'!E$19:E$33)</f>
        <v>41054.390000000065</v>
      </c>
      <c r="L7" s="733">
        <f>L6</f>
        <v>6500</v>
      </c>
      <c r="M7" s="67">
        <f t="shared" si="0"/>
        <v>26685</v>
      </c>
      <c r="N7" s="731">
        <f>N6</f>
        <v>0.84</v>
      </c>
      <c r="O7" s="67" t="str">
        <f t="shared" ref="O7:O14" si="3">IF($N$5="成新度","——",ROUND(M7*N7,0))</f>
        <v>——</v>
      </c>
      <c r="P7" s="68" t="str">
        <f t="shared" ref="P7:P14" si="4">IF($N$5="成新度","——",M7-O7)</f>
        <v>——</v>
      </c>
      <c r="Q7" s="734">
        <v>0.12</v>
      </c>
      <c r="R7" s="69">
        <f ca="1">SUMIF('数据-汇总表'!C$19:C$33,A7,'数据-汇总表'!R$19:R$27)</f>
        <v>5653.45</v>
      </c>
      <c r="S7" s="51">
        <f>IF('数据-汇总表'!$I$17="按面积比例",SUMIF('数据-汇总表'!C$19:C$33,A7,'数据-汇总表'!K$19:K$33),SUMIF('数据-汇总表'!C$19:C$33,A7,'数据-汇总表'!N$19:N$33))</f>
        <v>0</v>
      </c>
      <c r="T7" s="1167">
        <f t="shared" ref="T7:T13" si="5">ROUND($L$14*S7/10000,0)</f>
        <v>0</v>
      </c>
      <c r="U7" s="3422">
        <v>2.82</v>
      </c>
      <c r="V7" s="70">
        <f>V6</f>
        <v>2.5000000000000001E-2</v>
      </c>
      <c r="W7" s="70">
        <f>W6</f>
        <v>0.1</v>
      </c>
      <c r="X7" s="1035"/>
      <c r="Y7" s="71">
        <f>N7</f>
        <v>0.84</v>
      </c>
      <c r="Z7" s="72"/>
      <c r="AA7" s="66"/>
      <c r="AB7" s="66"/>
      <c r="AC7" s="1035"/>
      <c r="AD7" s="73"/>
      <c r="AE7" s="1036">
        <f t="shared" ref="AE7:AE13" ca="1" si="6">IF(AN7="",0,SUMIF(INDIRECT("'"&amp;AN7&amp;"'"&amp;"!E:E"),$AE$5,INDIRECT("'"&amp;AN7&amp;"'"&amp;"!F:F")))</f>
        <v>29.87</v>
      </c>
      <c r="AF7" s="1343"/>
      <c r="AG7" s="138">
        <f t="shared" ref="AG7:AG13" si="7">IF(AF7="",0,AE7-AF7)</f>
        <v>0</v>
      </c>
      <c r="AH7" s="74"/>
      <c r="AI7" s="76">
        <v>365</v>
      </c>
      <c r="AJ7" s="77"/>
      <c r="AK7" s="78">
        <f>AK6</f>
        <v>3.0000000000000001E-3</v>
      </c>
      <c r="AL7" s="79">
        <v>1E-3</v>
      </c>
      <c r="AM7" s="80">
        <v>4.0000000000000001E-3</v>
      </c>
      <c r="AN7" s="1710" t="s">
        <v>3491</v>
      </c>
      <c r="AO7" s="52">
        <f t="shared" ref="AO7:AO13" ca="1" si="8">SUMIF(INDIRECT("'"&amp;AN7&amp;"'"&amp;"!A:A"),"总价",INDIRECT("'"&amp;AN7&amp;"'"&amp;"!B:B"))</f>
        <v>59395</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0.78400000000000003</v>
      </c>
      <c r="H16" s="90">
        <f>ROUND(SUMPRODUCT(H6:H13,K6:K13)/SUMPRODUCT((H6:H13&gt;0)*(K6:K13)),3)</f>
        <v>0.05</v>
      </c>
      <c r="I16" s="91"/>
      <c r="J16" s="91"/>
      <c r="K16" s="92">
        <f>SUM(K6:K15)</f>
        <v>78855.130000000063</v>
      </c>
      <c r="L16" s="93">
        <f>ROUND(M16*10000/SUM(K6:K14),0)</f>
        <v>6500</v>
      </c>
      <c r="M16" s="93">
        <f>SUM(M6:M14)</f>
        <v>51255</v>
      </c>
      <c r="N16" s="94">
        <f>ROUND(SUMPRODUCT(M6:M14,N6:N14)/M16,3)</f>
        <v>0.84</v>
      </c>
      <c r="O16" s="93">
        <f>SUM(O6:O14)</f>
        <v>0</v>
      </c>
      <c r="P16" s="93">
        <f>SUM(P6:P14)</f>
        <v>0</v>
      </c>
      <c r="Q16" s="95">
        <f>ROUND(SUMPRODUCT(Q6:Q13,K6:K13)/SUMPRODUCT((Q6:Q13&gt;0)*(K6:K13)),2)</f>
        <v>0.18</v>
      </c>
      <c r="R16" s="1029">
        <f ca="1">SUM(R6:R13)</f>
        <v>10858.849999999999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23">
        <f>K6</f>
        <v>37800.740000000005</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3</v>
      </c>
      <c r="C20" s="2794" t="s">
        <v>2299</v>
      </c>
      <c r="D20" s="2670"/>
      <c r="E20" s="2667"/>
      <c r="F20" s="2667"/>
      <c r="G20" s="2667"/>
      <c r="H20" s="2667"/>
      <c r="I20" s="2667"/>
      <c r="J20" s="2667"/>
      <c r="K20" s="2666"/>
      <c r="L20" s="2666"/>
      <c r="M20" s="2665"/>
      <c r="N20" s="2665"/>
      <c r="O20" s="734" t="s">
        <v>21</v>
      </c>
      <c r="P20" s="3523">
        <f>'数据-基础表'!O15</f>
        <v>794.49</v>
      </c>
      <c r="Q20" s="734">
        <v>0.2</v>
      </c>
      <c r="R20" s="2665"/>
      <c r="S20" s="2665"/>
      <c r="T20" s="2665"/>
      <c r="U20" s="2669">
        <f>P20+P21</f>
        <v>7689.33</v>
      </c>
      <c r="V20" s="2669">
        <v>7.2</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3</v>
      </c>
      <c r="C21" s="2667"/>
      <c r="D21" s="2670"/>
      <c r="E21" s="2667"/>
      <c r="F21" s="2667"/>
      <c r="G21" s="2667"/>
      <c r="H21" s="2667"/>
      <c r="I21" s="2667"/>
      <c r="J21" s="2667"/>
      <c r="K21" s="2666"/>
      <c r="L21" s="2666"/>
      <c r="M21" s="2665"/>
      <c r="N21" s="2665"/>
      <c r="O21" s="734" t="s">
        <v>3</v>
      </c>
      <c r="P21" s="3523">
        <f>'数据-基础表'!Q16</f>
        <v>6894.84</v>
      </c>
      <c r="Q21" s="734">
        <f>Q20</f>
        <v>0.2</v>
      </c>
      <c r="R21" s="2665"/>
      <c r="S21" s="2665"/>
      <c r="T21" s="2665"/>
      <c r="U21" s="3519">
        <f>取值过程!E40</f>
        <v>5337.320000000007</v>
      </c>
      <c r="V21" s="2665">
        <v>4.0999999999999996</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3</v>
      </c>
      <c r="C22" s="2667"/>
      <c r="D22" s="2670"/>
      <c r="E22" s="2667"/>
      <c r="F22" s="2667"/>
      <c r="G22" s="2667"/>
      <c r="H22" s="2667"/>
      <c r="I22" s="2667"/>
      <c r="J22" s="2667"/>
      <c r="K22" s="2666"/>
      <c r="L22" s="2666"/>
      <c r="M22" s="2665"/>
      <c r="N22" s="2665"/>
      <c r="O22" s="81" t="s">
        <v>3333</v>
      </c>
      <c r="P22" s="3524">
        <f>'数据-基础表'!M18</f>
        <v>33365.060000000063</v>
      </c>
      <c r="Q22" s="81">
        <v>0.1</v>
      </c>
      <c r="R22" s="2665"/>
      <c r="S22" s="2665"/>
      <c r="T22" s="2665"/>
      <c r="U22" s="3519">
        <f>P22-U21</f>
        <v>28027.740000000056</v>
      </c>
      <c r="V22" s="3519">
        <f>1500*772/30/U22</f>
        <v>1.3772070099123199</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3</v>
      </c>
      <c r="C23" s="2667"/>
      <c r="D23" s="2670"/>
      <c r="E23" s="2667"/>
      <c r="F23" s="2667"/>
      <c r="G23" s="2667"/>
      <c r="H23" s="2667"/>
      <c r="I23" s="2667"/>
      <c r="J23" s="2667"/>
      <c r="K23" s="2666"/>
      <c r="L23" s="2666"/>
      <c r="M23" s="2665"/>
      <c r="N23" s="2665"/>
      <c r="O23" s="2665"/>
      <c r="P23" s="3521" t="s">
        <v>3502</v>
      </c>
      <c r="Q23" s="3522">
        <f>ROUND(SUMPRODUCT(Q19:Q22,P19:P22)/SUMPRODUCT((Q19:Q22&gt;0)*(P19:P22)),2)</f>
        <v>0.18</v>
      </c>
      <c r="R23" s="2665"/>
      <c r="S23" s="2665"/>
      <c r="T23" s="2665"/>
      <c r="U23" s="3519">
        <f>U20+U21+U22</f>
        <v>41054.390000000065</v>
      </c>
      <c r="V23" s="3519">
        <f>(U20*V20+U21*V21+U22*V22)/U23</f>
        <v>2.8217734571138395</v>
      </c>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21" t="s">
        <v>3502</v>
      </c>
      <c r="Q24" s="3522">
        <f>ROUND(SUMPRODUCT(Q20:Q22,P20:P22)/SUMPRODUCT((Q20:Q22&gt;0)*(P20:P22)),2)</f>
        <v>0.12</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0.03</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0.03</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24</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184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19" t="s">
        <v>2282</v>
      </c>
      <c r="B1" s="3620"/>
      <c r="C1" s="3620"/>
      <c r="D1" s="3620"/>
      <c r="E1" s="3620"/>
      <c r="F1" s="3620"/>
      <c r="G1" s="362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3434</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3435</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3436</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3437</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78855.130000000063</v>
      </c>
      <c r="C1" s="2680"/>
      <c r="D1" s="2680"/>
      <c r="E1" s="2680"/>
      <c r="F1" s="2680"/>
      <c r="G1" s="2681"/>
      <c r="H1" s="2682"/>
      <c r="I1" s="2682"/>
      <c r="J1" s="2682"/>
      <c r="K1" s="2682"/>
    </row>
    <row r="2" spans="1:11" ht="16.5">
      <c r="A2" s="2507" t="s">
        <v>653</v>
      </c>
      <c r="B2" s="2507">
        <f>SUM(C14:C23)</f>
        <v>10858.85</v>
      </c>
      <c r="C2" s="2680"/>
      <c r="D2" s="2680"/>
      <c r="E2" s="2680"/>
      <c r="F2" s="2680"/>
      <c r="G2" s="2681"/>
      <c r="H2" s="2682"/>
      <c r="I2" s="2682"/>
      <c r="J2" s="2682"/>
      <c r="K2" s="2682"/>
    </row>
    <row r="3" spans="1:11" ht="16.5">
      <c r="A3" s="2507" t="s">
        <v>662</v>
      </c>
      <c r="B3" s="2509">
        <f>项目基本情况!D3</f>
        <v>45477</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235323</v>
      </c>
      <c r="C5" s="2507">
        <f ca="1">IF(B5=D14,结果表!H102,ROUND(B5*10000/$B$1,0))</f>
        <v>29842</v>
      </c>
      <c r="D5" s="2507">
        <f ca="1">ROUND(B5*10000/$B$2,0)</f>
        <v>216711</v>
      </c>
      <c r="E5" s="2680"/>
      <c r="F5" s="2681"/>
      <c r="G5" s="2681"/>
      <c r="H5" s="2682"/>
      <c r="I5" s="2682"/>
      <c r="J5" s="2682"/>
      <c r="K5" s="2682"/>
    </row>
    <row r="6" spans="1:11" ht="16.5">
      <c r="A6" s="2507" t="s">
        <v>656</v>
      </c>
      <c r="B6" s="2507">
        <f ca="1">SUM(G14:G23)</f>
        <v>235323</v>
      </c>
      <c r="C6" s="2507" t="e">
        <f ca="1">IF(B6=G14,结果表!H108,ROUND(B6*10000/$B$1,0))</f>
        <v>#VALUE!</v>
      </c>
      <c r="D6" s="2507">
        <f ca="1">ROUND(B6*10000/$B$2,0)</f>
        <v>216711</v>
      </c>
      <c r="E6" s="2680"/>
      <c r="F6" s="2681"/>
      <c r="G6" s="2681"/>
      <c r="H6" s="2682"/>
      <c r="I6" s="2682"/>
      <c r="J6" s="2682"/>
      <c r="K6" s="2682"/>
    </row>
    <row r="7" spans="1:11" ht="16.5">
      <c r="A7" s="2507" t="s">
        <v>664</v>
      </c>
      <c r="B7" s="2507">
        <f ca="1">SUM(H14:H23)</f>
        <v>235323</v>
      </c>
      <c r="C7" s="2507">
        <f ca="1">IF(B7=H14,结果表!H110,ROUND(B7*10000/$B$1,0))</f>
        <v>29842</v>
      </c>
      <c r="D7" s="2507">
        <f ca="1">ROUND(B7*10000/$B$2,0)</f>
        <v>216711</v>
      </c>
      <c r="E7" s="2680"/>
      <c r="F7" s="2681"/>
      <c r="G7" s="2681"/>
      <c r="H7" s="2682"/>
      <c r="I7" s="2682"/>
      <c r="J7" s="2682"/>
      <c r="K7" s="2682"/>
    </row>
    <row r="8" spans="1:11" ht="16.5">
      <c r="A8" s="2507" t="s">
        <v>587</v>
      </c>
      <c r="B8" s="2507">
        <f>SUM(I14:I23)</f>
        <v>0</v>
      </c>
      <c r="C8" s="2507" t="str">
        <f>IF(B8=I14,结果表!H112,ROUND(B8*10000/$B$1,0))</f>
        <v>——</v>
      </c>
      <c r="D8" s="2507">
        <f>ROUND(B8*10000/$B$2,0)</f>
        <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78855.130000000063</v>
      </c>
      <c r="C14" s="2513">
        <f>结果表!C118</f>
        <v>10858.85</v>
      </c>
      <c r="D14" s="2513">
        <f ca="1">结果表!H118</f>
        <v>235323</v>
      </c>
      <c r="E14" s="2513">
        <f ca="1">ROUND(D14*10000/B14,0)</f>
        <v>29842</v>
      </c>
      <c r="F14" s="2513">
        <f ca="1">ROUND(D14*10000/C14,0)</f>
        <v>216711</v>
      </c>
      <c r="G14" s="2513">
        <f ca="1">D14</f>
        <v>235323</v>
      </c>
      <c r="H14" s="2513">
        <f ca="1">G14</f>
        <v>235323</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28" t="str">
        <f>项目基本情况!B1</f>
        <v>房地产抵押价值预评估</v>
      </c>
      <c r="C37" s="3528"/>
      <c r="D37" s="3528"/>
      <c r="E37" s="3528"/>
      <c r="F37" s="3528"/>
      <c r="G37" s="3528"/>
      <c r="H37" s="3528"/>
      <c r="I37" s="3528"/>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郑燚（注册号：1120070131)、吴薇（注册号：1419970001)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6" sqref="E6"/>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3393</v>
      </c>
      <c r="H1" s="1745" t="str">
        <f>IF(G1="现房","——","估价对象范围")</f>
        <v>——</v>
      </c>
      <c r="I1" s="1746" t="s">
        <v>3451</v>
      </c>
    </row>
    <row r="2" spans="1:12" ht="21.75" customHeight="1" thickBot="1">
      <c r="A2" s="3688" t="str">
        <f>项目基本情况!S2</f>
        <v>房地产</v>
      </c>
      <c r="B2" s="3689"/>
      <c r="C2" s="3689"/>
      <c r="D2" s="3689"/>
      <c r="E2" s="3689"/>
      <c r="F2" s="3689"/>
      <c r="G2" s="3689"/>
      <c r="H2" s="3689"/>
      <c r="I2" s="3690"/>
    </row>
    <row r="3" spans="1:12" ht="12.75">
      <c r="A3" s="3692" t="s">
        <v>1264</v>
      </c>
      <c r="B3" s="3693"/>
      <c r="C3" s="3693"/>
      <c r="D3" s="3693"/>
      <c r="E3" s="3693"/>
      <c r="F3" s="3693"/>
      <c r="G3" s="3693"/>
      <c r="H3" s="3693"/>
      <c r="I3" s="3693"/>
    </row>
    <row r="4" spans="1:12" ht="14.25">
      <c r="A4" s="1749" t="s">
        <v>1265</v>
      </c>
      <c r="B4" s="1750" t="s">
        <v>1266</v>
      </c>
      <c r="C4" s="1751" t="s">
        <v>3452</v>
      </c>
      <c r="D4" s="1751" t="s">
        <v>3453</v>
      </c>
      <c r="E4" s="3697" t="s">
        <v>1267</v>
      </c>
      <c r="F4" s="3698"/>
      <c r="G4" s="3698"/>
      <c r="H4" s="3698"/>
      <c r="I4" s="36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6" t="s">
        <v>1268</v>
      </c>
      <c r="B5" s="3691">
        <v>25</v>
      </c>
      <c r="C5" s="3694"/>
      <c r="D5" s="3682"/>
      <c r="E5" s="131" t="s">
        <v>1269</v>
      </c>
      <c r="F5" s="1752"/>
      <c r="G5" s="1752"/>
      <c r="H5" s="1752"/>
      <c r="I5" s="1368"/>
    </row>
    <row r="6" spans="1:12" ht="12.75">
      <c r="A6" s="3636"/>
      <c r="B6" s="3691"/>
      <c r="C6" s="3696"/>
      <c r="D6" s="3682"/>
      <c r="E6" s="131" t="s">
        <v>1270</v>
      </c>
      <c r="F6" s="1752"/>
      <c r="G6" s="1752"/>
      <c r="H6" s="1752"/>
      <c r="I6" s="1368"/>
    </row>
    <row r="7" spans="1:12" ht="12.75">
      <c r="A7" s="3636"/>
      <c r="B7" s="3691"/>
      <c r="C7" s="3695"/>
      <c r="D7" s="3682"/>
      <c r="E7" s="131" t="s">
        <v>1271</v>
      </c>
      <c r="F7" s="1752"/>
      <c r="G7" s="1752"/>
      <c r="H7" s="1752"/>
      <c r="I7" s="1368"/>
    </row>
    <row r="8" spans="1:12" ht="12.75">
      <c r="A8" s="3636" t="s">
        <v>1272</v>
      </c>
      <c r="B8" s="3691">
        <v>15</v>
      </c>
      <c r="C8" s="3694"/>
      <c r="D8" s="3682"/>
      <c r="E8" s="131" t="s">
        <v>1273</v>
      </c>
      <c r="F8" s="1752"/>
      <c r="G8" s="1752"/>
      <c r="H8" s="1752"/>
      <c r="I8" s="1368"/>
    </row>
    <row r="9" spans="1:12" ht="12.75">
      <c r="A9" s="3636"/>
      <c r="B9" s="3691"/>
      <c r="C9" s="3695"/>
      <c r="D9" s="3682"/>
      <c r="E9" s="131" t="s">
        <v>1274</v>
      </c>
      <c r="F9" s="1752"/>
      <c r="G9" s="1752"/>
      <c r="H9" s="1752"/>
      <c r="I9" s="1368"/>
    </row>
    <row r="10" spans="1:12" ht="12.75">
      <c r="A10" s="3636" t="s">
        <v>1275</v>
      </c>
      <c r="B10" s="3691">
        <v>15</v>
      </c>
      <c r="C10" s="3694"/>
      <c r="D10" s="3682"/>
      <c r="E10" s="131" t="s">
        <v>1276</v>
      </c>
      <c r="F10" s="1752"/>
      <c r="G10" s="1752"/>
      <c r="H10" s="1752"/>
      <c r="I10" s="1368"/>
    </row>
    <row r="11" spans="1:12" ht="12.75">
      <c r="A11" s="3636"/>
      <c r="B11" s="3691"/>
      <c r="C11" s="3695"/>
      <c r="D11" s="3682"/>
      <c r="E11" s="131" t="s">
        <v>1277</v>
      </c>
      <c r="F11" s="1752"/>
      <c r="G11" s="1752"/>
      <c r="H11" s="1752"/>
      <c r="I11" s="1368"/>
    </row>
    <row r="12" spans="1:12" ht="12.75">
      <c r="A12" s="3636" t="s">
        <v>1278</v>
      </c>
      <c r="B12" s="3691">
        <v>15</v>
      </c>
      <c r="C12" s="3694"/>
      <c r="D12" s="3682"/>
      <c r="E12" s="131" t="s">
        <v>1279</v>
      </c>
      <c r="F12" s="1752"/>
      <c r="G12" s="1752"/>
      <c r="H12" s="1752"/>
      <c r="I12" s="1368"/>
    </row>
    <row r="13" spans="1:12" ht="12.75">
      <c r="A13" s="3636"/>
      <c r="B13" s="3691"/>
      <c r="C13" s="3695"/>
      <c r="D13" s="3682"/>
      <c r="E13" s="131" t="s">
        <v>1280</v>
      </c>
      <c r="F13" s="1752"/>
      <c r="G13" s="1752"/>
      <c r="H13" s="1752"/>
      <c r="I13" s="1368"/>
    </row>
    <row r="14" spans="1:12" ht="12.75">
      <c r="A14" s="3636" t="s">
        <v>1281</v>
      </c>
      <c r="B14" s="3691">
        <v>30</v>
      </c>
      <c r="C14" s="3694">
        <v>7</v>
      </c>
      <c r="D14" s="3682">
        <v>3</v>
      </c>
      <c r="E14" s="131" t="s">
        <v>1282</v>
      </c>
      <c r="F14" s="1752"/>
      <c r="G14" s="1752"/>
      <c r="H14" s="1752"/>
      <c r="I14" s="1368"/>
    </row>
    <row r="15" spans="1:12" ht="12.75">
      <c r="A15" s="3636"/>
      <c r="B15" s="3691"/>
      <c r="C15" s="3696"/>
      <c r="D15" s="3682"/>
      <c r="E15" s="131" t="s">
        <v>1283</v>
      </c>
      <c r="F15" s="1752"/>
      <c r="G15" s="1752"/>
      <c r="H15" s="1752"/>
      <c r="I15" s="1368"/>
    </row>
    <row r="16" spans="1:12" ht="12.75">
      <c r="A16" s="3636"/>
      <c r="B16" s="3691"/>
      <c r="C16" s="3695"/>
      <c r="D16" s="3682"/>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13" t="s">
        <v>2131</v>
      </c>
      <c r="F18" s="3714"/>
      <c r="G18" s="3714"/>
      <c r="H18" s="3714"/>
      <c r="I18" s="3714"/>
      <c r="K18" s="302" t="s">
        <v>1289</v>
      </c>
      <c r="L18" s="302">
        <f>IF(C1="",'数据-汇总表'!E3,SUMIF(项目类型,C1,'数据-汇总表'!E17:E26)+SUMIF(项目类型,C1,'数据-汇总表'!I17:I26))</f>
        <v>78855.130000000063</v>
      </c>
      <c r="M18" s="302">
        <f>IF(C1="",'数据-汇总表'!E3,SUMIF(项目类型,C1,'数据-汇总表'!E17:E26))</f>
        <v>78855.130000000063</v>
      </c>
    </row>
    <row r="19" spans="1:36" ht="15">
      <c r="A19" s="1756" t="s">
        <v>1290</v>
      </c>
      <c r="B19" s="1757" t="s">
        <v>1291</v>
      </c>
      <c r="C19" s="134">
        <f ca="1">SUMIF(INDIRECT("'"&amp;C4&amp;"'"&amp;"!A:A"),结果表!B19,INDIRECT("'"&amp;C4&amp;"'"&amp;"!B:B"))</f>
        <v>268181</v>
      </c>
      <c r="D19" s="135">
        <f ca="1">SUMIF(INDIRECT("'"&amp;D4&amp;"'"&amp;"!A:A"),结果表!B19,INDIRECT("'"&amp;D4&amp;"'"&amp;"!B:B"))</f>
        <v>158653</v>
      </c>
      <c r="E19" s="1756" t="s">
        <v>1292</v>
      </c>
      <c r="F19" s="1757" t="s">
        <v>1291</v>
      </c>
      <c r="G19" s="136">
        <f ca="1">ROUND(C19*$C$18+D19*$D$18,0)</f>
        <v>235323</v>
      </c>
      <c r="H19" s="1758" t="s">
        <v>1293</v>
      </c>
      <c r="I19" s="129"/>
      <c r="K19" s="302" t="s">
        <v>1294</v>
      </c>
      <c r="L19" s="302">
        <f>IF(C1="",'数据-汇总表'!D3,SUMIF(项目类型,C1,'数据-汇总表'!D17:D26)+SUMIF(项目类型,C1,'数据-汇总表'!H17:H27))</f>
        <v>10858.85</v>
      </c>
      <c r="M19" s="302">
        <f>IF(C1="",'数据-汇总表'!D3,SUMIF(项目类型,C1,'数据-汇总表'!D17:D26))</f>
        <v>10858.85</v>
      </c>
    </row>
    <row r="20" spans="1:36" ht="15">
      <c r="A20" s="1759"/>
      <c r="B20" s="1021" t="s">
        <v>1295</v>
      </c>
      <c r="C20" s="137">
        <f ca="1">SUMIF(INDIRECT("'"&amp;C4&amp;"'"&amp;"!A:A"),结果表!B20,INDIRECT("'"&amp;C4&amp;"'"&amp;"!B:B"))</f>
        <v>34009</v>
      </c>
      <c r="D20" s="138">
        <f ca="1">SUMIF(INDIRECT("'"&amp;D4&amp;"'"&amp;"!A:A"),结果表!B20,INDIRECT("'"&amp;D4&amp;"'"&amp;"!B:B"))</f>
        <v>20120</v>
      </c>
      <c r="E20" s="1759"/>
      <c r="F20" s="1021" t="s">
        <v>1295</v>
      </c>
      <c r="G20" s="139">
        <f ca="1">ROUND(C20*$C$18+D20*$D$18,0)</f>
        <v>29842</v>
      </c>
      <c r="H20" s="803" t="s">
        <v>1296</v>
      </c>
      <c r="I20" s="129"/>
    </row>
    <row r="21" spans="1:36" ht="15" customHeight="1" thickBot="1">
      <c r="A21" s="823"/>
      <c r="B21" s="1760" t="s">
        <v>1297</v>
      </c>
      <c r="C21" s="719">
        <f ca="1">ROUND(C19*10000/L19,0)</f>
        <v>246970</v>
      </c>
      <c r="D21" s="720">
        <f ca="1">ROUND(D19*10000/L19,0)</f>
        <v>146105</v>
      </c>
      <c r="E21" s="823"/>
      <c r="F21" s="1760" t="s">
        <v>1297</v>
      </c>
      <c r="G21" s="140">
        <f ca="1">ROUND(G19*10000/L19,0)</f>
        <v>216711</v>
      </c>
      <c r="H21" s="1761" t="s">
        <v>1296</v>
      </c>
      <c r="I21" s="129"/>
    </row>
    <row r="22" spans="1:36" ht="15" thickBot="1">
      <c r="A22" s="1683" t="s">
        <v>1298</v>
      </c>
      <c r="B22" s="1762"/>
      <c r="C22" s="1763"/>
      <c r="D22" s="721">
        <f ca="1">IF(C19&lt;D19,D19/C19-1,C19/D19-1)</f>
        <v>0.69036198496088952</v>
      </c>
      <c r="E22" s="129"/>
      <c r="F22" s="129"/>
      <c r="G22" s="129"/>
      <c r="H22" s="129"/>
      <c r="I22" s="129"/>
    </row>
    <row r="23" spans="1:36" ht="13.5" thickBot="1">
      <c r="A23" s="1742"/>
      <c r="B23" s="1742"/>
      <c r="C23" s="1742"/>
      <c r="D23" s="1742"/>
      <c r="E23" s="129"/>
      <c r="F23" s="129"/>
      <c r="G23" s="129"/>
      <c r="H23" s="129"/>
      <c r="I23" s="129"/>
    </row>
    <row r="24" spans="1:36" ht="14.25">
      <c r="A24" s="3706" t="s">
        <v>1299</v>
      </c>
      <c r="B24" s="1757" t="s">
        <v>1291</v>
      </c>
      <c r="C24" s="136">
        <f>IF(B30=0,0,D30)</f>
        <v>0</v>
      </c>
      <c r="D24" s="1764"/>
      <c r="E24" s="129"/>
      <c r="F24" s="129"/>
      <c r="G24" s="129"/>
      <c r="H24" s="129"/>
      <c r="I24" s="129"/>
      <c r="K24" s="725">
        <f ca="1">G19/'数据-汇总表'!F31</f>
        <v>5.7124595427226161</v>
      </c>
    </row>
    <row r="25" spans="1:36" ht="14.25">
      <c r="A25" s="3707"/>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235323</v>
      </c>
      <c r="D32" s="1770" t="s">
        <v>3505</v>
      </c>
      <c r="E32" s="129"/>
      <c r="F32" s="129"/>
      <c r="G32" s="129"/>
      <c r="H32" s="129"/>
      <c r="I32" s="129"/>
    </row>
    <row r="33" spans="1:15" ht="15">
      <c r="A33" s="781" t="s">
        <v>1306</v>
      </c>
      <c r="B33" s="1771"/>
      <c r="C33" s="1772" t="s">
        <v>3504</v>
      </c>
      <c r="D33" s="1773" t="s">
        <v>3452</v>
      </c>
      <c r="E33" s="1774" t="s">
        <v>1307</v>
      </c>
      <c r="F33" s="1775" t="str">
        <f>IF(D32="楼面单价","取值（单价）","取值（总价）")</f>
        <v>取值（总价）</v>
      </c>
      <c r="G33" s="129"/>
      <c r="H33" s="129"/>
      <c r="I33" s="129"/>
    </row>
    <row r="34" spans="1:15" ht="15">
      <c r="A34" s="1776"/>
      <c r="B34" s="1777" t="s">
        <v>1308</v>
      </c>
      <c r="C34" s="148">
        <f ca="1">IF(C33="自定义",F34,C32-C35)</f>
        <v>177198</v>
      </c>
      <c r="D34" s="856">
        <f ca="1">IF(C33="自定义",ROUND(C34/C32,3),IF(C33="收益比率",SUMIF(INDIRECT("'"&amp;D33&amp;"'"&amp;"!b:b"),"土地收益比率",INDIRECT("'"&amp;D33&amp;"'"&amp;"!c:c")),SUMIF(INDIRECT("'"&amp;D33&amp;"'"&amp;"!b:b"),"土地成本比率",INDIRECT("'"&amp;D33&amp;"'"&amp;"!c:c"))))</f>
        <v>0.753</v>
      </c>
      <c r="E34" s="1778" t="s">
        <v>1309</v>
      </c>
      <c r="F34" s="1325"/>
      <c r="G34" s="129"/>
      <c r="H34" s="129"/>
      <c r="I34" s="129"/>
    </row>
    <row r="35" spans="1:15" ht="15.75" thickBot="1">
      <c r="A35" s="1779"/>
      <c r="B35" s="1780" t="s">
        <v>1310</v>
      </c>
      <c r="C35" s="1165">
        <f ca="1">IF(C33="自定义",F35,ROUND(C32*D35,0))</f>
        <v>58125</v>
      </c>
      <c r="D35" s="1166">
        <f ca="1">IF(C33="自定义",ROUND(C35/C32,3),IF(C33="收益比率",SUMIF(INDIRECT("'"&amp;D33&amp;"'"&amp;"!b:b"),"建筑物收益比率",INDIRECT("'"&amp;D33&amp;"'"&amp;"!c:c")),SUMIF(INDIRECT("'"&amp;D33&amp;"'"&amp;"!b:b"),"建筑物成本比率",INDIRECT("'"&amp;D33&amp;"'"&amp;"!c:c"))))</f>
        <v>0.247</v>
      </c>
      <c r="E35" s="1781" t="s">
        <v>1311</v>
      </c>
      <c r="F35" s="154"/>
      <c r="G35" s="129"/>
      <c r="H35" s="129"/>
      <c r="I35" s="129"/>
    </row>
    <row r="36" spans="1:15" ht="15.75" thickBot="1">
      <c r="A36" s="3683" t="s">
        <v>1312</v>
      </c>
      <c r="B36" s="1782" t="s">
        <v>1313</v>
      </c>
      <c r="C36" s="145"/>
      <c r="D36" s="1783"/>
      <c r="E36" s="1784"/>
      <c r="F36" s="1785"/>
      <c r="G36" s="129"/>
      <c r="H36" s="129"/>
      <c r="I36" s="129"/>
    </row>
    <row r="37" spans="1:15" ht="15.75" thickBot="1">
      <c r="A37" s="3684"/>
      <c r="B37" s="1669" t="s">
        <v>1314</v>
      </c>
      <c r="C37" s="147"/>
      <c r="D37" s="1134"/>
      <c r="E37" s="1134"/>
      <c r="F37" s="1785"/>
      <c r="G37" s="129"/>
      <c r="H37" s="129"/>
      <c r="I37" s="129"/>
    </row>
    <row r="38" spans="1:15" ht="15.75" thickBot="1">
      <c r="A38" s="3685"/>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03" t="s">
        <v>1326</v>
      </c>
      <c r="B45" s="3704"/>
      <c r="C45" s="3705"/>
      <c r="D45" s="155">
        <f ca="1">ROUND(H101*F45,0)</f>
        <v>235323</v>
      </c>
      <c r="E45" s="156" t="s">
        <v>1327</v>
      </c>
      <c r="F45" s="157">
        <v>1</v>
      </c>
      <c r="G45" s="158" t="s">
        <v>1328</v>
      </c>
      <c r="H45" s="129"/>
      <c r="I45" s="129"/>
      <c r="J45" s="3623" t="s">
        <v>1329</v>
      </c>
      <c r="K45" s="3623"/>
      <c r="L45" s="3623"/>
      <c r="M45" s="3623"/>
      <c r="N45" s="3623"/>
      <c r="O45" s="3623"/>
    </row>
    <row r="46" spans="1:15" ht="14.25" customHeight="1">
      <c r="A46" s="3700" t="s">
        <v>1330</v>
      </c>
      <c r="B46" s="3701"/>
      <c r="C46" s="3701"/>
      <c r="D46" s="3701"/>
      <c r="E46" s="3701"/>
      <c r="F46" s="3701"/>
      <c r="G46" s="3702"/>
      <c r="H46" s="1801"/>
      <c r="I46" s="159"/>
      <c r="J46" s="2518">
        <v>1</v>
      </c>
      <c r="K46" s="3624" t="s">
        <v>1331</v>
      </c>
      <c r="L46" s="3624"/>
      <c r="M46" s="3625"/>
      <c r="N46" s="3625"/>
      <c r="O46" s="3625"/>
    </row>
    <row r="47" spans="1:15" ht="12" customHeight="1">
      <c r="A47" s="160" t="s">
        <v>1332</v>
      </c>
      <c r="B47" s="161"/>
      <c r="C47" s="162"/>
      <c r="D47" s="1082" t="s">
        <v>1333</v>
      </c>
      <c r="E47" s="302" t="s">
        <v>1334</v>
      </c>
      <c r="F47" s="163" t="s">
        <v>1335</v>
      </c>
      <c r="G47" s="2541" t="s">
        <v>1336</v>
      </c>
      <c r="H47" s="2542"/>
      <c r="I47" s="159"/>
      <c r="J47" s="2518">
        <v>2</v>
      </c>
      <c r="K47" s="3624" t="s">
        <v>1337</v>
      </c>
      <c r="L47" s="3624"/>
      <c r="M47" s="3626">
        <f>'数据-取费表'!B2</f>
        <v>45477</v>
      </c>
      <c r="N47" s="3626"/>
      <c r="O47" s="3626"/>
    </row>
    <row r="48" spans="1:15" ht="25.5">
      <c r="A48" s="3686" t="s">
        <v>1338</v>
      </c>
      <c r="B48" s="3687"/>
      <c r="C48" s="3687"/>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624" t="s">
        <v>1340</v>
      </c>
      <c r="L48" s="3624"/>
      <c r="M48" s="3627">
        <f ca="1">H101</f>
        <v>235323</v>
      </c>
      <c r="N48" s="3627"/>
      <c r="O48" s="3627"/>
    </row>
    <row r="49" spans="1:35" ht="25.5" customHeight="1">
      <c r="A49" s="2328" t="s">
        <v>1341</v>
      </c>
      <c r="B49" s="3672" t="s">
        <v>1342</v>
      </c>
      <c r="C49" s="3672"/>
      <c r="D49" s="1585">
        <v>0</v>
      </c>
      <c r="E49" s="324" t="s">
        <v>1343</v>
      </c>
      <c r="F49" s="2419" t="s">
        <v>28</v>
      </c>
      <c r="G49" s="3655"/>
      <c r="H49" s="2305" t="s">
        <v>2134</v>
      </c>
      <c r="I49" s="2306"/>
      <c r="J49" s="2518">
        <v>4</v>
      </c>
      <c r="K49" s="3624" t="str">
        <f>IF(项目基本情况!E8="房地产抵押价值","房地产抵押价值","抵押担保权已注销时的房地产抵押价值")</f>
        <v>抵押担保权已注销时的房地产抵押价值</v>
      </c>
      <c r="L49" s="3624"/>
      <c r="M49" s="3627">
        <f ca="1">IF(项目基本情况!E8="房地产抵押价值",H107,H109)</f>
        <v>235323</v>
      </c>
      <c r="N49" s="3627"/>
      <c r="O49" s="3627"/>
    </row>
    <row r="50" spans="1:35" ht="25.5" customHeight="1">
      <c r="A50" s="2546"/>
      <c r="B50" s="3672" t="s">
        <v>1344</v>
      </c>
      <c r="C50" s="3672"/>
      <c r="D50" s="2547"/>
      <c r="E50" s="332"/>
      <c r="F50" s="2419"/>
      <c r="G50" s="3656"/>
      <c r="H50" s="2307" t="s">
        <v>2135</v>
      </c>
      <c r="I50" s="2306"/>
      <c r="J50" s="3623" t="s">
        <v>1345</v>
      </c>
      <c r="K50" s="3623"/>
      <c r="L50" s="3623"/>
      <c r="M50" s="3623"/>
      <c r="N50" s="3623"/>
      <c r="O50" s="3623"/>
    </row>
    <row r="51" spans="1:35" ht="20.45" customHeight="1">
      <c r="A51" s="2548"/>
      <c r="B51" s="3672" t="s">
        <v>1346</v>
      </c>
      <c r="C51" s="3672"/>
      <c r="D51" s="1082"/>
      <c r="E51" s="327"/>
      <c r="F51" s="2419"/>
      <c r="G51" s="3657"/>
      <c r="H51" s="2307" t="s">
        <v>2136</v>
      </c>
      <c r="I51" s="2306"/>
      <c r="J51" s="2519" t="s">
        <v>1347</v>
      </c>
      <c r="K51" s="3624" t="s">
        <v>1348</v>
      </c>
      <c r="L51" s="3624"/>
      <c r="M51" s="2519" t="s">
        <v>1349</v>
      </c>
      <c r="N51" s="2519" t="s">
        <v>1350</v>
      </c>
      <c r="O51" s="2519" t="s">
        <v>1351</v>
      </c>
    </row>
    <row r="52" spans="1:35" ht="24" customHeight="1">
      <c r="A52" s="2330" t="s">
        <v>1352</v>
      </c>
      <c r="B52" s="3672" t="s">
        <v>1353</v>
      </c>
      <c r="C52" s="3672"/>
      <c r="D52" s="1082">
        <f ca="1">ROUND(D45*'数据-取费表'!B41/(1+'数据-取费表'!C42),0)</f>
        <v>12551</v>
      </c>
      <c r="E52" s="2329" t="s">
        <v>1354</v>
      </c>
      <c r="F52" s="2549">
        <f>'数据-取费表'!B41</f>
        <v>5.6000000000000001E-2</v>
      </c>
      <c r="G52" s="2550"/>
      <c r="H52" s="2539"/>
      <c r="I52" s="1802"/>
      <c r="J52" s="2518">
        <v>1</v>
      </c>
      <c r="K52" s="3649" t="s">
        <v>1355</v>
      </c>
      <c r="L52" s="3649"/>
      <c r="M52" s="2520" t="b">
        <f>D48</f>
        <v>0</v>
      </c>
      <c r="N52" s="2518" t="str">
        <f>E48</f>
        <v>销售额×税（费）率</v>
      </c>
      <c r="O52" s="2521">
        <f>F48</f>
        <v>5.6000000000000001E-2</v>
      </c>
    </row>
    <row r="53" spans="1:35" ht="12" customHeight="1">
      <c r="A53" s="2330" t="s">
        <v>1356</v>
      </c>
      <c r="B53" s="3673" t="s">
        <v>2287</v>
      </c>
      <c r="C53" s="3674"/>
      <c r="D53" s="1082">
        <f ca="1">ROUND(D45*'数据-取费表'!B41/(1+'数据-取费表'!C42),0)</f>
        <v>12551</v>
      </c>
      <c r="E53" s="2329" t="s">
        <v>1354</v>
      </c>
      <c r="F53" s="2549">
        <f>'数据-取费表'!B41</f>
        <v>5.6000000000000001E-2</v>
      </c>
      <c r="G53" s="2550"/>
      <c r="H53" s="2539"/>
      <c r="I53" s="1802"/>
      <c r="J53" s="2518">
        <v>2</v>
      </c>
      <c r="K53" s="3649" t="s">
        <v>1357</v>
      </c>
      <c r="L53" s="3649"/>
      <c r="M53" s="2520">
        <f t="shared" ref="M53:O54" ca="1" si="0">D55</f>
        <v>118</v>
      </c>
      <c r="N53" s="2518" t="str">
        <f t="shared" si="0"/>
        <v>销售额×税（费）率</v>
      </c>
      <c r="O53" s="2521" t="str">
        <f t="shared" si="0"/>
        <v>免征</v>
      </c>
    </row>
    <row r="54" spans="1:35" ht="12" customHeight="1">
      <c r="A54" s="2330" t="s">
        <v>1358</v>
      </c>
      <c r="B54" s="3673" t="s">
        <v>2288</v>
      </c>
      <c r="C54" s="3674"/>
      <c r="D54" s="1082">
        <f ca="1">C68</f>
        <v>12551</v>
      </c>
      <c r="E54" s="327" t="s">
        <v>1359</v>
      </c>
      <c r="F54" s="2549">
        <f>'数据-取费表'!B41</f>
        <v>5.6000000000000001E-2</v>
      </c>
      <c r="G54" s="2550"/>
      <c r="H54" s="2551"/>
      <c r="I54" s="1802"/>
      <c r="J54" s="2518">
        <v>3</v>
      </c>
      <c r="K54" s="3649" t="s">
        <v>1360</v>
      </c>
      <c r="L54" s="3649"/>
      <c r="M54" s="2520">
        <f t="shared" ca="1" si="0"/>
        <v>133192</v>
      </c>
      <c r="N54" s="2518" t="str">
        <f t="shared" si="0"/>
        <v>增值额×税（费）率</v>
      </c>
      <c r="O54" s="2522" t="str">
        <f t="shared" si="0"/>
        <v>免征</v>
      </c>
    </row>
    <row r="55" spans="1:35" ht="24" customHeight="1">
      <c r="A55" s="3709" t="s">
        <v>1361</v>
      </c>
      <c r="B55" s="3687"/>
      <c r="C55" s="3687"/>
      <c r="D55" s="2319">
        <f ca="1">IF(H55="个人住宅",0,ROUND(D45*I55,0))</f>
        <v>118</v>
      </c>
      <c r="E55" s="2329" t="s">
        <v>1362</v>
      </c>
      <c r="F55" s="2549" t="str">
        <f>IF(H55="正常",I55,"免征")</f>
        <v>免征</v>
      </c>
      <c r="G55" s="2550"/>
      <c r="H55" s="2545"/>
      <c r="I55" s="165">
        <f>'数据-取费表'!B49</f>
        <v>5.0000000000000001E-4</v>
      </c>
      <c r="J55" s="2518">
        <f>IF(H59="非个人房产","",4)</f>
        <v>4</v>
      </c>
      <c r="K55" s="3649" t="str">
        <f>IF(H59="非个人房产","——","个人所得税")</f>
        <v>个人所得税</v>
      </c>
      <c r="L55" s="3649"/>
      <c r="M55" s="2523">
        <f ca="1">D59</f>
        <v>2241</v>
      </c>
      <c r="N55" s="2035" t="str">
        <f>E59</f>
        <v>差额计税</v>
      </c>
      <c r="O55" s="2524">
        <f>F59</f>
        <v>0.01</v>
      </c>
    </row>
    <row r="56" spans="1:35" ht="24.75">
      <c r="A56" s="3709" t="s">
        <v>1363</v>
      </c>
      <c r="B56" s="3687"/>
      <c r="C56" s="3687"/>
      <c r="D56" s="2319">
        <f ca="1">IF(H56="个人住宅",D57,D58)</f>
        <v>133192</v>
      </c>
      <c r="E56" s="2329" t="s">
        <v>1364</v>
      </c>
      <c r="F56" s="2549" t="str">
        <f>IF(H56="正常",F58,"免征")</f>
        <v>免征</v>
      </c>
      <c r="G56" s="2552" t="s">
        <v>1365</v>
      </c>
      <c r="H56" s="2553"/>
      <c r="I56" s="1803"/>
      <c r="J56" s="2518" t="str">
        <f>IF(项目基本情况!K6="上海银行",IF(J55="",4,J55+1),"")</f>
        <v/>
      </c>
      <c r="K56" s="3630" t="str">
        <f>IF(项目基本情况!K6="上海银行","其他处置费用","")</f>
        <v/>
      </c>
      <c r="L56" s="3631"/>
      <c r="M56" s="2520" t="str">
        <f>IF(项目基本情况!K6="上海银行",M69,"")</f>
        <v/>
      </c>
      <c r="N56" s="3630" t="str">
        <f>IF(项目基本情况!K6="上海银行","包含处置中涉及的律师、诉讼、拍卖、评估等费用","")</f>
        <v/>
      </c>
      <c r="O56" s="3633"/>
    </row>
    <row r="57" spans="1:35" ht="12.75">
      <c r="A57" s="2330" t="s">
        <v>1341</v>
      </c>
      <c r="B57" s="3673" t="s">
        <v>1366</v>
      </c>
      <c r="C57" s="3674"/>
      <c r="D57" s="1585">
        <v>0</v>
      </c>
      <c r="E57" s="324" t="s">
        <v>1343</v>
      </c>
      <c r="F57" s="302"/>
      <c r="G57" s="2550"/>
      <c r="H57" s="2554"/>
      <c r="I57" s="1803"/>
      <c r="J57" s="3649">
        <f>IF(AND(J55="",J56=""),4,IF(项目基本情况!K6="上海银行",结果表!J56+1,结果表!J55+1))</f>
        <v>5</v>
      </c>
      <c r="K57" s="3649" t="s">
        <v>1367</v>
      </c>
      <c r="L57" s="2525" t="s">
        <v>1368</v>
      </c>
      <c r="M57" s="2526"/>
      <c r="N57" s="2527">
        <f ca="1">SUMIF(M52:M56,"&lt;9e307")</f>
        <v>135551</v>
      </c>
      <c r="O57" s="2528"/>
      <c r="P57" s="2684">
        <f ca="1">N57/M49</f>
        <v>0.57602104341692062</v>
      </c>
    </row>
    <row r="58" spans="1:35" ht="24.75">
      <c r="A58" s="2330" t="s">
        <v>1352</v>
      </c>
      <c r="B58" s="3673" t="s">
        <v>1369</v>
      </c>
      <c r="C58" s="3672"/>
      <c r="D58" s="2319">
        <f ca="1">IF(H58="转让取得",C81,C97)</f>
        <v>133192</v>
      </c>
      <c r="E58" s="2329" t="s">
        <v>1364</v>
      </c>
      <c r="F58" s="302" t="s">
        <v>28</v>
      </c>
      <c r="G58" s="2550"/>
      <c r="H58" s="2553"/>
      <c r="I58" s="1803"/>
      <c r="J58" s="3649"/>
      <c r="K58" s="3649"/>
      <c r="L58" s="2525" t="s">
        <v>1370</v>
      </c>
      <c r="M58" s="2529"/>
      <c r="N58" s="2530" t="str">
        <f ca="1">NUMBERSTRING(INT(N57*10000),2)&amp;"元整"</f>
        <v>壹拾叁亿伍仟伍佰伍拾壹万元整</v>
      </c>
      <c r="O58" s="2531"/>
    </row>
    <row r="59" spans="1:35" ht="24.75" thickBot="1">
      <c r="A59" s="3653" t="s">
        <v>1371</v>
      </c>
      <c r="B59" s="3654"/>
      <c r="C59" s="3654"/>
      <c r="D59" s="2555">
        <f ca="1">IF(H59="非个人房产","——",IF(H59="个人住宅（满五唯一有凭证）",0,IF(H59="个人其他（无凭证）",ROUND(D45*F59,0),ROUND(C67*F59,0))))</f>
        <v>2241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51">
        <f>J57+1</f>
        <v>6</v>
      </c>
      <c r="K59" s="3649" t="s">
        <v>1372</v>
      </c>
      <c r="L59" s="2518" t="s">
        <v>1368</v>
      </c>
      <c r="M59" s="2532"/>
      <c r="N59" s="2533">
        <f ca="1">M49-N57</f>
        <v>99772</v>
      </c>
      <c r="O59" s="2534"/>
    </row>
    <row r="60" spans="1:35" ht="12" customHeight="1">
      <c r="A60" s="1804"/>
      <c r="B60" s="1742"/>
      <c r="C60" s="1742"/>
      <c r="D60" s="1742"/>
      <c r="E60" s="1573"/>
      <c r="F60" s="1803"/>
      <c r="G60" s="1803"/>
      <c r="H60" s="1805"/>
      <c r="I60" s="129"/>
      <c r="J60" s="3652"/>
      <c r="K60" s="3649"/>
      <c r="L60" s="2525" t="s">
        <v>1370</v>
      </c>
      <c r="M60" s="2529"/>
      <c r="N60" s="2530" t="str">
        <f ca="1">NUMBERSTRING(INT(N59*10000),2)&amp;"元整"</f>
        <v>玖亿玖仟柒佰柒拾贰万元整</v>
      </c>
      <c r="O60" s="2531"/>
    </row>
    <row r="61" spans="1:35" ht="13.5" thickBot="1">
      <c r="A61" s="3708" t="s">
        <v>1373</v>
      </c>
      <c r="B61" s="3708"/>
      <c r="C61" s="3708"/>
      <c r="D61" s="3708"/>
      <c r="E61" s="3708"/>
      <c r="F61" s="1803"/>
      <c r="G61" s="1803"/>
      <c r="H61" s="1805"/>
      <c r="I61" s="129"/>
      <c r="J61" s="2518">
        <f>J59+1</f>
        <v>7</v>
      </c>
      <c r="K61" s="3649" t="s">
        <v>1374</v>
      </c>
      <c r="L61" s="3649"/>
      <c r="M61" s="2535"/>
      <c r="N61" s="2536">
        <f ca="1">ROUND(N59*10000/'数据-汇总表'!E3,0)</f>
        <v>12653</v>
      </c>
      <c r="O61" s="2537"/>
    </row>
    <row r="62" spans="1:35" ht="12.75">
      <c r="A62" s="3668" t="s">
        <v>1375</v>
      </c>
      <c r="B62" s="3669"/>
      <c r="C62" s="2016"/>
      <c r="D62" s="2016" t="s">
        <v>1376</v>
      </c>
      <c r="E62" s="166" t="s">
        <v>1377</v>
      </c>
      <c r="F62" s="1803"/>
      <c r="G62" s="1803"/>
      <c r="H62" s="1805"/>
      <c r="I62" s="129"/>
    </row>
    <row r="63" spans="1:35" ht="12.75">
      <c r="A63" s="173" t="s">
        <v>330</v>
      </c>
      <c r="B63" s="167" t="s">
        <v>1378</v>
      </c>
      <c r="C63" s="2559">
        <f ca="1">ROUND((C64+C65)/(1+'数据-取费表'!C42),0)</f>
        <v>224117</v>
      </c>
      <c r="D63" s="167"/>
      <c r="E63" s="168"/>
      <c r="F63" s="1803"/>
      <c r="G63" s="1803"/>
      <c r="H63" s="1805"/>
      <c r="I63" s="129"/>
      <c r="J63" s="3632" t="s">
        <v>1379</v>
      </c>
      <c r="K63" s="1327" t="s">
        <v>1380</v>
      </c>
      <c r="L63" s="1327">
        <f ca="1">IF(M49&gt;10000,M49*0.5%,IF(AND(M49&gt;1000,M49&lt;=10000),M49*1%,IF(AND(M49&gt;100,M49&lt;=1000),M49*3%,IF(AND(M49&gt;10,M49&lt;=100),M49*5%,M49*8%))))</f>
        <v>1176.615</v>
      </c>
      <c r="M63" s="302">
        <f ca="1">ROUND(L63,1)</f>
        <v>1176.5999999999999</v>
      </c>
      <c r="N63" s="2538"/>
      <c r="Z63" s="1747"/>
      <c r="AI63" s="1748"/>
    </row>
    <row r="64" spans="1:35" ht="14.25" customHeight="1">
      <c r="A64" s="169" t="s">
        <v>325</v>
      </c>
      <c r="B64" s="170" t="s">
        <v>1381</v>
      </c>
      <c r="C64" s="2560">
        <f ca="1">D45</f>
        <v>235323</v>
      </c>
      <c r="D64" s="170" t="s">
        <v>26</v>
      </c>
      <c r="E64" s="172"/>
      <c r="F64" s="1803"/>
      <c r="G64" s="1803"/>
      <c r="H64" s="1805"/>
      <c r="I64" s="129"/>
      <c r="J64" s="3632"/>
      <c r="K64" s="1327" t="s">
        <v>1382</v>
      </c>
      <c r="L64" s="1327">
        <f ca="1">IF(M49&gt;2000,M49*0.5%,IF(AND(M49&gt;1000,M49&lt;=2000),M49*0.6%,IF(AND(M49&gt;500,M49&lt;=1000),M49*0.7%,IF(AND(M49&gt;200,M49&lt;=500),M49*0.8%,IF(AND(M49&gt;100,M49&lt;=200),M49*0.9%,IF(AND(M49&gt;50,M49&lt;=100),M49*1%,IF(AND(M49&gt;20,M49&lt;=50),M49*1.5%,IF(AND(M49&gt;10,M49&lt;=20),M49*2%,IF(AND(M49&gt;1,M49&lt;=10),M49*2.5%)))))))))</f>
        <v>1176.615</v>
      </c>
      <c r="M64" s="302">
        <f t="shared" ref="M64:M65" ca="1" si="1">ROUND(L64,1)</f>
        <v>1176.5999999999999</v>
      </c>
      <c r="N64" s="2539" t="s">
        <v>1383</v>
      </c>
      <c r="Z64" s="1747"/>
      <c r="AI64" s="1748"/>
    </row>
    <row r="65" spans="1:35" ht="14.25" customHeight="1">
      <c r="A65" s="169" t="s">
        <v>326</v>
      </c>
      <c r="B65" s="170" t="s">
        <v>1384</v>
      </c>
      <c r="C65" s="2561"/>
      <c r="D65" s="170"/>
      <c r="E65" s="172"/>
      <c r="F65" s="1803"/>
      <c r="G65" s="1803"/>
      <c r="H65" s="1805"/>
      <c r="I65" s="129"/>
      <c r="J65" s="3632"/>
      <c r="K65" s="1327" t="s">
        <v>1385</v>
      </c>
      <c r="L65" s="1327">
        <f ca="1">IF(M49&gt;1000,M49*0.1%,IF(AND(M49&gt;500,M49&lt;=1000),M49*0.5%,IF(AND(M49&gt;50,M49&lt;=500),M49*1%,IF(AND(M49&gt;1,M49&lt;=50),M49*1.5%))))</f>
        <v>235.32300000000001</v>
      </c>
      <c r="M65" s="302">
        <f t="shared" ca="1" si="1"/>
        <v>235.3</v>
      </c>
      <c r="N65" s="2539" t="s">
        <v>1383</v>
      </c>
      <c r="Z65" s="1747"/>
      <c r="AI65" s="1748"/>
    </row>
    <row r="66" spans="1:35" ht="14.25" customHeight="1">
      <c r="A66" s="173" t="s">
        <v>327</v>
      </c>
      <c r="B66" s="174" t="s">
        <v>1386</v>
      </c>
      <c r="C66" s="2562"/>
      <c r="D66" s="174" t="s">
        <v>26</v>
      </c>
      <c r="E66" s="1333" t="s">
        <v>671</v>
      </c>
      <c r="F66" s="1803"/>
      <c r="G66" s="1803"/>
      <c r="H66" s="1805"/>
      <c r="I66" s="129"/>
      <c r="J66" s="3632"/>
      <c r="K66" s="1327" t="s">
        <v>1387</v>
      </c>
      <c r="L66" s="1327">
        <f ca="1">M49*0.5%</f>
        <v>1176.615</v>
      </c>
      <c r="M66" s="302">
        <f ca="1">IF(L66&gt;0.5,0.5,ROUND(L66,0))</f>
        <v>0.5</v>
      </c>
      <c r="N66" s="2539" t="s">
        <v>1388</v>
      </c>
      <c r="Z66" s="1747"/>
      <c r="AI66" s="1748"/>
    </row>
    <row r="67" spans="1:35" ht="14.25" customHeight="1">
      <c r="A67" s="173" t="s">
        <v>328</v>
      </c>
      <c r="B67" s="174" t="s">
        <v>1389</v>
      </c>
      <c r="C67" s="2563">
        <f ca="1">C63-C66</f>
        <v>224117</v>
      </c>
      <c r="D67" s="170" t="s">
        <v>26</v>
      </c>
      <c r="E67" s="172"/>
      <c r="F67" s="1803"/>
      <c r="G67" s="1803"/>
      <c r="H67" s="1805"/>
      <c r="I67" s="129"/>
      <c r="J67" s="3632"/>
      <c r="K67" s="1327" t="s">
        <v>1390</v>
      </c>
      <c r="L67" s="1327">
        <f ca="1">IF(M49&gt;=10000,(8.25+(M49-10000)*0.01%),IF(AND(M49&gt;=8000,M49&lt;10000),(7.85+(M49-8000)*0.02%),IF(AND(M49&gt;=5000,M49&lt;8000),(6.65+(M49-5000)*0.04%),IF(AND(M49&gt;=2000,M49&lt;5000),(4.25+(PM49-2000)*0.08%),IF(AND(M49&gt;=1000,M49&lt;2000),(2.75+(M49-1000)*0.15%),IF(AND(M49&gt;=100,M49&lt;1000),(0.5+(M49-100)*0.25%),IF(AND(M49&gt;0,M49&lt;100),M49*0.5%)))))))</f>
        <v>30.782299999999999</v>
      </c>
      <c r="M67" s="302">
        <f ca="1">ROUND(L67*0.9,1)</f>
        <v>27.7</v>
      </c>
      <c r="N67" s="2538"/>
      <c r="Z67" s="1747"/>
      <c r="AI67" s="1748"/>
    </row>
    <row r="68" spans="1:35" ht="14.25" customHeight="1" thickBot="1">
      <c r="A68" s="176" t="s">
        <v>329</v>
      </c>
      <c r="B68" s="177" t="s">
        <v>1391</v>
      </c>
      <c r="C68" s="2564">
        <f ca="1">IF(C67&lt;=0,0,ROUND(C67*D68,0))</f>
        <v>12551</v>
      </c>
      <c r="D68" s="2565">
        <f>'数据-取费表'!B41</f>
        <v>5.6000000000000001E-2</v>
      </c>
      <c r="E68" s="178"/>
      <c r="F68" s="1803"/>
      <c r="G68" s="1803"/>
      <c r="H68" s="1805"/>
      <c r="I68" s="129"/>
      <c r="J68" s="3632"/>
      <c r="K68" s="1327" t="s">
        <v>1392</v>
      </c>
      <c r="L68" s="1327">
        <f ca="1">IF(M49&gt;10000,M49*0.5%,IF(AND(M49&gt;5000,M49&lt;=10000),M49*1%,IF(AND(M49&gt;1000,M49&lt;=5000),M49*2%,IF(AND(M49&gt;200,M49&lt;=1000),M49*3%,M49*5%))))</f>
        <v>1176.615</v>
      </c>
      <c r="M68" s="302">
        <f ca="1">ROUND(L68,1)</f>
        <v>1176.5999999999999</v>
      </c>
      <c r="N68" s="2538"/>
      <c r="Z68" s="1747"/>
      <c r="AI68" s="1748"/>
    </row>
    <row r="69" spans="1:35" s="1767" customFormat="1" ht="16.5" customHeight="1">
      <c r="A69" s="1806"/>
      <c r="B69" s="1807"/>
      <c r="C69" s="1808"/>
      <c r="D69" s="1809"/>
      <c r="E69" s="1810"/>
      <c r="F69" s="1573"/>
      <c r="G69" s="1573"/>
      <c r="H69" s="1572"/>
      <c r="I69" s="1742"/>
      <c r="J69" s="3632"/>
      <c r="K69" s="1327" t="s">
        <v>1393</v>
      </c>
      <c r="L69" s="1327"/>
      <c r="M69" s="302">
        <f ca="1">ROUND(SUM(M63:M68),0)</f>
        <v>3793</v>
      </c>
      <c r="N69" s="2540">
        <f ca="1">M69/M49</f>
        <v>1.6118271482175563E-2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76" t="s">
        <v>1394</v>
      </c>
      <c r="B70" s="3677"/>
      <c r="C70" s="3677"/>
      <c r="D70" s="3677"/>
      <c r="E70" s="3677"/>
      <c r="F70" s="3677"/>
      <c r="G70" s="3677"/>
      <c r="H70" s="3677"/>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8" t="s">
        <v>1375</v>
      </c>
      <c r="B71" s="3669"/>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224117</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1345</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73" t="s">
        <v>1402</v>
      </c>
      <c r="F76" s="3672"/>
      <c r="G76" s="3672"/>
      <c r="H76" s="367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1345</v>
      </c>
      <c r="D78" s="2572">
        <f>'数据-取费表'!B43</f>
        <v>6.000000000000001E-3</v>
      </c>
      <c r="E78" s="3665" t="s">
        <v>1406</v>
      </c>
      <c r="F78" s="3666"/>
      <c r="G78" s="3666"/>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222772</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165.62973977695168</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133192</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76" t="s">
        <v>1410</v>
      </c>
      <c r="B83" s="3677"/>
      <c r="C83" s="3677"/>
      <c r="D83" s="3677"/>
      <c r="E83" s="3677"/>
      <c r="F83" s="3677"/>
      <c r="G83" s="3677"/>
      <c r="H83" s="367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8" t="s">
        <v>1375</v>
      </c>
      <c r="B84" s="3669"/>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224117</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1345</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34" t="s">
        <v>2129</v>
      </c>
      <c r="H90" s="3635"/>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65" t="s">
        <v>1419</v>
      </c>
      <c r="F91" s="3666"/>
      <c r="G91" s="366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65" t="s">
        <v>1422</v>
      </c>
      <c r="F92" s="3666"/>
      <c r="G92" s="3666"/>
      <c r="H92" s="3667"/>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1345</v>
      </c>
      <c r="D93" s="2572">
        <f>'数据-取费表'!B43</f>
        <v>6.000000000000001E-3</v>
      </c>
      <c r="E93" s="3665" t="s">
        <v>1406</v>
      </c>
      <c r="F93" s="3666"/>
      <c r="G93" s="3666"/>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710" t="s">
        <v>1426</v>
      </c>
      <c r="F94" s="3711"/>
      <c r="G94" s="3711"/>
      <c r="H94" s="371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222772</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165.62973977695168</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133192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15" t="s">
        <v>1428</v>
      </c>
      <c r="B100" s="3616"/>
      <c r="C100" s="3616"/>
      <c r="D100" s="3650"/>
      <c r="E100" s="3616" t="s">
        <v>1429</v>
      </c>
      <c r="F100" s="3616"/>
      <c r="G100" s="3616"/>
      <c r="H100" s="3650"/>
      <c r="I100" s="129"/>
    </row>
    <row r="101" spans="1:35" ht="18.75" customHeight="1">
      <c r="A101" s="3658" t="s">
        <v>1430</v>
      </c>
      <c r="B101" s="3659"/>
      <c r="C101" s="2580" t="str">
        <f>C4</f>
        <v>成本法</v>
      </c>
      <c r="D101" s="2581" t="str">
        <f>D4</f>
        <v>收益法（汇总）</v>
      </c>
      <c r="E101" s="3628" t="s">
        <v>1431</v>
      </c>
      <c r="F101" s="3629"/>
      <c r="G101" s="1822" t="s">
        <v>1432</v>
      </c>
      <c r="H101" s="2590">
        <f ca="1">H118</f>
        <v>235323</v>
      </c>
      <c r="I101" s="129"/>
    </row>
    <row r="102" spans="1:35" ht="18.75" customHeight="1">
      <c r="A102" s="3660" t="s">
        <v>1433</v>
      </c>
      <c r="B102" s="2579" t="s">
        <v>1432</v>
      </c>
      <c r="C102" s="2580">
        <f ca="1">IF(D32="楼面单价",ROUND(C19,0),C19)</f>
        <v>268181</v>
      </c>
      <c r="D102" s="2581">
        <f ca="1">IF(D32="楼面单价",ROUND(D19,0),D19)</f>
        <v>158653</v>
      </c>
      <c r="E102" s="3628"/>
      <c r="F102" s="3629"/>
      <c r="G102" s="1822" t="s">
        <v>1434</v>
      </c>
      <c r="H102" s="2550">
        <f ca="1">I118</f>
        <v>29842</v>
      </c>
      <c r="I102" s="129"/>
    </row>
    <row r="103" spans="1:35" ht="42.75" customHeight="1">
      <c r="A103" s="3660"/>
      <c r="B103" s="2579" t="s">
        <v>1434</v>
      </c>
      <c r="C103" s="2582">
        <f ca="1">C20</f>
        <v>34009</v>
      </c>
      <c r="D103" s="2583">
        <f ca="1">D20</f>
        <v>20120</v>
      </c>
      <c r="E103" s="3621" t="s">
        <v>1435</v>
      </c>
      <c r="F103" s="3622"/>
      <c r="G103" s="1823" t="s">
        <v>1436</v>
      </c>
      <c r="H103" s="2590">
        <f>IF(D36="正常操作",H104+H105+H106,H105+H106)</f>
        <v>0</v>
      </c>
      <c r="I103" s="129"/>
    </row>
    <row r="104" spans="1:35" ht="18.75" customHeight="1">
      <c r="A104" s="3660" t="s">
        <v>1437</v>
      </c>
      <c r="B104" s="2584" t="s">
        <v>1432</v>
      </c>
      <c r="C104" s="2585">
        <f ca="1">H118</f>
        <v>235323</v>
      </c>
      <c r="D104" s="2586"/>
      <c r="E104" s="1669" t="s">
        <v>1438</v>
      </c>
      <c r="F104" s="1661"/>
      <c r="G104" s="1823" t="s">
        <v>1436</v>
      </c>
      <c r="H104" s="2591">
        <f>IF(D36="同一抵押权人同一抵押物续贷",C36&amp;"（续贷，未扣减，详见特别提示）",C36)</f>
        <v>0</v>
      </c>
      <c r="I104" s="129"/>
    </row>
    <row r="105" spans="1:35" ht="18.75" customHeight="1" thickBot="1">
      <c r="A105" s="3670"/>
      <c r="B105" s="2587" t="s">
        <v>1434</v>
      </c>
      <c r="C105" s="2588">
        <f ca="1">I118</f>
        <v>29842</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61" t="str">
        <f>IF(项目基本情况!E8="已注销","——","3.房地产抵押价值")</f>
        <v>——</v>
      </c>
      <c r="F107" s="3629"/>
      <c r="G107" s="1822" t="s">
        <v>1432</v>
      </c>
      <c r="H107" s="2590" t="str">
        <f>IF(E107="——","——",H101-H103)</f>
        <v>——</v>
      </c>
      <c r="I107" s="129"/>
    </row>
    <row r="108" spans="1:35" ht="18.75" customHeight="1">
      <c r="A108" s="129"/>
      <c r="B108" s="129"/>
      <c r="C108" s="129"/>
      <c r="D108" s="129"/>
      <c r="E108" s="3661"/>
      <c r="F108" s="3629"/>
      <c r="G108" s="1822" t="s">
        <v>1434</v>
      </c>
      <c r="H108" s="2550" t="e">
        <f ca="1">IF(H107=H101,H102,ROUND(H107*10000/'数据-汇总表'!E3,0))</f>
        <v>#VALUE!</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3.抵押担保权已注销时的房地产抵押价值</v>
      </c>
      <c r="F109" s="3629"/>
      <c r="G109" s="1822" t="s">
        <v>1432</v>
      </c>
      <c r="H109" s="2593">
        <f ca="1">IF(E109="——","——",H101-H105-H106)</f>
        <v>235323</v>
      </c>
      <c r="I109" s="129"/>
    </row>
    <row r="110" spans="1:35" ht="18.75" customHeight="1">
      <c r="A110" s="129"/>
      <c r="B110" s="129"/>
      <c r="C110" s="129"/>
      <c r="D110" s="129"/>
      <c r="E110" s="3661"/>
      <c r="F110" s="3629"/>
      <c r="G110" s="1822" t="s">
        <v>1434</v>
      </c>
      <c r="H110" s="2550">
        <f ca="1">IF(H109="——","——",ROUND(H109*10000/'数据-汇总表'!E3,0))</f>
        <v>29842</v>
      </c>
      <c r="I110" s="129"/>
    </row>
    <row r="111" spans="1:35" ht="18.75" customHeight="1">
      <c r="A111" s="129"/>
      <c r="B111" s="129"/>
      <c r="C111" s="129"/>
      <c r="D111" s="129"/>
      <c r="E111" s="3662" t="str">
        <f>IF(项目基本情况!E9="抵押净值",IF(OR(项目基本情况!E8="已注销",项目基本情况!E8="房地产抵押价值"),"4.抵押净值","5.抵押净值"),"——")</f>
        <v>——</v>
      </c>
      <c r="F111" s="3648"/>
      <c r="G111" s="1822" t="s">
        <v>1432</v>
      </c>
      <c r="H111" s="2590" t="str">
        <f>IF(E111="——","——",N59)</f>
        <v>——</v>
      </c>
      <c r="I111" s="129"/>
    </row>
    <row r="112" spans="1:35" ht="18.75" customHeight="1" thickBot="1">
      <c r="A112" s="129"/>
      <c r="B112" s="129"/>
      <c r="C112" s="129"/>
      <c r="D112" s="129"/>
      <c r="E112" s="3663"/>
      <c r="F112" s="3664"/>
      <c r="G112" s="1825" t="s">
        <v>1434</v>
      </c>
      <c r="H112" s="2594" t="str">
        <f>IF(E111="——","——",N61)</f>
        <v>——</v>
      </c>
      <c r="I112" s="129"/>
    </row>
    <row r="113" spans="1:27" ht="18.75" customHeight="1">
      <c r="A113" s="129"/>
      <c r="B113" s="129"/>
      <c r="C113" s="129"/>
      <c r="D113" s="129"/>
      <c r="E113" s="3671" t="s">
        <v>1440</v>
      </c>
      <c r="F113" s="3671"/>
      <c r="G113" s="3671"/>
      <c r="H113" s="3671"/>
      <c r="I113" s="129"/>
    </row>
    <row r="114" spans="1:27" ht="3.75" customHeight="1">
      <c r="A114" s="1742"/>
      <c r="B114" s="1742"/>
      <c r="C114" s="1742"/>
      <c r="D114" s="1742"/>
      <c r="E114" s="1804"/>
      <c r="F114" s="1804"/>
      <c r="G114" s="1804"/>
      <c r="H114" s="1804"/>
      <c r="I114" s="1742"/>
    </row>
    <row r="115" spans="1:27" ht="18.75" customHeight="1">
      <c r="A115" s="3679" t="s">
        <v>1442</v>
      </c>
      <c r="B115" s="3680"/>
      <c r="C115" s="3680"/>
      <c r="D115" s="3680"/>
      <c r="E115" s="3680"/>
      <c r="F115" s="3680"/>
      <c r="G115" s="3680"/>
      <c r="H115" s="3680"/>
      <c r="I115" s="3681"/>
    </row>
    <row r="116" spans="1:27" ht="27" customHeight="1">
      <c r="A116" s="3636" t="s">
        <v>1443</v>
      </c>
      <c r="B116" s="3640" t="s">
        <v>1444</v>
      </c>
      <c r="C116" s="3640" t="s">
        <v>1445</v>
      </c>
      <c r="D116" s="3646" t="s">
        <v>1446</v>
      </c>
      <c r="E116" s="3647"/>
      <c r="F116" s="3678" t="s">
        <v>1447</v>
      </c>
      <c r="G116" s="3678"/>
      <c r="H116" s="3636" t="s">
        <v>1448</v>
      </c>
      <c r="I116" s="3636"/>
    </row>
    <row r="117" spans="1:27" ht="18.75" customHeight="1">
      <c r="A117" s="3636"/>
      <c r="B117" s="3641"/>
      <c r="C117" s="3641"/>
      <c r="D117" s="2324" t="s">
        <v>1449</v>
      </c>
      <c r="E117" s="2324" t="s">
        <v>1450</v>
      </c>
      <c r="F117" s="2324" t="s">
        <v>1449</v>
      </c>
      <c r="G117" s="2324" t="s">
        <v>1451</v>
      </c>
      <c r="H117" s="2324" t="s">
        <v>1449</v>
      </c>
      <c r="I117" s="2324" t="s">
        <v>1451</v>
      </c>
    </row>
    <row r="118" spans="1:27" ht="24.75" customHeight="1">
      <c r="A118" s="2595" t="str">
        <f>项目基本情况!S2</f>
        <v>房地产</v>
      </c>
      <c r="B118" s="2324">
        <f>M18</f>
        <v>78855.130000000063</v>
      </c>
      <c r="C118" s="2324">
        <f>M19</f>
        <v>10858.85</v>
      </c>
      <c r="D118" s="2324">
        <f ca="1">ROUND(IF(D32="总价",C34,E118*B118/10000),0)</f>
        <v>177198</v>
      </c>
      <c r="E118" s="2324">
        <f ca="1">ROUND(IF(C33="自定义",IF(D32="楼面单价",C34,D118*10000/B118),I118-G118),0)</f>
        <v>22471</v>
      </c>
      <c r="F118" s="2324">
        <f ca="1">ROUND(IF(D32="总价",C35,G118*B118/10000),0)</f>
        <v>58125</v>
      </c>
      <c r="G118" s="2324">
        <f ca="1">ROUND(IF(D32="楼面单价",C35,F118*10000/B118),0)</f>
        <v>7371</v>
      </c>
      <c r="H118" s="2324">
        <f ca="1">ROUND(IF(D32="总价",C32,I118*B118/10000),0)</f>
        <v>235323</v>
      </c>
      <c r="I118" s="2324">
        <f ca="1">ROUND(IF(D32="楼面单价",C32,H118*10000/B118),0)</f>
        <v>29842</v>
      </c>
    </row>
    <row r="119" spans="1:27" ht="18.75" customHeight="1">
      <c r="A119" s="3636" t="s">
        <v>1452</v>
      </c>
      <c r="B119" s="3636"/>
      <c r="C119" s="3636"/>
      <c r="D119" s="3642" t="str">
        <f ca="1">NUMBERSTRING(INT(D118*10000),2)&amp;"元整"</f>
        <v>壹拾柒亿柒仟壹佰玖拾捌万元整</v>
      </c>
      <c r="E119" s="3643"/>
      <c r="F119" s="3642" t="str">
        <f ca="1">NUMBERSTRING(INT(F118*10000),2)&amp;"元整"</f>
        <v>伍亿捌仟壹佰贰拾伍万元整</v>
      </c>
      <c r="G119" s="3643"/>
      <c r="H119" s="3642" t="str">
        <f ca="1">NUMBERSTRING(INT(H118*10000),2)&amp;"元整"</f>
        <v>贰拾叁亿伍仟叁佰贰拾叁万元整</v>
      </c>
      <c r="I119" s="3643"/>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42" t="s">
        <v>1452</v>
      </c>
      <c r="B121" s="3644"/>
      <c r="C121" s="3643"/>
      <c r="D121" s="3642" t="str">
        <f>IF(D120=0,"零元整",NUMBERSTRING(INT(D120*10000),2)&amp;"元整")</f>
        <v>零元整</v>
      </c>
      <c r="E121" s="3644"/>
      <c r="F121" s="3644"/>
      <c r="G121" s="3644"/>
      <c r="H121" s="3644"/>
      <c r="I121" s="3643"/>
      <c r="AA121" s="725"/>
    </row>
    <row r="122" spans="1:27" ht="18.75" customHeight="1">
      <c r="A122" s="3648" t="str">
        <f>IF(项目基本情况!B9="房地产市场价值","",MID(E107,3,LEN(E107)-2))</f>
        <v/>
      </c>
      <c r="B122" s="3648"/>
      <c r="C122" s="3648"/>
      <c r="D122" s="3637" t="str">
        <f>H107</f>
        <v>——</v>
      </c>
      <c r="E122" s="3638"/>
      <c r="F122" s="3638"/>
      <c r="G122" s="3638"/>
      <c r="H122" s="3638"/>
      <c r="I122" s="3639"/>
      <c r="AA122" s="725"/>
    </row>
    <row r="123" spans="1:27" ht="18.75" customHeight="1">
      <c r="A123" s="3636" t="s">
        <v>1452</v>
      </c>
      <c r="B123" s="3636"/>
      <c r="C123" s="3636"/>
      <c r="D123" s="3642" t="e">
        <f>NUMBERSTRING(INT(D122*10000),2)&amp;"元整"</f>
        <v>#VALUE!</v>
      </c>
      <c r="E123" s="3644"/>
      <c r="F123" s="3644"/>
      <c r="G123" s="3644"/>
      <c r="H123" s="3644"/>
      <c r="I123" s="3643"/>
      <c r="AA123" s="725"/>
    </row>
    <row r="124" spans="1:27" ht="18.75" customHeight="1">
      <c r="A124" s="3648" t="str">
        <f>IF(项目基本情况!B9="房地产市场价值","",MID(E109,3,LEN(E109)-2))</f>
        <v>抵押担保权已注销时的房地产抵押价值</v>
      </c>
      <c r="B124" s="3648"/>
      <c r="C124" s="3648"/>
      <c r="D124" s="3637">
        <f ca="1">H109</f>
        <v>235323</v>
      </c>
      <c r="E124" s="3638"/>
      <c r="F124" s="3638"/>
      <c r="G124" s="3638"/>
      <c r="H124" s="3638"/>
      <c r="I124" s="3639"/>
      <c r="AA124" s="725"/>
    </row>
    <row r="125" spans="1:27" ht="18.75" customHeight="1">
      <c r="A125" s="3636" t="s">
        <v>1452</v>
      </c>
      <c r="B125" s="3636"/>
      <c r="C125" s="3636"/>
      <c r="D125" s="3642" t="str">
        <f ca="1">NUMBERSTRING(INT(D124*10000),2)&amp;"元整"</f>
        <v>贰拾叁亿伍仟叁佰贰拾叁万元整</v>
      </c>
      <c r="E125" s="3644"/>
      <c r="F125" s="3644"/>
      <c r="G125" s="3644"/>
      <c r="H125" s="3644"/>
      <c r="I125" s="3643"/>
      <c r="AA125" s="725"/>
    </row>
    <row r="126" spans="1:27" ht="18.75" customHeight="1">
      <c r="A126" s="3648" t="str">
        <f>IF(项目基本情况!B9="房地产市场价值","",MID(E111,3,LEN(E111)-2))</f>
        <v/>
      </c>
      <c r="B126" s="3648"/>
      <c r="C126" s="3648"/>
      <c r="D126" s="3637" t="str">
        <f>H111</f>
        <v>——</v>
      </c>
      <c r="E126" s="3638"/>
      <c r="F126" s="3638"/>
      <c r="G126" s="3638"/>
      <c r="H126" s="3638"/>
      <c r="I126" s="3639"/>
      <c r="AA126" s="725"/>
    </row>
    <row r="127" spans="1:27" ht="18.75" customHeight="1">
      <c r="A127" s="3636" t="s">
        <v>1452</v>
      </c>
      <c r="B127" s="3636"/>
      <c r="C127" s="3636"/>
      <c r="D127" s="3642" t="e">
        <f>NUMBERSTRING(INT(D126*10000),2)&amp;"元整"</f>
        <v>#VALUE!</v>
      </c>
      <c r="E127" s="3644"/>
      <c r="F127" s="3644"/>
      <c r="G127" s="3644"/>
      <c r="H127" s="3644"/>
      <c r="I127" s="3643"/>
      <c r="AA127" s="725"/>
    </row>
    <row r="128" spans="1:27" ht="21.75" customHeight="1">
      <c r="A128" s="3645" t="s">
        <v>1453</v>
      </c>
      <c r="B128" s="3645"/>
      <c r="C128" s="3645"/>
      <c r="D128" s="3645"/>
      <c r="E128" s="3645"/>
      <c r="F128" s="3645"/>
      <c r="G128" s="3645"/>
      <c r="H128" s="3645"/>
      <c r="I128" s="3645"/>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V2" activeCellId="2" sqref="E37 E42 V2:V5"/>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47631.410000000062</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126557</v>
      </c>
      <c r="C2" s="1994" t="s">
        <v>1935</v>
      </c>
      <c r="D2" s="1995" t="s">
        <v>1936</v>
      </c>
      <c r="E2" s="3416" t="s">
        <v>673</v>
      </c>
      <c r="F2" s="1995" t="s">
        <v>1937</v>
      </c>
      <c r="G2" s="1996" t="str">
        <f>IF(E2="商业",项目基本情况!B37,IF(E2="办公",项目基本情况!C37,IF(E2="住宅",项目基本情况!D37,IF(E2="工业",项目基本情况!E37,项目基本情况!F37))))</f>
        <v>二级</v>
      </c>
      <c r="H2" s="1995" t="s">
        <v>1938</v>
      </c>
      <c r="I2" s="1996" t="str">
        <f>IF(E2="商业",项目基本情况!B38,IF(E2="办公",项目基本情况!C38,IF(E2="住宅",项目基本情况!D38,IF(E2="工业",项目基本情况!E38,项目基本情况!F38))))</f>
        <v>Ⅱ—13</v>
      </c>
      <c r="J2" s="1997"/>
      <c r="K2" s="1114"/>
      <c r="L2" s="1998" t="s">
        <v>1939</v>
      </c>
      <c r="M2" s="859">
        <f>SUMPRODUCT((区片价!B10:B29=I2)*(区片价!C3:G3=E2)*(区片价!C10:G29))</f>
        <v>29830</v>
      </c>
      <c r="N2" s="861">
        <f>SUMPRODUCT((因素修正幅度!B10:B29=I2)*(因素修正幅度!C3:G3=E2)*(因素修正幅度!C10:G29))</f>
        <v>9.5000000000000001E-2</v>
      </c>
      <c r="O2" s="1114"/>
      <c r="P2" s="1114"/>
      <c r="Q2" s="1114"/>
      <c r="R2" s="1207">
        <v>1</v>
      </c>
      <c r="S2" s="3355">
        <f>ROUND(SUMPRODUCT((B106:B110=R2)*(C105:N105=G2)*(C106:N110)),4)</f>
        <v>1.5206</v>
      </c>
      <c r="T2" s="3355">
        <f t="shared" ref="T2:T16" si="0">ROUND($C$5*$C$22*$C$23*$C$24*S2*$C$28,0)</f>
        <v>37209</v>
      </c>
      <c r="U2" s="3509">
        <f>取值过程!C36</f>
        <v>9970.9700000000012</v>
      </c>
      <c r="V2" s="3355">
        <f>ROUND(T2*U2/10000,0)</f>
        <v>37101</v>
      </c>
      <c r="W2" s="1211"/>
      <c r="X2" s="1211"/>
      <c r="Y2" s="1211"/>
      <c r="Z2" s="1211"/>
      <c r="AA2" s="1211"/>
      <c r="AB2" s="1211"/>
      <c r="AC2" s="1212"/>
      <c r="AD2" s="1213"/>
      <c r="AE2" s="1213"/>
      <c r="AF2" s="1213"/>
      <c r="AG2" s="1213"/>
      <c r="AH2" s="1213"/>
      <c r="AI2" s="1213"/>
      <c r="AJ2" s="1214"/>
    </row>
    <row r="3" spans="1:36" ht="15.75">
      <c r="A3" s="203" t="s">
        <v>1940</v>
      </c>
      <c r="B3" s="204">
        <f>ROUND(B2*10000/D1,0)</f>
        <v>26570</v>
      </c>
      <c r="C3" s="1994" t="s">
        <v>1941</v>
      </c>
      <c r="D3" s="1995" t="s">
        <v>1942</v>
      </c>
      <c r="E3" s="3414" t="s">
        <v>2439</v>
      </c>
      <c r="F3" s="1999" t="s">
        <v>3438</v>
      </c>
      <c r="G3" s="747">
        <f>IF(F3="宗地容积率",'数据-汇总表'!I4,IF(F3="估价对象容积率",'数据-汇总表'!I6,'数据-汇总表'!I7))</f>
        <v>5.202054195487535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29540</v>
      </c>
      <c r="U3" s="3509">
        <f>取值过程!C37</f>
        <v>10214.120000000001</v>
      </c>
      <c r="V3" s="3355">
        <f t="shared" ref="V3:V16" si="1">ROUND(T3*U3/10000,0)</f>
        <v>30173</v>
      </c>
      <c r="W3" s="1211"/>
      <c r="X3" s="1211"/>
      <c r="Y3" s="1211"/>
      <c r="Z3" s="1211"/>
      <c r="AA3" s="1211"/>
      <c r="AB3" s="1211"/>
      <c r="AC3" s="1212"/>
      <c r="AD3" s="1213"/>
      <c r="AE3" s="1213"/>
      <c r="AF3" s="1213"/>
      <c r="AG3" s="1213"/>
      <c r="AH3" s="1213"/>
      <c r="AI3" s="1213"/>
      <c r="AJ3" s="1214"/>
    </row>
    <row r="4" spans="1:36" ht="15.75">
      <c r="A4" s="3722"/>
      <c r="B4" s="3723"/>
      <c r="C4" s="3723"/>
      <c r="D4" s="3724"/>
      <c r="E4" s="3724"/>
      <c r="F4" s="3724"/>
      <c r="G4" s="3724"/>
      <c r="H4" s="3724"/>
      <c r="I4" s="3724"/>
      <c r="J4" s="372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25525</v>
      </c>
      <c r="U4" s="3509">
        <f>取值过程!C38</f>
        <v>9474.090000000002</v>
      </c>
      <c r="V4" s="3355">
        <f t="shared" si="1"/>
        <v>24183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29830</v>
      </c>
      <c r="D5" s="1334">
        <f>ROUND(C6*C17+C20,0)</f>
        <v>29830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23097</v>
      </c>
      <c r="U5" s="3509">
        <f>取值过程!C39</f>
        <v>3846.18</v>
      </c>
      <c r="V5" s="3355">
        <f t="shared" si="1"/>
        <v>8884</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29830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22013</v>
      </c>
      <c r="U6" s="1208"/>
      <c r="V6" s="3355">
        <f t="shared" si="1"/>
        <v>0</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f t="shared" si="0"/>
        <v>0</v>
      </c>
      <c r="U7" s="1208"/>
      <c r="V7" s="3355">
        <f t="shared" si="1"/>
        <v>0</v>
      </c>
      <c r="W7" s="1353" t="s">
        <v>1955</v>
      </c>
      <c r="X7" s="1209" t="str">
        <f>G2</f>
        <v>二级</v>
      </c>
      <c r="Y7" s="1209" t="s">
        <v>1956</v>
      </c>
      <c r="Z7" s="1210">
        <f>G3</f>
        <v>5.202054195487535</v>
      </c>
      <c r="AA7" s="1211"/>
      <c r="AB7" s="1211"/>
      <c r="AC7" s="1212"/>
      <c r="AD7" s="1213"/>
      <c r="AE7" s="1213"/>
      <c r="AF7" s="1213"/>
      <c r="AG7" s="1213"/>
      <c r="AH7" s="1213"/>
      <c r="AI7" s="1213"/>
      <c r="AJ7" s="1214"/>
    </row>
    <row r="8" spans="1:36" ht="25.5">
      <c r="A8" s="3293"/>
      <c r="B8" s="170" t="s">
        <v>1957</v>
      </c>
      <c r="C8" s="2021" t="s">
        <v>3439</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f t="shared" si="0"/>
        <v>0</v>
      </c>
      <c r="U8" s="1208"/>
      <c r="V8" s="3355">
        <f t="shared" si="1"/>
        <v>0</v>
      </c>
      <c r="W8" s="3719" t="s">
        <v>1960</v>
      </c>
      <c r="X8" s="372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f t="shared" si="0"/>
        <v>0</v>
      </c>
      <c r="U9" s="1208"/>
      <c r="V9" s="3355">
        <f t="shared" si="1"/>
        <v>0</v>
      </c>
      <c r="W9" s="3721"/>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f t="shared" si="0"/>
        <v>0</v>
      </c>
      <c r="U10" s="1208"/>
      <c r="V10" s="3355">
        <f t="shared" si="1"/>
        <v>0</v>
      </c>
      <c r="W10" s="372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f t="shared" si="0"/>
        <v>0</v>
      </c>
      <c r="U11" s="1208"/>
      <c r="V11" s="3355">
        <f t="shared" si="1"/>
        <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f t="shared" si="0"/>
        <v>0</v>
      </c>
      <c r="U12" s="1208"/>
      <c r="V12" s="3355">
        <f t="shared" si="1"/>
        <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f t="shared" si="0"/>
        <v>0</v>
      </c>
      <c r="U13" s="1208"/>
      <c r="V13" s="3355">
        <f t="shared" si="1"/>
        <v>0</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f t="shared" si="0"/>
        <v>0</v>
      </c>
      <c r="U14" s="1208"/>
      <c r="V14" s="3355">
        <f t="shared" si="1"/>
        <v>0</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c r="T15" s="3355">
        <f t="shared" si="0"/>
        <v>0</v>
      </c>
      <c r="U15" s="1208"/>
      <c r="V15" s="3355">
        <f t="shared" si="1"/>
        <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f t="shared" si="0"/>
        <v>0</v>
      </c>
      <c r="U16" s="1208"/>
      <c r="V16" s="3355">
        <f t="shared" si="1"/>
        <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26" t="s">
        <v>3254</v>
      </c>
      <c r="B20" s="167" t="s">
        <v>1994</v>
      </c>
      <c r="C20" s="3319">
        <f>ROUND(IF(F21="与级别开发程度一致",0,(G21-E21)/C21),0)</f>
        <v>0</v>
      </c>
      <c r="D20" s="3335" t="s">
        <v>1998</v>
      </c>
      <c r="E20" s="3336"/>
      <c r="F20" s="3732" t="s">
        <v>1995</v>
      </c>
      <c r="G20" s="3733"/>
      <c r="H20" s="3320" t="s">
        <v>3387</v>
      </c>
      <c r="I20" s="3320" t="s">
        <v>3388</v>
      </c>
      <c r="J20" s="3321" t="s">
        <v>3389</v>
      </c>
      <c r="K20" s="2042" t="s">
        <v>3390</v>
      </c>
      <c r="L20" s="2042" t="s">
        <v>3391</v>
      </c>
      <c r="M20" s="2042" t="s">
        <v>3441</v>
      </c>
      <c r="N20" s="2042" t="s">
        <v>3392</v>
      </c>
      <c r="O20" s="2043" t="s">
        <v>3442</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27"/>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3440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45477</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0.74199999999999999</v>
      </c>
      <c r="D24" s="2055" t="s">
        <v>2007</v>
      </c>
      <c r="E24" s="1330">
        <f>存贷款利率!E24/100</f>
        <v>4.3499999999999997E-2</v>
      </c>
      <c r="F24" s="2055" t="s">
        <v>1999</v>
      </c>
      <c r="G24" s="763">
        <f>SUMIF(M30:Q30,E2,M33:Q33)</f>
        <v>5.5E-2</v>
      </c>
      <c r="H24" s="2055" t="s">
        <v>2008</v>
      </c>
      <c r="I24" s="764">
        <f>SUMIF('数据-取费表'!C6:C15,E2,'数据-取费表'!F6:F15)/COUNTIF('数据-取费表'!C6:C15,E2)</f>
        <v>19.87</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3443</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0.95540000000000003</v>
      </c>
      <c r="E26" s="747">
        <f>ROUNDDOWN(G3,1)</f>
        <v>5.2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0.95540000000000003</v>
      </c>
      <c r="G26" s="747">
        <f>ROUNDUP(G3,1)</f>
        <v>5.3</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0.95350000000000001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1.0508999999999999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126557</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6553</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37209</v>
      </c>
      <c r="D33" s="3508">
        <f>取值过程!C36</f>
        <v>9970.9700000000012</v>
      </c>
      <c r="E33" s="768">
        <f>ROUND(C33*D33/10000,0)</f>
        <v>37101</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30"/>
      <c r="B37" s="2108" t="s">
        <v>2036</v>
      </c>
      <c r="C37" s="175">
        <f>ROUND(D5*C22*C23*C24*C28*F37,0)</f>
        <v>17129</v>
      </c>
      <c r="D37" s="3508">
        <f>取值过程!C40</f>
        <v>4295.38</v>
      </c>
      <c r="E37" s="171">
        <f>ROUND(C37*D37/10000,0)</f>
        <v>7358</v>
      </c>
      <c r="F37" s="171">
        <f>SUMIF(修正!A57:A68,G2,修正!B57:B68)</f>
        <v>0.7</v>
      </c>
      <c r="G37" s="171">
        <f>ROUND(IF(E2="工业",C37*$M$42,C37*$M$41),0)</f>
        <v>4282</v>
      </c>
      <c r="H37" s="171">
        <f>D37</f>
        <v>4295.38</v>
      </c>
      <c r="I37" s="171">
        <f>ROUND(G37*H37/10000,0)</f>
        <v>1839</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31"/>
      <c r="B38" s="2036" t="s">
        <v>2037</v>
      </c>
      <c r="C38" s="175">
        <f>ROUND(D5*C22*C23*C24*C28*F38,0)</f>
        <v>9788</v>
      </c>
      <c r="D38" s="2093"/>
      <c r="E38" s="171">
        <f t="shared" ref="E38:E42" si="4">ROUND(C38*D38/10000,0)</f>
        <v>0</v>
      </c>
      <c r="F38" s="171">
        <f>SUMIF(修正!A57:A68,G2,修正!C57:C68)</f>
        <v>0.4</v>
      </c>
      <c r="G38" s="171">
        <f>ROUND(IF(E2="工业",C38*$M$42,C38*$M$41),0)</f>
        <v>2447</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31"/>
      <c r="B39" s="2036" t="s">
        <v>3259</v>
      </c>
      <c r="C39" s="175">
        <f>ROUND(D5*C22*C23*C24*C28*F39,0)</f>
        <v>7341</v>
      </c>
      <c r="D39" s="2093"/>
      <c r="E39" s="171">
        <f t="shared" si="4"/>
        <v>0</v>
      </c>
      <c r="F39" s="171">
        <f>SUMIF(修正!A57:A68,G2,修正!D57:D68)</f>
        <v>0.3</v>
      </c>
      <c r="G39" s="171">
        <f>ROUND(IF(E2="工业",C39*$M$42,C39*$M$41),0)</f>
        <v>1835</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7341</v>
      </c>
      <c r="D40" s="2093"/>
      <c r="E40" s="171">
        <f t="shared" si="4"/>
        <v>0</v>
      </c>
      <c r="F40" s="175">
        <f>SUMIF(修正!A57:A68,G2,修正!E57:E68)</f>
        <v>0.3</v>
      </c>
      <c r="G40" s="171">
        <f>ROUND(IF(E2="工业",C40*$M$42,C40*$M$41),0)</f>
        <v>1835</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8478</v>
      </c>
      <c r="D41" s="2093"/>
      <c r="E41" s="171">
        <f t="shared" si="4"/>
        <v>0</v>
      </c>
      <c r="F41" s="175">
        <f>SUMIF(修正!A57:A68,G2,修正!F57:F68)</f>
        <v>0.3</v>
      </c>
      <c r="G41" s="171">
        <f>ROUND(IF(E2="工业",C41*$M$42,C41*$M$41),0)</f>
        <v>2120</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5652</v>
      </c>
      <c r="D42" s="3514">
        <f>取值过程!E40+取值过程!E41+取值过程!E42+取值过程!E43</f>
        <v>33365.060000000063</v>
      </c>
      <c r="E42" s="187">
        <f t="shared" si="4"/>
        <v>18858</v>
      </c>
      <c r="F42" s="762">
        <f>SUMIF(修正!A57:A68,G2,修正!G57:G68)</f>
        <v>0.2</v>
      </c>
      <c r="G42" s="187">
        <f>ROUND(IF(E2="工业",C42*$M$42,C42*$M$41),0)</f>
        <v>1413</v>
      </c>
      <c r="H42" s="187">
        <f t="shared" si="5"/>
        <v>33365.060000000063</v>
      </c>
      <c r="I42" s="187">
        <f t="shared" si="6"/>
        <v>4714</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0.8569</v>
      </c>
      <c r="D44" s="171" t="s">
        <v>1999</v>
      </c>
      <c r="E44" s="2148">
        <f>G24</f>
        <v>5.5E-2</v>
      </c>
      <c r="F44" s="171" t="s">
        <v>2008</v>
      </c>
      <c r="G44" s="183">
        <f>项目基本情况!F15</f>
        <v>29.87</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3444</v>
      </c>
      <c r="D50" s="1060">
        <f t="shared" ref="D50:D58" si="7">SUMIF($J$49:$N$49,C50,J50:N50)</f>
        <v>1.4200000000000001E-2</v>
      </c>
      <c r="E50" s="739">
        <f>ROUND(SUM(D50:D58),4)</f>
        <v>5.0900000000000001E-2</v>
      </c>
      <c r="F50" s="1809">
        <f>IF(E2="商业",SUMIF(L1:L12,G2,N1:N12),"——")</f>
        <v>9.5000000000000001E-2</v>
      </c>
      <c r="G50" s="1058">
        <v>1.4200000000000001E-2</v>
      </c>
      <c r="H50" s="1061">
        <f t="shared" ref="H50:H58" si="8">IFERROR(ROUNDDOWN($F$50*I50/2,4),"——")</f>
        <v>1.4200000000000001E-2</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3444</v>
      </c>
      <c r="D51" s="1060">
        <f t="shared" si="7"/>
        <v>1.04E-2</v>
      </c>
      <c r="E51" s="740"/>
      <c r="F51" s="1809"/>
      <c r="G51" s="1058">
        <v>1.04E-2</v>
      </c>
      <c r="H51" s="1061">
        <f t="shared" si="8"/>
        <v>1.04E-2</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3444</v>
      </c>
      <c r="D52" s="1060">
        <f t="shared" si="7"/>
        <v>5.7000000000000002E-3</v>
      </c>
      <c r="E52" s="740"/>
      <c r="F52" s="1809"/>
      <c r="G52" s="1058">
        <v>5.7000000000000002E-3</v>
      </c>
      <c r="H52" s="1061">
        <f t="shared" si="8"/>
        <v>5.7000000000000002E-3</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3444</v>
      </c>
      <c r="D53" s="1060">
        <f t="shared" si="7"/>
        <v>2.3E-3</v>
      </c>
      <c r="E53" s="740"/>
      <c r="F53" s="1809"/>
      <c r="G53" s="1058">
        <v>2.3E-3</v>
      </c>
      <c r="H53" s="1061">
        <f t="shared" si="8"/>
        <v>2.3E-3</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3444</v>
      </c>
      <c r="D54" s="1060">
        <f t="shared" si="7"/>
        <v>3.8E-3</v>
      </c>
      <c r="E54" s="740"/>
      <c r="F54" s="1809"/>
      <c r="G54" s="1058">
        <v>3.8E-3</v>
      </c>
      <c r="H54" s="1061">
        <f t="shared" si="8"/>
        <v>3.8E-3</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3444</v>
      </c>
      <c r="D55" s="1060">
        <f t="shared" si="7"/>
        <v>2.3E-3</v>
      </c>
      <c r="E55" s="740"/>
      <c r="F55" s="1809"/>
      <c r="G55" s="1058">
        <v>2.3E-3</v>
      </c>
      <c r="H55" s="1061">
        <f t="shared" si="8"/>
        <v>2.3E-3</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3444</v>
      </c>
      <c r="D56" s="1060">
        <f t="shared" si="7"/>
        <v>2.3E-3</v>
      </c>
      <c r="E56" s="740"/>
      <c r="F56" s="1809"/>
      <c r="G56" s="1058">
        <v>2.3E-3</v>
      </c>
      <c r="H56" s="1061">
        <f t="shared" si="8"/>
        <v>2.3E-3</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3445</v>
      </c>
      <c r="D57" s="1060">
        <f t="shared" si="7"/>
        <v>7.6E-3</v>
      </c>
      <c r="E57" s="740"/>
      <c r="F57" s="1809"/>
      <c r="G57" s="1058">
        <v>3.8E-3</v>
      </c>
      <c r="H57" s="1061">
        <f t="shared" si="8"/>
        <v>3.8E-3</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3444</v>
      </c>
      <c r="D58" s="1060">
        <f t="shared" si="7"/>
        <v>2.3E-3</v>
      </c>
      <c r="E58" s="741"/>
      <c r="F58" s="1809"/>
      <c r="G58" s="1058">
        <v>2.3E-3</v>
      </c>
      <c r="H58" s="1061">
        <f t="shared" si="8"/>
        <v>2.3E-3</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8" t="s">
        <v>3294</v>
      </c>
      <c r="B103" s="3728"/>
      <c r="C103" s="3728"/>
      <c r="D103" s="3728"/>
      <c r="E103" s="3728"/>
      <c r="F103" s="3728"/>
      <c r="G103" s="3728"/>
      <c r="H103" s="3728"/>
      <c r="I103" s="3728"/>
      <c r="J103" s="3728"/>
      <c r="K103" s="3384"/>
      <c r="L103" s="3384"/>
      <c r="M103" s="3384"/>
      <c r="N103" s="3384"/>
    </row>
    <row r="104" spans="1:14">
      <c r="A104" s="3729" t="s">
        <v>3295</v>
      </c>
      <c r="B104" s="3729" t="s">
        <v>3296</v>
      </c>
      <c r="C104" s="3385" t="s">
        <v>3297</v>
      </c>
      <c r="D104" s="3386"/>
      <c r="E104" s="3386"/>
      <c r="F104" s="3386"/>
      <c r="G104" s="3386"/>
      <c r="H104" s="3386"/>
      <c r="I104" s="3386"/>
      <c r="J104" s="3387"/>
      <c r="K104" s="3388"/>
      <c r="L104" s="3388"/>
      <c r="M104" s="3388"/>
      <c r="N104" s="3388"/>
    </row>
    <row r="105" spans="1:14">
      <c r="A105" s="3729"/>
      <c r="B105" s="3729"/>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15"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1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1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1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1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16"/>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17"/>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18" t="s">
        <v>3311</v>
      </c>
      <c r="B113" s="3718"/>
      <c r="C113" s="3718"/>
      <c r="D113" s="3718"/>
      <c r="E113" s="3718"/>
      <c r="F113" s="3718"/>
      <c r="G113" s="3718"/>
      <c r="H113" s="3718"/>
      <c r="I113" s="3718"/>
      <c r="J113" s="371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5.202054195487535</v>
      </c>
      <c r="C116" s="3394" t="s">
        <v>3313</v>
      </c>
      <c r="D116" s="3395">
        <f>SUMPRODUCT((A118:A122=F116)*(B117:M117=H116)*B118:M122)</f>
        <v>0.93959999999999999</v>
      </c>
      <c r="E116" s="1995" t="s">
        <v>3314</v>
      </c>
      <c r="F116" s="3396" t="str">
        <f>E2</f>
        <v>商业</v>
      </c>
      <c r="G116" s="1995" t="s">
        <v>3315</v>
      </c>
      <c r="H116" s="3396" t="str">
        <f>G2</f>
        <v>二级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0.93959999999999999</v>
      </c>
      <c r="C118" s="3382">
        <f>B118</f>
        <v>0.93959999999999999</v>
      </c>
      <c r="D118" s="3382">
        <f>ROUND(0.949-0.014*B116,4)</f>
        <v>0.87619999999999998</v>
      </c>
      <c r="E118" s="3382">
        <f>D118</f>
        <v>0.87619999999999998</v>
      </c>
      <c r="F118" s="3382">
        <f>E118</f>
        <v>0.87619999999999998</v>
      </c>
      <c r="G118" s="3382">
        <f>F118</f>
        <v>0.87619999999999998</v>
      </c>
      <c r="H118" s="3382">
        <f>G118</f>
        <v>0.87619999999999998</v>
      </c>
      <c r="I118" s="3382">
        <f>ROUND(0.8486-0.018*B116,4)</f>
        <v>0.755</v>
      </c>
      <c r="J118" s="3382">
        <f t="shared" ref="J118:M122" si="35">I118</f>
        <v>0.755</v>
      </c>
      <c r="K118" s="3382">
        <f t="shared" si="35"/>
        <v>0.755</v>
      </c>
      <c r="L118" s="3382">
        <f t="shared" si="35"/>
        <v>0.755</v>
      </c>
      <c r="M118" s="3405">
        <f t="shared" si="35"/>
        <v>0.755</v>
      </c>
      <c r="N118" s="3392"/>
    </row>
    <row r="119" spans="1:14">
      <c r="A119" s="3404" t="s">
        <v>3329</v>
      </c>
      <c r="B119" s="3382">
        <f>ROUND(0.993-0.0112*B116,4)</f>
        <v>0.93469999999999998</v>
      </c>
      <c r="C119" s="3382">
        <f>B119</f>
        <v>0.93469999999999998</v>
      </c>
      <c r="D119" s="3382">
        <f>ROUND(0.9415-0.0142*B116,4)</f>
        <v>0.86760000000000004</v>
      </c>
      <c r="E119" s="3382">
        <f t="shared" ref="E119:H120" si="36">D119</f>
        <v>0.86760000000000004</v>
      </c>
      <c r="F119" s="3382">
        <f t="shared" si="36"/>
        <v>0.86760000000000004</v>
      </c>
      <c r="G119" s="3382">
        <f t="shared" si="36"/>
        <v>0.86760000000000004</v>
      </c>
      <c r="H119" s="3382">
        <f t="shared" si="36"/>
        <v>0.86760000000000004</v>
      </c>
      <c r="I119" s="3382">
        <f>ROUND(0.838-0.0182*B116,4)</f>
        <v>0.74329999999999996</v>
      </c>
      <c r="J119" s="3382">
        <f t="shared" si="35"/>
        <v>0.74329999999999996</v>
      </c>
      <c r="K119" s="3382">
        <f t="shared" si="35"/>
        <v>0.74329999999999996</v>
      </c>
      <c r="L119" s="3382">
        <f t="shared" si="35"/>
        <v>0.74329999999999996</v>
      </c>
      <c r="M119" s="3405">
        <f t="shared" si="35"/>
        <v>0.74329999999999996</v>
      </c>
      <c r="N119" s="3392"/>
    </row>
    <row r="120" spans="1:14">
      <c r="A120" s="3404" t="s">
        <v>3330</v>
      </c>
      <c r="B120" s="3382">
        <f>ROUND(0.9448-0.0115*B116,4)</f>
        <v>0.88500000000000001</v>
      </c>
      <c r="C120" s="3382">
        <f>B120</f>
        <v>0.88500000000000001</v>
      </c>
      <c r="D120" s="3382">
        <f>ROUND(0.937-0.0145*B116,4)</f>
        <v>0.86160000000000003</v>
      </c>
      <c r="E120" s="3382">
        <f t="shared" si="36"/>
        <v>0.86160000000000003</v>
      </c>
      <c r="F120" s="3382">
        <f t="shared" si="36"/>
        <v>0.86160000000000003</v>
      </c>
      <c r="G120" s="3382">
        <f t="shared" si="36"/>
        <v>0.86160000000000003</v>
      </c>
      <c r="H120" s="3382">
        <f t="shared" si="36"/>
        <v>0.86160000000000003</v>
      </c>
      <c r="I120" s="3382">
        <f>ROUND(0.7965-0.0185*B116,4)</f>
        <v>0.70030000000000003</v>
      </c>
      <c r="J120" s="3382">
        <f t="shared" si="35"/>
        <v>0.70030000000000003</v>
      </c>
      <c r="K120" s="3382">
        <f t="shared" si="35"/>
        <v>0.70030000000000003</v>
      </c>
      <c r="L120" s="3382">
        <f t="shared" si="35"/>
        <v>0.70030000000000003</v>
      </c>
      <c r="M120" s="3405">
        <f t="shared" si="35"/>
        <v>0.70030000000000003</v>
      </c>
      <c r="N120" s="3392"/>
    </row>
    <row r="121" spans="1:14" ht="13.5" thickBot="1">
      <c r="A121" s="3406" t="s">
        <v>3331</v>
      </c>
      <c r="B121" s="3407">
        <f>ROUND(0.7836-0.012*B116,4)</f>
        <v>0.72119999999999995</v>
      </c>
      <c r="C121" s="3407">
        <f>B121</f>
        <v>0.72119999999999995</v>
      </c>
      <c r="D121" s="3407">
        <f>ROUND(0.753-0.015*B116,4)</f>
        <v>0.67500000000000004</v>
      </c>
      <c r="E121" s="3407">
        <f>D121</f>
        <v>0.67500000000000004</v>
      </c>
      <c r="F121" s="3407">
        <f>E121</f>
        <v>0.67500000000000004</v>
      </c>
      <c r="G121" s="3407">
        <f>ROUND(0.6612-0.018*B116,4)</f>
        <v>0.56759999999999999</v>
      </c>
      <c r="H121" s="3407">
        <f>G121</f>
        <v>0.56759999999999999</v>
      </c>
      <c r="I121" s="3407">
        <f>ROUND(0.5905-0.019*B116,4)</f>
        <v>0.49170000000000003</v>
      </c>
      <c r="J121" s="3407">
        <f t="shared" si="35"/>
        <v>0.49170000000000003</v>
      </c>
      <c r="K121" s="3407">
        <f t="shared" si="35"/>
        <v>0.49170000000000003</v>
      </c>
      <c r="L121" s="3407">
        <f t="shared" si="35"/>
        <v>0.49170000000000003</v>
      </c>
      <c r="M121" s="3408">
        <f t="shared" si="35"/>
        <v>0.49170000000000003</v>
      </c>
      <c r="N121" s="3392"/>
    </row>
    <row r="122" spans="1:14">
      <c r="A122" s="3409" t="s">
        <v>2612</v>
      </c>
      <c r="B122" s="3382">
        <f>ROUND(0.9404-0.0106*B116,4)</f>
        <v>0.88529999999999998</v>
      </c>
      <c r="C122" s="3382">
        <f>B122</f>
        <v>0.88529999999999998</v>
      </c>
      <c r="D122" s="3382">
        <f>ROUND(0.8955-0.0135*B116,4)</f>
        <v>0.82530000000000003</v>
      </c>
      <c r="E122" s="3382">
        <f t="shared" ref="E122:H122" si="37">D122</f>
        <v>0.82530000000000003</v>
      </c>
      <c r="F122" s="3382">
        <f t="shared" si="37"/>
        <v>0.82530000000000003</v>
      </c>
      <c r="G122" s="3382">
        <f t="shared" si="37"/>
        <v>0.82530000000000003</v>
      </c>
      <c r="H122" s="3382">
        <f t="shared" si="37"/>
        <v>0.82530000000000003</v>
      </c>
      <c r="I122" s="3382">
        <f>ROUND(0.7632-0.0166*B116,4)</f>
        <v>0.67679999999999996</v>
      </c>
      <c r="J122" s="3382">
        <f t="shared" si="35"/>
        <v>0.67679999999999996</v>
      </c>
      <c r="K122" s="3382">
        <f t="shared" si="35"/>
        <v>0.67679999999999996</v>
      </c>
      <c r="L122" s="3382">
        <f t="shared" si="35"/>
        <v>0.67679999999999996</v>
      </c>
      <c r="M122" s="3405">
        <f t="shared" si="35"/>
        <v>0.67679999999999996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3" priority="6" stopIfTrue="1" operator="notEqual">
      <formula>"——"</formula>
    </cfRule>
  </conditionalFormatting>
  <conditionalFormatting sqref="F61">
    <cfRule type="cellIs" dxfId="182" priority="5" stopIfTrue="1" operator="notEqual">
      <formula>"——"</formula>
    </cfRule>
  </conditionalFormatting>
  <conditionalFormatting sqref="F72">
    <cfRule type="cellIs" dxfId="181" priority="4" stopIfTrue="1" operator="notEqual">
      <formula>"——"</formula>
    </cfRule>
  </conditionalFormatting>
  <conditionalFormatting sqref="F83">
    <cfRule type="cellIs" dxfId="180" priority="3" stopIfTrue="1" operator="notEqual">
      <formula>"——"</formula>
    </cfRule>
  </conditionalFormatting>
  <conditionalFormatting sqref="H50:H58 H61:H69 H72:H80 H83:H91">
    <cfRule type="cellIs" dxfId="179" priority="2" operator="notEqual">
      <formula>"——"</formula>
    </cfRule>
  </conditionalFormatting>
  <conditionalFormatting sqref="H93:H101">
    <cfRule type="cellIs" dxfId="17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115" zoomScaleNormal="80" zoomScaleSheetLayoutView="115" workbookViewId="0">
      <selection activeCell="D33" sqref="D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794.49</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1978</v>
      </c>
      <c r="C2" s="1994" t="s">
        <v>1935</v>
      </c>
      <c r="D2" s="1995" t="s">
        <v>1936</v>
      </c>
      <c r="E2" s="3517" t="s">
        <v>21</v>
      </c>
      <c r="F2" s="1995" t="s">
        <v>1937</v>
      </c>
      <c r="G2" s="1996" t="str">
        <f>IF(E2="商业",项目基本情况!B37,IF(E2="办公",项目基本情况!C37,IF(E2="住宅",项目基本情况!D37,IF(E2="工业",项目基本情况!E37,项目基本情况!F37))))</f>
        <v>二级</v>
      </c>
      <c r="H2" s="1995" t="s">
        <v>1938</v>
      </c>
      <c r="I2" s="1996" t="str">
        <f>IF(E2="商业",项目基本情况!B38,IF(E2="办公",项目基本情况!C38,IF(E2="住宅",项目基本情况!D38,IF(E2="工业",项目基本情况!E38,项目基本情况!F38))))</f>
        <v>Ⅱ—13</v>
      </c>
      <c r="J2" s="1997"/>
      <c r="K2" s="1114"/>
      <c r="L2" s="1998" t="s">
        <v>1939</v>
      </c>
      <c r="M2" s="859">
        <f>SUMPRODUCT((区片价!B10:B29=I2)*(区片价!C3:G3=E2)*(区片价!C10:G29))</f>
        <v>27600</v>
      </c>
      <c r="N2" s="861">
        <f>SUMPRODUCT((因素修正幅度!B10:B29=I2)*(因素修正幅度!C3:G3=E2)*(因素修正幅度!C10:G29))</f>
        <v>9.9000000000000005E-2</v>
      </c>
      <c r="O2" s="1114"/>
      <c r="P2" s="1114"/>
      <c r="Q2" s="1114"/>
      <c r="R2" s="1207">
        <v>1</v>
      </c>
      <c r="S2" s="3355">
        <f>ROUND(SUMPRODUCT((B106:B110=R2)*(C105:N105=G2)*(C106:N110)),4)</f>
        <v>1.5206</v>
      </c>
      <c r="T2" s="3355">
        <f t="shared" ref="T2:T16" si="0">ROUND($C$5*$C$22*$C$23*$C$24*S2*$C$28,0)</f>
        <v>39603</v>
      </c>
      <c r="U2" s="1208"/>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24896</v>
      </c>
      <c r="C3" s="1994" t="s">
        <v>1941</v>
      </c>
      <c r="D3" s="1995" t="s">
        <v>1942</v>
      </c>
      <c r="E3" s="3414" t="s">
        <v>3486</v>
      </c>
      <c r="F3" s="1999" t="s">
        <v>3438</v>
      </c>
      <c r="G3" s="747">
        <f>IF(F3="宗地容积率",'数据-汇总表'!I4,IF(F3="估价对象容积率",'数据-汇总表'!I6,'数据-汇总表'!I7))</f>
        <v>5.202054195487535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31441</v>
      </c>
      <c r="U3" s="1208"/>
      <c r="V3" s="3355">
        <f t="shared" ref="V3:V16" si="1">ROUND(T3*U3/10000,0)</f>
        <v>0</v>
      </c>
      <c r="W3" s="1211"/>
      <c r="X3" s="1211"/>
      <c r="Y3" s="1211"/>
      <c r="Z3" s="1211"/>
      <c r="AA3" s="1211"/>
      <c r="AB3" s="1211"/>
      <c r="AC3" s="1212"/>
      <c r="AD3" s="1213"/>
      <c r="AE3" s="1213"/>
      <c r="AF3" s="1213"/>
      <c r="AG3" s="1213"/>
      <c r="AH3" s="1213"/>
      <c r="AI3" s="1213"/>
      <c r="AJ3" s="1214"/>
    </row>
    <row r="4" spans="1:36" ht="15.75">
      <c r="A4" s="3722"/>
      <c r="B4" s="3723"/>
      <c r="C4" s="3723"/>
      <c r="D4" s="3724"/>
      <c r="E4" s="3724"/>
      <c r="F4" s="3724"/>
      <c r="G4" s="3724"/>
      <c r="H4" s="3724"/>
      <c r="I4" s="3724"/>
      <c r="J4" s="372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27167</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28152</v>
      </c>
      <c r="D5" s="1334">
        <f>ROUND(C6*C17+C20,0)</f>
        <v>27600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24583</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27600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23430</v>
      </c>
      <c r="U6" s="1208"/>
      <c r="V6" s="3355">
        <f t="shared" si="1"/>
        <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f t="shared" si="0"/>
        <v>0</v>
      </c>
      <c r="U7" s="1208"/>
      <c r="V7" s="3355">
        <f t="shared" si="1"/>
        <v>0</v>
      </c>
      <c r="W7" s="3460" t="s">
        <v>1955</v>
      </c>
      <c r="X7" s="1209" t="str">
        <f>G2</f>
        <v>二级</v>
      </c>
      <c r="Y7" s="1209" t="s">
        <v>1956</v>
      </c>
      <c r="Z7" s="1210">
        <f>G3</f>
        <v>5.202054195487535</v>
      </c>
      <c r="AA7" s="1211"/>
      <c r="AB7" s="1211"/>
      <c r="AC7" s="1212"/>
      <c r="AD7" s="1213"/>
      <c r="AE7" s="1213"/>
      <c r="AF7" s="1213"/>
      <c r="AG7" s="1213"/>
      <c r="AH7" s="1213"/>
      <c r="AI7" s="1213"/>
      <c r="AJ7" s="1214"/>
    </row>
    <row r="8" spans="1:36" ht="25.5">
      <c r="A8" s="3293"/>
      <c r="B8" s="170" t="s">
        <v>1957</v>
      </c>
      <c r="C8" s="2021" t="s">
        <v>3439</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f t="shared" si="0"/>
        <v>0</v>
      </c>
      <c r="U8" s="1208"/>
      <c r="V8" s="3355">
        <f t="shared" si="1"/>
        <v>0</v>
      </c>
      <c r="W8" s="3719" t="s">
        <v>1960</v>
      </c>
      <c r="X8" s="372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f t="shared" si="0"/>
        <v>0</v>
      </c>
      <c r="U9" s="1208"/>
      <c r="V9" s="3355">
        <f t="shared" si="1"/>
        <v>0</v>
      </c>
      <c r="W9" s="3721"/>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f t="shared" si="0"/>
        <v>0</v>
      </c>
      <c r="U10" s="1208"/>
      <c r="V10" s="3355">
        <f t="shared" si="1"/>
        <v>0</v>
      </c>
      <c r="W10" s="372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f t="shared" si="0"/>
        <v>0</v>
      </c>
      <c r="U11" s="1208"/>
      <c r="V11" s="3355">
        <f t="shared" si="1"/>
        <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f t="shared" si="0"/>
        <v>0</v>
      </c>
      <c r="U12" s="1208"/>
      <c r="V12" s="3355">
        <f t="shared" si="1"/>
        <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f t="shared" si="0"/>
        <v>0</v>
      </c>
      <c r="U13" s="1208"/>
      <c r="V13" s="3355">
        <f t="shared" si="1"/>
        <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f t="shared" si="0"/>
        <v>0</v>
      </c>
      <c r="U14" s="1208"/>
      <c r="V14" s="3355">
        <f t="shared" si="1"/>
        <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f t="shared" si="0"/>
        <v>0</v>
      </c>
      <c r="U15" s="1208"/>
      <c r="V15" s="3355">
        <f t="shared" si="1"/>
        <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f t="shared" si="0"/>
        <v>0</v>
      </c>
      <c r="U16" s="1208"/>
      <c r="V16" s="3355">
        <f t="shared" si="1"/>
        <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26" t="s">
        <v>3254</v>
      </c>
      <c r="B20" s="167" t="s">
        <v>1994</v>
      </c>
      <c r="C20" s="3319">
        <f>ROUND(IF(F21="与级别开发程度一致",0,(G21-E21)/C21),0)</f>
        <v>0</v>
      </c>
      <c r="D20" s="3335" t="s">
        <v>1998</v>
      </c>
      <c r="E20" s="3336"/>
      <c r="F20" s="3732" t="s">
        <v>1995</v>
      </c>
      <c r="G20" s="3733"/>
      <c r="H20" s="3320" t="s">
        <v>3387</v>
      </c>
      <c r="I20" s="3320" t="s">
        <v>3388</v>
      </c>
      <c r="J20" s="3321" t="s">
        <v>3389</v>
      </c>
      <c r="K20" s="2042" t="s">
        <v>3390</v>
      </c>
      <c r="L20" s="2042" t="s">
        <v>3391</v>
      </c>
      <c r="M20" s="2042" t="s">
        <v>3441</v>
      </c>
      <c r="N20" s="2042" t="s">
        <v>3392</v>
      </c>
      <c r="O20" s="2043" t="s">
        <v>3442</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27"/>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3440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45477</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0.8569</v>
      </c>
      <c r="D24" s="2055" t="s">
        <v>2007</v>
      </c>
      <c r="E24" s="1330">
        <f>存贷款利率!E24/100</f>
        <v>4.3499999999999997E-2</v>
      </c>
      <c r="F24" s="2055" t="s">
        <v>1999</v>
      </c>
      <c r="G24" s="763">
        <f>SUMIF(M30:Q30,E2,M33:Q33)</f>
        <v>5.5E-2</v>
      </c>
      <c r="H24" s="2055" t="s">
        <v>2008</v>
      </c>
      <c r="I24" s="764">
        <f>SUMIF('数据-取费表'!C6:C15,E2,'数据-取费表'!F6:F15)/COUNTIF('数据-取费表'!C6:C15,E2)</f>
        <v>29.87</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0.95579999999999998</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0.95579999999999998</v>
      </c>
      <c r="E26" s="747">
        <f>ROUNDDOWN(G3,1)</f>
        <v>5.2</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747">
        <f>ROUNDUP(G3,1)</f>
        <v>5.3</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0.95379999999999998</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516">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1978</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24893</v>
      </c>
      <c r="D33" s="3508">
        <f>取值过程!D38</f>
        <v>794.49</v>
      </c>
      <c r="E33" s="768">
        <f>ROUND(C33*D33/10000,0)</f>
        <v>1978</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f>ROUND(IF(E2="工业",C33*M42,IF(B25="楼层修正",SUM(V2:V16)*M41*10000/D34,C33*M41)),0)</f>
        <v>6223</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30"/>
      <c r="B37" s="2108" t="s">
        <v>2036</v>
      </c>
      <c r="C37" s="175">
        <f>ROUND(D5*C22*C23*C24*C28*F37,0)</f>
        <v>17874</v>
      </c>
      <c r="D37" s="2093"/>
      <c r="E37" s="171">
        <f>ROUND(C37*D37/10000,0)</f>
        <v>0</v>
      </c>
      <c r="F37" s="171">
        <f>SUMIF(修正!A57:A68,G2,修正!B57:B68)</f>
        <v>0.7</v>
      </c>
      <c r="G37" s="171">
        <f>ROUND(IF(E2="工业",C37*$M$42,C37*$M$41),0)</f>
        <v>4469</v>
      </c>
      <c r="H37" s="171">
        <f>D37</f>
        <v>0</v>
      </c>
      <c r="I37" s="171">
        <f>ROUND(G37*H37/10000,0)</f>
        <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31"/>
      <c r="B38" s="2036" t="s">
        <v>2037</v>
      </c>
      <c r="C38" s="175">
        <f>ROUND(D5*C22*C23*C24*C28*F38,0)</f>
        <v>10214</v>
      </c>
      <c r="D38" s="2093"/>
      <c r="E38" s="171">
        <f t="shared" ref="E38:E42" si="4">ROUND(C38*D38/10000,0)</f>
        <v>0</v>
      </c>
      <c r="F38" s="171">
        <f>SUMIF(修正!A57:A68,G2,修正!C57:C68)</f>
        <v>0.4</v>
      </c>
      <c r="G38" s="171">
        <f>ROUND(IF(E2="工业",C38*$M$42,C38*$M$41),0)</f>
        <v>2554</v>
      </c>
      <c r="H38" s="171">
        <f t="shared" ref="H38:H42" si="5">D38</f>
        <v>0</v>
      </c>
      <c r="I38" s="171">
        <f t="shared" ref="I38:I42" si="6">ROUND(G38*H38/10000,0)</f>
        <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31"/>
      <c r="B39" s="2036" t="s">
        <v>3259</v>
      </c>
      <c r="C39" s="175">
        <f>ROUND(D5*C22*C23*C24*C28*F39,0)</f>
        <v>7660</v>
      </c>
      <c r="D39" s="2093"/>
      <c r="E39" s="171">
        <f t="shared" si="4"/>
        <v>0</v>
      </c>
      <c r="F39" s="171">
        <f>SUMIF(修正!A57:A68,G2,修正!D57:D68)</f>
        <v>0.3</v>
      </c>
      <c r="G39" s="171">
        <f>ROUND(IF(E2="工业",C39*$M$42,C39*$M$41),0)</f>
        <v>1915</v>
      </c>
      <c r="H39" s="171">
        <f t="shared" si="5"/>
        <v>0</v>
      </c>
      <c r="I39" s="171">
        <f t="shared" si="6"/>
        <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7660</v>
      </c>
      <c r="D40" s="2093"/>
      <c r="E40" s="171">
        <f t="shared" si="4"/>
        <v>0</v>
      </c>
      <c r="F40" s="175">
        <f>SUMIF(修正!A57:A68,G2,修正!E57:E68)</f>
        <v>0.3</v>
      </c>
      <c r="G40" s="171">
        <f>ROUND(IF(E2="工业",C40*$M$42,C40*$M$41),0)</f>
        <v>1915</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7660</v>
      </c>
      <c r="D41" s="2093"/>
      <c r="E41" s="171">
        <f t="shared" si="4"/>
        <v>0</v>
      </c>
      <c r="F41" s="175">
        <f>SUMIF(修正!A57:A68,G2,修正!F57:F68)</f>
        <v>0.3</v>
      </c>
      <c r="G41" s="171">
        <f>ROUND(IF(E2="工业",C41*$M$42,C41*$M$41),0)</f>
        <v>1915</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5107</v>
      </c>
      <c r="D42" s="2098"/>
      <c r="E42" s="187">
        <f t="shared" si="4"/>
        <v>0</v>
      </c>
      <c r="F42" s="762">
        <f>SUMIF(修正!A57:A68,G2,修正!G57:G68)</f>
        <v>0.2</v>
      </c>
      <c r="G42" s="187">
        <f>ROUND(IF(E2="工业",C42*$M$42,C42*$M$41),0)</f>
        <v>1277</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0.8569</v>
      </c>
      <c r="D44" s="171" t="s">
        <v>1999</v>
      </c>
      <c r="E44" s="2148">
        <f>G24</f>
        <v>5.5E-2</v>
      </c>
      <c r="F44" s="171" t="s">
        <v>2008</v>
      </c>
      <c r="G44" s="183">
        <f>项目基本情况!F15</f>
        <v>29.87</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3444</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3444</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3444</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3444</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3444</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3444</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3444</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3445</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3444</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3444</v>
      </c>
      <c r="D61" s="1060">
        <f t="shared" ref="D61:D69" si="12">SUMIF($J$60:$N$60,C61,J61:N61)</f>
        <v>1.23E-2</v>
      </c>
      <c r="E61" s="739">
        <f>ROUND(SUM(D61:D69),4)</f>
        <v>5.33E-2</v>
      </c>
      <c r="F61" s="1809">
        <f>IF(E2="办公",SUMIF(L1:L12,G2,N1:N12),"——")</f>
        <v>9.9000000000000005E-2</v>
      </c>
      <c r="G61" s="1058">
        <v>1.23E-2</v>
      </c>
      <c r="H61" s="1061">
        <f t="shared" ref="H61:H69" si="13">IFERROR(ROUNDDOWN($F$61*I61/2,4),"——")</f>
        <v>1.23E-2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3444</v>
      </c>
      <c r="D62" s="1060">
        <f t="shared" si="12"/>
        <v>1.2800000000000001E-2</v>
      </c>
      <c r="E62" s="740"/>
      <c r="F62" s="1809"/>
      <c r="G62" s="1058">
        <v>1.2800000000000001E-2</v>
      </c>
      <c r="H62" s="1061">
        <f t="shared" si="13"/>
        <v>1.2800000000000001E-2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3444</v>
      </c>
      <c r="D63" s="1060">
        <f t="shared" si="12"/>
        <v>5.4000000000000003E-3</v>
      </c>
      <c r="E63" s="740"/>
      <c r="F63" s="1809"/>
      <c r="G63" s="1058">
        <v>5.4000000000000003E-3</v>
      </c>
      <c r="H63" s="1061">
        <f t="shared" si="13"/>
        <v>5.4000000000000003E-3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3444</v>
      </c>
      <c r="D64" s="1060">
        <f t="shared" si="12"/>
        <v>2.3999999999999998E-3</v>
      </c>
      <c r="E64" s="740"/>
      <c r="F64" s="1809"/>
      <c r="G64" s="1058">
        <v>2.3999999999999998E-3</v>
      </c>
      <c r="H64" s="1061">
        <f t="shared" si="13"/>
        <v>2.3999999999999998E-3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3444</v>
      </c>
      <c r="D65" s="1060">
        <f t="shared" si="12"/>
        <v>2.3999999999999998E-3</v>
      </c>
      <c r="E65" s="740"/>
      <c r="F65" s="1809"/>
      <c r="G65" s="1058">
        <v>2.3999999999999998E-3</v>
      </c>
      <c r="H65" s="1061">
        <f t="shared" si="13"/>
        <v>2.3999999999999998E-3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3444</v>
      </c>
      <c r="D66" s="1060">
        <f t="shared" si="12"/>
        <v>2.8999999999999998E-3</v>
      </c>
      <c r="E66" s="740"/>
      <c r="F66" s="1809"/>
      <c r="G66" s="1058">
        <v>2.8999999999999998E-3</v>
      </c>
      <c r="H66" s="1061">
        <f t="shared" si="13"/>
        <v>2.8999999999999998E-3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3444</v>
      </c>
      <c r="D67" s="1060">
        <f t="shared" si="12"/>
        <v>2.8999999999999998E-3</v>
      </c>
      <c r="E67" s="740"/>
      <c r="F67" s="1809"/>
      <c r="G67" s="1058">
        <v>2.8999999999999998E-3</v>
      </c>
      <c r="H67" s="1061">
        <f t="shared" si="13"/>
        <v>2.8999999999999998E-3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3445</v>
      </c>
      <c r="D68" s="1060">
        <f t="shared" si="12"/>
        <v>8.8000000000000005E-3</v>
      </c>
      <c r="E68" s="740"/>
      <c r="F68" s="1809"/>
      <c r="G68" s="1058">
        <v>4.4000000000000003E-3</v>
      </c>
      <c r="H68" s="1061">
        <f t="shared" si="13"/>
        <v>4.4000000000000003E-3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3444</v>
      </c>
      <c r="D69" s="1060">
        <f t="shared" si="12"/>
        <v>3.3999999999999998E-3</v>
      </c>
      <c r="E69" s="741"/>
      <c r="F69" s="1809"/>
      <c r="G69" s="1058">
        <v>3.3999999999999998E-3</v>
      </c>
      <c r="H69" s="1061">
        <f t="shared" si="13"/>
        <v>3.3999999999999998E-3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8" t="s">
        <v>3294</v>
      </c>
      <c r="B103" s="3728"/>
      <c r="C103" s="3728"/>
      <c r="D103" s="3728"/>
      <c r="E103" s="3728"/>
      <c r="F103" s="3728"/>
      <c r="G103" s="3728"/>
      <c r="H103" s="3728"/>
      <c r="I103" s="3728"/>
      <c r="J103" s="3728"/>
      <c r="K103" s="3461"/>
      <c r="L103" s="3461"/>
      <c r="M103" s="3461"/>
      <c r="N103" s="3461"/>
    </row>
    <row r="104" spans="1:14">
      <c r="A104" s="3729" t="s">
        <v>3295</v>
      </c>
      <c r="B104" s="3729" t="s">
        <v>3296</v>
      </c>
      <c r="C104" s="3385" t="s">
        <v>3297</v>
      </c>
      <c r="D104" s="3386"/>
      <c r="E104" s="3386"/>
      <c r="F104" s="3386"/>
      <c r="G104" s="3386"/>
      <c r="H104" s="3386"/>
      <c r="I104" s="3386"/>
      <c r="J104" s="3387"/>
      <c r="K104" s="3388"/>
      <c r="L104" s="3388"/>
      <c r="M104" s="3388"/>
      <c r="N104" s="3388"/>
    </row>
    <row r="105" spans="1:14">
      <c r="A105" s="3729"/>
      <c r="B105" s="3729"/>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15"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16"/>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16"/>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16"/>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16"/>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16"/>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17"/>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18" t="s">
        <v>3311</v>
      </c>
      <c r="B113" s="3718"/>
      <c r="C113" s="3718"/>
      <c r="D113" s="3718"/>
      <c r="E113" s="3718"/>
      <c r="F113" s="3718"/>
      <c r="G113" s="3718"/>
      <c r="H113" s="3718"/>
      <c r="I113" s="3718"/>
      <c r="J113" s="3718"/>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5.202054195487535</v>
      </c>
      <c r="C116" s="3394" t="s">
        <v>3313</v>
      </c>
      <c r="D116" s="3395">
        <f>SUMPRODUCT((A118:A122=F116)*(B117:M117=H116)*B118:M122)</f>
        <v>0.93469999999999998</v>
      </c>
      <c r="E116" s="1995" t="s">
        <v>1936</v>
      </c>
      <c r="F116" s="3396" t="str">
        <f>E2</f>
        <v>办公</v>
      </c>
      <c r="G116" s="1995" t="s">
        <v>1937</v>
      </c>
      <c r="H116" s="3396" t="str">
        <f>G2</f>
        <v>二级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0.93959999999999999</v>
      </c>
      <c r="C118" s="3382">
        <f>B118</f>
        <v>0.93959999999999999</v>
      </c>
      <c r="D118" s="3382">
        <f>ROUND(0.949-0.014*B116,4)</f>
        <v>0.87619999999999998</v>
      </c>
      <c r="E118" s="3382">
        <f>D118</f>
        <v>0.87619999999999998</v>
      </c>
      <c r="F118" s="3382">
        <f>E118</f>
        <v>0.87619999999999998</v>
      </c>
      <c r="G118" s="3382">
        <f>F118</f>
        <v>0.87619999999999998</v>
      </c>
      <c r="H118" s="3382">
        <f>G118</f>
        <v>0.87619999999999998</v>
      </c>
      <c r="I118" s="3382">
        <f>ROUND(0.8486-0.018*B116,4)</f>
        <v>0.755</v>
      </c>
      <c r="J118" s="3382">
        <f t="shared" ref="J118:M122" si="35">I118</f>
        <v>0.755</v>
      </c>
      <c r="K118" s="3382">
        <f t="shared" si="35"/>
        <v>0.755</v>
      </c>
      <c r="L118" s="3382">
        <f t="shared" si="35"/>
        <v>0.755</v>
      </c>
      <c r="M118" s="3405">
        <f t="shared" si="35"/>
        <v>0.755</v>
      </c>
      <c r="N118" s="3392"/>
    </row>
    <row r="119" spans="1:14">
      <c r="A119" s="3404" t="s">
        <v>1991</v>
      </c>
      <c r="B119" s="3382">
        <f>ROUND(0.993-0.0112*B116,4)</f>
        <v>0.93469999999999998</v>
      </c>
      <c r="C119" s="3382">
        <f>B119</f>
        <v>0.93469999999999998</v>
      </c>
      <c r="D119" s="3382">
        <f>ROUND(0.9415-0.0142*B116,4)</f>
        <v>0.86760000000000004</v>
      </c>
      <c r="E119" s="3382">
        <f t="shared" ref="E119:H120" si="36">D119</f>
        <v>0.86760000000000004</v>
      </c>
      <c r="F119" s="3382">
        <f t="shared" si="36"/>
        <v>0.86760000000000004</v>
      </c>
      <c r="G119" s="3382">
        <f t="shared" si="36"/>
        <v>0.86760000000000004</v>
      </c>
      <c r="H119" s="3382">
        <f t="shared" si="36"/>
        <v>0.86760000000000004</v>
      </c>
      <c r="I119" s="3382">
        <f>ROUND(0.838-0.0182*B116,4)</f>
        <v>0.74329999999999996</v>
      </c>
      <c r="J119" s="3382">
        <f t="shared" si="35"/>
        <v>0.74329999999999996</v>
      </c>
      <c r="K119" s="3382">
        <f t="shared" si="35"/>
        <v>0.74329999999999996</v>
      </c>
      <c r="L119" s="3382">
        <f t="shared" si="35"/>
        <v>0.74329999999999996</v>
      </c>
      <c r="M119" s="3405">
        <f t="shared" si="35"/>
        <v>0.74329999999999996</v>
      </c>
      <c r="N119" s="3392"/>
    </row>
    <row r="120" spans="1:14">
      <c r="A120" s="3404" t="s">
        <v>1992</v>
      </c>
      <c r="B120" s="3382">
        <f>ROUND(0.9448-0.0115*B116,4)</f>
        <v>0.88500000000000001</v>
      </c>
      <c r="C120" s="3382">
        <f>B120</f>
        <v>0.88500000000000001</v>
      </c>
      <c r="D120" s="3382">
        <f>ROUND(0.937-0.0145*B116,4)</f>
        <v>0.86160000000000003</v>
      </c>
      <c r="E120" s="3382">
        <f t="shared" si="36"/>
        <v>0.86160000000000003</v>
      </c>
      <c r="F120" s="3382">
        <f t="shared" si="36"/>
        <v>0.86160000000000003</v>
      </c>
      <c r="G120" s="3382">
        <f t="shared" si="36"/>
        <v>0.86160000000000003</v>
      </c>
      <c r="H120" s="3382">
        <f t="shared" si="36"/>
        <v>0.86160000000000003</v>
      </c>
      <c r="I120" s="3382">
        <f>ROUND(0.7965-0.0185*B116,4)</f>
        <v>0.70030000000000003</v>
      </c>
      <c r="J120" s="3382">
        <f t="shared" si="35"/>
        <v>0.70030000000000003</v>
      </c>
      <c r="K120" s="3382">
        <f t="shared" si="35"/>
        <v>0.70030000000000003</v>
      </c>
      <c r="L120" s="3382">
        <f t="shared" si="35"/>
        <v>0.70030000000000003</v>
      </c>
      <c r="M120" s="3405">
        <f t="shared" si="35"/>
        <v>0.70030000000000003</v>
      </c>
      <c r="N120" s="3392"/>
    </row>
    <row r="121" spans="1:14" ht="13.5" thickBot="1">
      <c r="A121" s="3406" t="s">
        <v>1993</v>
      </c>
      <c r="B121" s="3407">
        <f>ROUND(0.7836-0.012*B116,4)</f>
        <v>0.72119999999999995</v>
      </c>
      <c r="C121" s="3407">
        <f>B121</f>
        <v>0.72119999999999995</v>
      </c>
      <c r="D121" s="3407">
        <f>ROUND(0.753-0.015*B116,4)</f>
        <v>0.67500000000000004</v>
      </c>
      <c r="E121" s="3407">
        <f>D121</f>
        <v>0.67500000000000004</v>
      </c>
      <c r="F121" s="3407">
        <f>E121</f>
        <v>0.67500000000000004</v>
      </c>
      <c r="G121" s="3407">
        <f>ROUND(0.6612-0.018*B116,4)</f>
        <v>0.56759999999999999</v>
      </c>
      <c r="H121" s="3407">
        <f>G121</f>
        <v>0.56759999999999999</v>
      </c>
      <c r="I121" s="3407">
        <f>ROUND(0.5905-0.019*B116,4)</f>
        <v>0.49170000000000003</v>
      </c>
      <c r="J121" s="3407">
        <f t="shared" si="35"/>
        <v>0.49170000000000003</v>
      </c>
      <c r="K121" s="3407">
        <f t="shared" si="35"/>
        <v>0.49170000000000003</v>
      </c>
      <c r="L121" s="3407">
        <f t="shared" si="35"/>
        <v>0.49170000000000003</v>
      </c>
      <c r="M121" s="3408">
        <f t="shared" si="35"/>
        <v>0.49170000000000003</v>
      </c>
      <c r="N121" s="3392"/>
    </row>
    <row r="122" spans="1:14">
      <c r="A122" s="3409" t="s">
        <v>2612</v>
      </c>
      <c r="B122" s="3382">
        <f>ROUND(0.9404-0.0106*B116,4)</f>
        <v>0.88529999999999998</v>
      </c>
      <c r="C122" s="3382">
        <f>B122</f>
        <v>0.88529999999999998</v>
      </c>
      <c r="D122" s="3382">
        <f>ROUND(0.8955-0.0135*B116,4)</f>
        <v>0.82530000000000003</v>
      </c>
      <c r="E122" s="3382">
        <f t="shared" ref="E122:H122" si="37">D122</f>
        <v>0.82530000000000003</v>
      </c>
      <c r="F122" s="3382">
        <f t="shared" si="37"/>
        <v>0.82530000000000003</v>
      </c>
      <c r="G122" s="3382">
        <f t="shared" si="37"/>
        <v>0.82530000000000003</v>
      </c>
      <c r="H122" s="3382">
        <f t="shared" si="37"/>
        <v>0.82530000000000003</v>
      </c>
      <c r="I122" s="3382">
        <f>ROUND(0.7632-0.0166*B116,4)</f>
        <v>0.67679999999999996</v>
      </c>
      <c r="J122" s="3382">
        <f t="shared" si="35"/>
        <v>0.67679999999999996</v>
      </c>
      <c r="K122" s="3382">
        <f t="shared" si="35"/>
        <v>0.67679999999999996</v>
      </c>
      <c r="L122" s="3382">
        <f t="shared" si="35"/>
        <v>0.67679999999999996</v>
      </c>
      <c r="M122" s="3405">
        <f t="shared" si="35"/>
        <v>0.67679999999999996</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115" zoomScaleNormal="80" zoomScaleSheetLayoutView="115" workbookViewId="0">
      <selection activeCell="E33" sqref="E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6894.84</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5636</v>
      </c>
      <c r="C2" s="1994" t="s">
        <v>1935</v>
      </c>
      <c r="D2" s="1995" t="s">
        <v>1936</v>
      </c>
      <c r="E2" s="3416" t="s">
        <v>3</v>
      </c>
      <c r="F2" s="1995" t="s">
        <v>1937</v>
      </c>
      <c r="G2" s="1996" t="str">
        <f>IF(E2="商业",项目基本情况!B37,IF(E2="办公",项目基本情况!C37,IF(E2="住宅",项目基本情况!D37,IF(E2="工业",项目基本情况!E37,项目基本情况!F37))))</f>
        <v>二级</v>
      </c>
      <c r="H2" s="1995" t="s">
        <v>1938</v>
      </c>
      <c r="I2" s="1996" t="str">
        <f>IF(E2="商业",项目基本情况!B38,IF(E2="办公",项目基本情况!C38,IF(E2="住宅",项目基本情况!D38,IF(E2="工业",项目基本情况!E38,项目基本情况!F38))))</f>
        <v>Ⅱ—07</v>
      </c>
      <c r="J2" s="1997"/>
      <c r="K2" s="1114"/>
      <c r="L2" s="1998" t="s">
        <v>1939</v>
      </c>
      <c r="M2" s="859">
        <f>SUMPRODUCT((区片价!B10:B29=I2)*(区片价!C3:G3=E2)*(区片价!C10:G29))</f>
        <v>11590</v>
      </c>
      <c r="N2" s="861">
        <f>SUMPRODUCT((因素修正幅度!B10:B29=I2)*(因素修正幅度!C3:G3=E2)*(因素修正幅度!C10:G29))</f>
        <v>0.1</v>
      </c>
      <c r="O2" s="1114"/>
      <c r="P2" s="1114"/>
      <c r="Q2" s="1114"/>
      <c r="R2" s="1207">
        <v>1</v>
      </c>
      <c r="S2" s="3355">
        <f>ROUND(SUMPRODUCT((B106:B110=R2)*(C105:N105=G2)*(C106:N110)),4)</f>
        <v>1.5206</v>
      </c>
      <c r="T2" s="3355">
        <f t="shared" ref="T2:T16" si="0">ROUND($C$5*$C$22*$C$23*$C$24*S2*$C$28,0)</f>
        <v>16898</v>
      </c>
      <c r="U2" s="1208"/>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8174</v>
      </c>
      <c r="C3" s="1994" t="s">
        <v>1941</v>
      </c>
      <c r="D3" s="1995" t="s">
        <v>1942</v>
      </c>
      <c r="E3" s="3414" t="s">
        <v>2498</v>
      </c>
      <c r="F3" s="1999" t="s">
        <v>3438</v>
      </c>
      <c r="G3" s="747">
        <f>IF(F3="宗地容积率",'数据-汇总表'!I4,IF(F3="估价对象容积率",'数据-汇总表'!I6,'数据-汇总表'!I7))</f>
        <v>5.202054195487535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13415</v>
      </c>
      <c r="U3" s="1208"/>
      <c r="V3" s="3355">
        <f t="shared" ref="V3:V16" si="1">ROUND(T3*U3/10000,0)</f>
        <v>0</v>
      </c>
      <c r="W3" s="1211"/>
      <c r="X3" s="1211"/>
      <c r="Y3" s="1211"/>
      <c r="Z3" s="1211"/>
      <c r="AA3" s="1211"/>
      <c r="AB3" s="1211"/>
      <c r="AC3" s="1212"/>
      <c r="AD3" s="1213"/>
      <c r="AE3" s="1213"/>
      <c r="AF3" s="1213"/>
      <c r="AG3" s="1213"/>
      <c r="AH3" s="1213"/>
      <c r="AI3" s="1213"/>
      <c r="AJ3" s="1214"/>
    </row>
    <row r="4" spans="1:36" ht="15.75">
      <c r="A4" s="3722"/>
      <c r="B4" s="3723"/>
      <c r="C4" s="3723"/>
      <c r="D4" s="3724"/>
      <c r="E4" s="3724"/>
      <c r="F4" s="3724"/>
      <c r="G4" s="3724"/>
      <c r="H4" s="3724"/>
      <c r="I4" s="3724"/>
      <c r="J4" s="372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11592</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11590</v>
      </c>
      <c r="D5" s="1334">
        <f>ROUND(C6*C17+C20,0)</f>
        <v>11590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10489</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11590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9997</v>
      </c>
      <c r="U6" s="1208"/>
      <c r="V6" s="3355">
        <f t="shared" si="1"/>
        <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f t="shared" si="0"/>
        <v>0</v>
      </c>
      <c r="U7" s="1208"/>
      <c r="V7" s="3355">
        <f t="shared" si="1"/>
        <v>0</v>
      </c>
      <c r="W7" s="3460" t="s">
        <v>1955</v>
      </c>
      <c r="X7" s="1209" t="str">
        <f>G2</f>
        <v>二级</v>
      </c>
      <c r="Y7" s="1209" t="s">
        <v>1956</v>
      </c>
      <c r="Z7" s="1210">
        <f>G3</f>
        <v>5.202054195487535</v>
      </c>
      <c r="AA7" s="1211"/>
      <c r="AB7" s="1211"/>
      <c r="AC7" s="1212"/>
      <c r="AD7" s="1213"/>
      <c r="AE7" s="1213"/>
      <c r="AF7" s="1213"/>
      <c r="AG7" s="1213"/>
      <c r="AH7" s="1213"/>
      <c r="AI7" s="1213"/>
      <c r="AJ7" s="1214"/>
    </row>
    <row r="8" spans="1:36" ht="25.5">
      <c r="A8" s="3293"/>
      <c r="B8" s="170" t="s">
        <v>1957</v>
      </c>
      <c r="C8" s="2021" t="s">
        <v>3439</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f t="shared" si="0"/>
        <v>0</v>
      </c>
      <c r="U8" s="1208"/>
      <c r="V8" s="3355">
        <f t="shared" si="1"/>
        <v>0</v>
      </c>
      <c r="W8" s="3719" t="s">
        <v>1960</v>
      </c>
      <c r="X8" s="372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f t="shared" si="0"/>
        <v>0</v>
      </c>
      <c r="U9" s="1208"/>
      <c r="V9" s="3355">
        <f t="shared" si="1"/>
        <v>0</v>
      </c>
      <c r="W9" s="3721"/>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f t="shared" si="0"/>
        <v>0</v>
      </c>
      <c r="U10" s="1208"/>
      <c r="V10" s="3355">
        <f t="shared" si="1"/>
        <v>0</v>
      </c>
      <c r="W10" s="372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f t="shared" si="0"/>
        <v>0</v>
      </c>
      <c r="U11" s="1208"/>
      <c r="V11" s="3355">
        <f t="shared" si="1"/>
        <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f t="shared" si="0"/>
        <v>0</v>
      </c>
      <c r="U12" s="1208"/>
      <c r="V12" s="3355">
        <f t="shared" si="1"/>
        <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f t="shared" si="0"/>
        <v>0</v>
      </c>
      <c r="U13" s="1208"/>
      <c r="V13" s="3355">
        <f t="shared" si="1"/>
        <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f t="shared" si="0"/>
        <v>0</v>
      </c>
      <c r="U14" s="1208"/>
      <c r="V14" s="3355">
        <f t="shared" si="1"/>
        <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f t="shared" si="0"/>
        <v>0</v>
      </c>
      <c r="U15" s="1208"/>
      <c r="V15" s="3355">
        <f t="shared" si="1"/>
        <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f t="shared" si="0"/>
        <v>0</v>
      </c>
      <c r="U16" s="1208"/>
      <c r="V16" s="3355">
        <f t="shared" si="1"/>
        <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0.91279999999999994</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26" t="s">
        <v>3254</v>
      </c>
      <c r="B20" s="167" t="s">
        <v>1994</v>
      </c>
      <c r="C20" s="3319">
        <f>ROUND(IF(F21="与级别开发程度一致",0,(G21-E21)/C21),0)</f>
        <v>0</v>
      </c>
      <c r="D20" s="3335" t="s">
        <v>1998</v>
      </c>
      <c r="E20" s="3336"/>
      <c r="F20" s="3732" t="s">
        <v>1995</v>
      </c>
      <c r="G20" s="3733"/>
      <c r="H20" s="3320" t="s">
        <v>3387</v>
      </c>
      <c r="I20" s="3320" t="s">
        <v>3388</v>
      </c>
      <c r="J20" s="3321" t="s">
        <v>3389</v>
      </c>
      <c r="K20" s="2042" t="s">
        <v>3390</v>
      </c>
      <c r="L20" s="2042" t="s">
        <v>3391</v>
      </c>
      <c r="M20" s="2042" t="s">
        <v>3441</v>
      </c>
      <c r="N20" s="2042" t="s">
        <v>3392</v>
      </c>
      <c r="O20" s="2043" t="s">
        <v>3442</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27"/>
      <c r="B21" s="2159" t="s">
        <v>1997</v>
      </c>
      <c r="C21" s="2160">
        <f>IF(E3="M4科研用地",SUMPRODUCT((修正!A2:A7=E3)*(修正!B1:M1=G2)*(修正!B2:M7)),SUMPRODUCT((修正!A2:A7=E2)*(修正!B1:M1=G2)*(修正!B2:M7)))</f>
        <v>1.5</v>
      </c>
      <c r="D21" s="187" t="str">
        <f>IF(OR(G2="八级",G2="九级",G2="十级",G2="十一级",G2="十二级"),"五通一平","七通一平")</f>
        <v>七通一平</v>
      </c>
      <c r="E21" s="2150">
        <f>SUMPRODUCT((修正!B1:M1=G2)*(修正!B17:M17))</f>
        <v>375</v>
      </c>
      <c r="F21" s="2151" t="s">
        <v>3440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49" t="s">
        <v>2002</v>
      </c>
      <c r="E23" s="756">
        <v>44197</v>
      </c>
      <c r="F23" s="2049" t="s">
        <v>2003</v>
      </c>
      <c r="G23" s="757">
        <f>'数据-取费表'!B2</f>
        <v>45477</v>
      </c>
      <c r="H23" s="3337" t="s">
        <v>3256</v>
      </c>
      <c r="I23" s="3338" t="str">
        <f>IF(H23="季度增幅（自定义）",SUMIF(N25:N28,E2,O25:O28),"")</f>
        <v/>
      </c>
      <c r="J23" s="3439" t="s">
        <v>3255</v>
      </c>
      <c r="K23" s="1120"/>
      <c r="L23" s="2050" t="s">
        <v>2004</v>
      </c>
      <c r="M23" s="1323">
        <f>ROUND(SUMIF(地价!B2:G2,E2,地价!B16:G16),0)</f>
        <v>318</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0.84040000000000004</v>
      </c>
      <c r="D24" s="2055" t="s">
        <v>2007</v>
      </c>
      <c r="E24" s="1330">
        <f>存贷款利率!E24/100</f>
        <v>4.3499999999999997E-2</v>
      </c>
      <c r="F24" s="2055" t="s">
        <v>1999</v>
      </c>
      <c r="G24" s="763">
        <f>SUMIF(M30:Q30,E2,M33:Q33)</f>
        <v>0.05</v>
      </c>
      <c r="H24" s="2055" t="s">
        <v>2008</v>
      </c>
      <c r="I24" s="3527">
        <f>项目基本情况!H15</f>
        <v>29.87</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0.73560000000000003</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0.73560000000000003</v>
      </c>
      <c r="E26" s="747">
        <f>ROUNDDOWN(G3,1)</f>
        <v>5.2</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0.73560000000000003</v>
      </c>
      <c r="G26" s="747">
        <f>ROUNDUP(G3,1)</f>
        <v>5.3</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0.73380000000000001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1.056</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5636</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8174</v>
      </c>
      <c r="D33" s="3508">
        <f>取值过程!E39</f>
        <v>6894.84</v>
      </c>
      <c r="E33" s="768">
        <f>ROUND(C33*D33/10000,0)</f>
        <v>5636</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f>ROUND(IF(E2="工业",C33*M42,IF(B25="楼层修正",SUM(V2:V16)*M41*10000/D34,C33*M41)),0)</f>
        <v>1226</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30"/>
      <c r="B37" s="2108" t="s">
        <v>2036</v>
      </c>
      <c r="C37" s="175">
        <f>ROUND(D5*C22*C23*C24*C28*F37,0)</f>
        <v>7779</v>
      </c>
      <c r="D37" s="2093"/>
      <c r="E37" s="171">
        <f>ROUND(C37*D37/10000,0)</f>
        <v>0</v>
      </c>
      <c r="F37" s="171">
        <f>SUMIF(修正!A57:A68,G2,修正!B57:B68)</f>
        <v>0.7</v>
      </c>
      <c r="G37" s="171">
        <f>ROUND(IF(E2="工业",C37*$M$42,C37*$M$41),0)</f>
        <v>1167</v>
      </c>
      <c r="H37" s="171">
        <f>D37</f>
        <v>0</v>
      </c>
      <c r="I37" s="171">
        <f>ROUND(G37*H37/10000,0)</f>
        <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31"/>
      <c r="B38" s="2036" t="s">
        <v>2037</v>
      </c>
      <c r="C38" s="175">
        <f>ROUND(D5*C22*C23*C24*C28*F38,0)</f>
        <v>4445</v>
      </c>
      <c r="D38" s="2093"/>
      <c r="E38" s="171">
        <f t="shared" ref="E38:E42" si="4">ROUND(C38*D38/10000,0)</f>
        <v>0</v>
      </c>
      <c r="F38" s="171">
        <f>SUMIF(修正!A57:A68,G2,修正!C57:C68)</f>
        <v>0.4</v>
      </c>
      <c r="G38" s="171">
        <f>ROUND(IF(E2="工业",C38*$M$42,C38*$M$41),0)</f>
        <v>667</v>
      </c>
      <c r="H38" s="171">
        <f t="shared" ref="H38:H42" si="5">D38</f>
        <v>0</v>
      </c>
      <c r="I38" s="171">
        <f t="shared" ref="I38:I42" si="6">ROUND(G38*H38/10000,0)</f>
        <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31"/>
      <c r="B39" s="2036" t="s">
        <v>3259</v>
      </c>
      <c r="C39" s="175">
        <f>ROUND(D5*C22*C23*C24*C28*F39,0)</f>
        <v>3334</v>
      </c>
      <c r="D39" s="2093"/>
      <c r="E39" s="171">
        <f t="shared" si="4"/>
        <v>0</v>
      </c>
      <c r="F39" s="171">
        <f>SUMIF(修正!A57:A68,G2,修正!D57:D68)</f>
        <v>0.3</v>
      </c>
      <c r="G39" s="171">
        <f>ROUND(IF(E2="工业",C39*$M$42,C39*$M$41),0)</f>
        <v>500</v>
      </c>
      <c r="H39" s="171">
        <f t="shared" si="5"/>
        <v>0</v>
      </c>
      <c r="I39" s="171">
        <f t="shared" si="6"/>
        <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3334</v>
      </c>
      <c r="D40" s="2093"/>
      <c r="E40" s="171">
        <f t="shared" si="4"/>
        <v>0</v>
      </c>
      <c r="F40" s="175">
        <f>SUMIF(修正!A57:A68,G2,修正!E57:E68)</f>
        <v>0.3</v>
      </c>
      <c r="G40" s="171">
        <f>ROUND(IF(E2="工业",C40*$M$42,C40*$M$41),0)</f>
        <v>500</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3334</v>
      </c>
      <c r="D41" s="2093"/>
      <c r="E41" s="171">
        <f t="shared" si="4"/>
        <v>0</v>
      </c>
      <c r="F41" s="175">
        <f>SUMIF(修正!A57:A68,G2,修正!F57:F68)</f>
        <v>0.3</v>
      </c>
      <c r="G41" s="171">
        <f>ROUND(IF(E2="工业",C41*$M$42,C41*$M$41),0)</f>
        <v>500</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2223</v>
      </c>
      <c r="D42" s="2098"/>
      <c r="E42" s="187">
        <f t="shared" si="4"/>
        <v>0</v>
      </c>
      <c r="F42" s="762">
        <f>SUMIF(修正!A57:A68,G2,修正!G57:G68)</f>
        <v>0.2</v>
      </c>
      <c r="G42" s="187">
        <f>ROUND(IF(E2="工业",C42*$M$42,C42*$M$41),0)</f>
        <v>333</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0.84040000000000004</v>
      </c>
      <c r="D44" s="171" t="s">
        <v>1999</v>
      </c>
      <c r="E44" s="2148">
        <f>G24</f>
        <v>0.05</v>
      </c>
      <c r="F44" s="171" t="s">
        <v>2008</v>
      </c>
      <c r="G44" s="183">
        <f>项目基本情况!F15</f>
        <v>29.87</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3444</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3444</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3444</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3444</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3444</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3444</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3444</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3445</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3444</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1.056</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t="s">
        <v>3444</v>
      </c>
      <c r="D83" s="1060">
        <f t="shared" ref="D83:D90" si="22">SUMIF($J$82:$N$82,C83,J83:N83)</f>
        <v>1.2999999999999999E-2</v>
      </c>
      <c r="E83" s="739">
        <f>ROUND(SUM(D83:D90),4)</f>
        <v>5.6000000000000001E-2</v>
      </c>
      <c r="F83" s="1809">
        <f>IF(E2="工业",SUMIF(L1:L12,G2,N1:N12),"——")</f>
        <v>0.1</v>
      </c>
      <c r="G83" s="1058">
        <v>1.2999999999999999E-2</v>
      </c>
      <c r="H83" s="1061">
        <f t="shared" ref="H83:H90" si="23">IFERROR(ROUNDDOWN($F$83*I83/2,4),"——")</f>
        <v>1.2999999999999999E-2</v>
      </c>
      <c r="I83" s="3361">
        <v>0.26</v>
      </c>
      <c r="J83" s="1059">
        <f t="shared" ref="J83:J90" si="24">K83+$G83</f>
        <v>2.5999999999999999E-2</v>
      </c>
      <c r="K83" s="1059">
        <f t="shared" ref="K83:K90" si="25">$L83+$G83</f>
        <v>1.2999999999999999E-2</v>
      </c>
      <c r="L83" s="1059">
        <v>0</v>
      </c>
      <c r="M83" s="1059">
        <f t="shared" ref="M83:N90" si="26">L83-$G83</f>
        <v>-1.2999999999999999E-2</v>
      </c>
      <c r="N83" s="1059">
        <f t="shared" si="26"/>
        <v>-2.5999999999999999E-2</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t="s">
        <v>3444</v>
      </c>
      <c r="D84" s="1060">
        <f t="shared" si="22"/>
        <v>1.4999999999999999E-2</v>
      </c>
      <c r="E84" s="742"/>
      <c r="F84" s="1809"/>
      <c r="G84" s="1058">
        <v>1.4999999999999999E-2</v>
      </c>
      <c r="H84" s="1061">
        <f t="shared" si="23"/>
        <v>1.4999999999999999E-2</v>
      </c>
      <c r="I84" s="3361">
        <v>0.3</v>
      </c>
      <c r="J84" s="1059">
        <f t="shared" si="24"/>
        <v>0.03</v>
      </c>
      <c r="K84" s="1059">
        <f t="shared" si="25"/>
        <v>1.4999999999999999E-2</v>
      </c>
      <c r="L84" s="1059">
        <v>0</v>
      </c>
      <c r="M84" s="1059">
        <f t="shared" si="26"/>
        <v>-1.4999999999999999E-2</v>
      </c>
      <c r="N84" s="1059">
        <f t="shared" si="26"/>
        <v>-0.03</v>
      </c>
      <c r="Z84" s="1993"/>
      <c r="AA84" s="2048"/>
      <c r="AG84" s="1116"/>
      <c r="AK84" s="2048"/>
    </row>
    <row r="85" spans="1:37" ht="36">
      <c r="A85" s="3363" t="s">
        <v>3269</v>
      </c>
      <c r="B85" s="2129">
        <f>估价对象房地状况!G17</f>
        <v>0</v>
      </c>
      <c r="C85" s="2039" t="s">
        <v>3444</v>
      </c>
      <c r="D85" s="1060">
        <f t="shared" si="22"/>
        <v>5.0000000000000001E-3</v>
      </c>
      <c r="E85" s="742"/>
      <c r="F85" s="1809"/>
      <c r="G85" s="1058">
        <v>5.0000000000000001E-3</v>
      </c>
      <c r="H85" s="1061">
        <f t="shared" si="23"/>
        <v>5.0000000000000001E-3</v>
      </c>
      <c r="I85" s="3361">
        <v>0.1</v>
      </c>
      <c r="J85" s="1059">
        <f t="shared" si="24"/>
        <v>0.01</v>
      </c>
      <c r="K85" s="1059">
        <f t="shared" si="25"/>
        <v>5.0000000000000001E-3</v>
      </c>
      <c r="L85" s="1059">
        <v>0</v>
      </c>
      <c r="M85" s="1059">
        <f t="shared" si="26"/>
        <v>-5.0000000000000001E-3</v>
      </c>
      <c r="N85" s="1059">
        <f t="shared" si="26"/>
        <v>-0.01</v>
      </c>
      <c r="Z85" s="1993"/>
      <c r="AA85" s="2048"/>
      <c r="AG85" s="1116"/>
      <c r="AK85" s="2048"/>
    </row>
    <row r="86" spans="1:37" ht="14.25">
      <c r="A86" s="2125" t="s">
        <v>2067</v>
      </c>
      <c r="B86" s="2129">
        <f>估价对象房地状况!G22</f>
        <v>0</v>
      </c>
      <c r="C86" s="2039" t="s">
        <v>3444</v>
      </c>
      <c r="D86" s="1060">
        <f t="shared" si="22"/>
        <v>2.5000000000000001E-3</v>
      </c>
      <c r="E86" s="742"/>
      <c r="F86" s="1809"/>
      <c r="G86" s="1058">
        <v>2.5000000000000001E-3</v>
      </c>
      <c r="H86" s="1061">
        <f t="shared" si="23"/>
        <v>2.5000000000000001E-3</v>
      </c>
      <c r="I86" s="3361">
        <v>0.05</v>
      </c>
      <c r="J86" s="1059">
        <f t="shared" si="24"/>
        <v>5.0000000000000001E-3</v>
      </c>
      <c r="K86" s="1059">
        <f t="shared" si="25"/>
        <v>2.5000000000000001E-3</v>
      </c>
      <c r="L86" s="1059">
        <v>0</v>
      </c>
      <c r="M86" s="1059">
        <f t="shared" si="26"/>
        <v>-2.5000000000000001E-3</v>
      </c>
      <c r="N86" s="1059">
        <f t="shared" si="26"/>
        <v>-5.0000000000000001E-3</v>
      </c>
      <c r="Z86" s="1993"/>
      <c r="AA86" s="2048"/>
      <c r="AG86" s="1116"/>
      <c r="AK86" s="2048"/>
    </row>
    <row r="87" spans="1:37" ht="25.5">
      <c r="A87" s="2125" t="s">
        <v>2059</v>
      </c>
      <c r="B87" s="1321" t="str">
        <f>估价对象房地状况!G19</f>
        <v>估价对象所在区域公共配套设施齐备情况</v>
      </c>
      <c r="C87" s="2039" t="s">
        <v>3444</v>
      </c>
      <c r="D87" s="1060">
        <f t="shared" si="22"/>
        <v>3.0000000000000001E-3</v>
      </c>
      <c r="E87" s="742"/>
      <c r="F87" s="1809"/>
      <c r="G87" s="1058">
        <v>3.0000000000000001E-3</v>
      </c>
      <c r="H87" s="1061">
        <f t="shared" si="23"/>
        <v>3.0000000000000001E-3</v>
      </c>
      <c r="I87" s="3361">
        <v>0.06</v>
      </c>
      <c r="J87" s="1059">
        <f t="shared" si="24"/>
        <v>6.0000000000000001E-3</v>
      </c>
      <c r="K87" s="1059">
        <f t="shared" si="25"/>
        <v>3.0000000000000001E-3</v>
      </c>
      <c r="L87" s="1059">
        <v>0</v>
      </c>
      <c r="M87" s="1059">
        <f t="shared" si="26"/>
        <v>-3.0000000000000001E-3</v>
      </c>
      <c r="N87" s="1059">
        <f t="shared" si="26"/>
        <v>-6.0000000000000001E-3</v>
      </c>
    </row>
    <row r="88" spans="1:37" ht="25.5">
      <c r="A88" s="2125" t="s">
        <v>2060</v>
      </c>
      <c r="B88" s="1321" t="str">
        <f>估价对象房地状况!G20</f>
        <v>估价对象所在区域基础设施水平</v>
      </c>
      <c r="C88" s="2039" t="s">
        <v>3445</v>
      </c>
      <c r="D88" s="1060">
        <f t="shared" si="22"/>
        <v>1.2E-2</v>
      </c>
      <c r="E88" s="742"/>
      <c r="F88" s="1809"/>
      <c r="G88" s="1058">
        <v>6.0000000000000001E-3</v>
      </c>
      <c r="H88" s="1061">
        <f t="shared" si="23"/>
        <v>6.0000000000000001E-3</v>
      </c>
      <c r="I88" s="3361">
        <v>0.12</v>
      </c>
      <c r="J88" s="1059">
        <f t="shared" si="24"/>
        <v>1.2E-2</v>
      </c>
      <c r="K88" s="1059">
        <f t="shared" si="25"/>
        <v>6.0000000000000001E-3</v>
      </c>
      <c r="L88" s="1059">
        <v>0</v>
      </c>
      <c r="M88" s="1059">
        <f t="shared" si="26"/>
        <v>-6.0000000000000001E-3</v>
      </c>
      <c r="N88" s="1059">
        <f t="shared" si="26"/>
        <v>-1.2E-2</v>
      </c>
    </row>
    <row r="89" spans="1:37" ht="24">
      <c r="A89" s="2125" t="s">
        <v>2057</v>
      </c>
      <c r="B89" s="2131" t="s">
        <v>2071</v>
      </c>
      <c r="C89" s="2039" t="s">
        <v>3444</v>
      </c>
      <c r="D89" s="1060">
        <f t="shared" si="22"/>
        <v>3.0000000000000001E-3</v>
      </c>
      <c r="E89" s="742"/>
      <c r="F89" s="1809"/>
      <c r="G89" s="1058">
        <v>3.0000000000000001E-3</v>
      </c>
      <c r="H89" s="1061">
        <f t="shared" si="23"/>
        <v>3.0000000000000001E-3</v>
      </c>
      <c r="I89" s="3361">
        <v>0.06</v>
      </c>
      <c r="J89" s="1059">
        <f t="shared" si="24"/>
        <v>6.0000000000000001E-3</v>
      </c>
      <c r="K89" s="1059">
        <f t="shared" si="25"/>
        <v>3.0000000000000001E-3</v>
      </c>
      <c r="L89" s="1059">
        <v>0</v>
      </c>
      <c r="M89" s="1059">
        <f t="shared" si="26"/>
        <v>-3.0000000000000001E-3</v>
      </c>
      <c r="N89" s="1059">
        <f t="shared" si="26"/>
        <v>-6.0000000000000001E-3</v>
      </c>
    </row>
    <row r="90" spans="1:37" ht="39" thickBot="1">
      <c r="A90" s="2133" t="s">
        <v>2072</v>
      </c>
      <c r="B90" s="2138" t="str">
        <f>估价对象房地状况!G18</f>
        <v>该园区内是否有污染型企业，绿化情况，卫生条件，整体环境状况判断</v>
      </c>
      <c r="C90" s="2039" t="s">
        <v>3444</v>
      </c>
      <c r="D90" s="1060">
        <f t="shared" si="22"/>
        <v>2.5000000000000001E-3</v>
      </c>
      <c r="E90" s="743"/>
      <c r="F90" s="1809"/>
      <c r="G90" s="1058">
        <v>2.5000000000000001E-3</v>
      </c>
      <c r="H90" s="1061">
        <f t="shared" si="23"/>
        <v>2.5000000000000001E-3</v>
      </c>
      <c r="I90" s="3362">
        <v>0.05</v>
      </c>
      <c r="J90" s="1059">
        <f t="shared" si="24"/>
        <v>5.0000000000000001E-3</v>
      </c>
      <c r="K90" s="1059">
        <f t="shared" si="25"/>
        <v>2.5000000000000001E-3</v>
      </c>
      <c r="L90" s="1059">
        <v>0</v>
      </c>
      <c r="M90" s="1059">
        <f t="shared" si="26"/>
        <v>-2.5000000000000001E-3</v>
      </c>
      <c r="N90" s="1059">
        <f t="shared" si="26"/>
        <v>-5.0000000000000001E-3</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8" t="s">
        <v>3294</v>
      </c>
      <c r="B103" s="3728"/>
      <c r="C103" s="3728"/>
      <c r="D103" s="3728"/>
      <c r="E103" s="3728"/>
      <c r="F103" s="3728"/>
      <c r="G103" s="3728"/>
      <c r="H103" s="3728"/>
      <c r="I103" s="3728"/>
      <c r="J103" s="3728"/>
      <c r="K103" s="3461"/>
      <c r="L103" s="3461"/>
      <c r="M103" s="3461"/>
      <c r="N103" s="3461"/>
    </row>
    <row r="104" spans="1:14">
      <c r="A104" s="3729" t="s">
        <v>3295</v>
      </c>
      <c r="B104" s="3729" t="s">
        <v>3296</v>
      </c>
      <c r="C104" s="3385" t="s">
        <v>3297</v>
      </c>
      <c r="D104" s="3386"/>
      <c r="E104" s="3386"/>
      <c r="F104" s="3386"/>
      <c r="G104" s="3386"/>
      <c r="H104" s="3386"/>
      <c r="I104" s="3386"/>
      <c r="J104" s="3387"/>
      <c r="K104" s="3388"/>
      <c r="L104" s="3388"/>
      <c r="M104" s="3388"/>
      <c r="N104" s="3388"/>
    </row>
    <row r="105" spans="1:14">
      <c r="A105" s="3729"/>
      <c r="B105" s="3729"/>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15"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16"/>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16"/>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16"/>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16"/>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16"/>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17"/>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18" t="s">
        <v>3311</v>
      </c>
      <c r="B113" s="3718"/>
      <c r="C113" s="3718"/>
      <c r="D113" s="3718"/>
      <c r="E113" s="3718"/>
      <c r="F113" s="3718"/>
      <c r="G113" s="3718"/>
      <c r="H113" s="3718"/>
      <c r="I113" s="3718"/>
      <c r="J113" s="3718"/>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5.202054195487535</v>
      </c>
      <c r="C116" s="3394" t="s">
        <v>3313</v>
      </c>
      <c r="D116" s="3395">
        <f>SUMPRODUCT((A118:A122=F116)*(B117:M117=H116)*B118:M122)</f>
        <v>0.72119999999999995</v>
      </c>
      <c r="E116" s="1995" t="s">
        <v>1936</v>
      </c>
      <c r="F116" s="3396" t="str">
        <f>E2</f>
        <v>工业</v>
      </c>
      <c r="G116" s="1995" t="s">
        <v>1937</v>
      </c>
      <c r="H116" s="3396" t="str">
        <f>G2</f>
        <v>二级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0.93959999999999999</v>
      </c>
      <c r="C118" s="3382">
        <f>B118</f>
        <v>0.93959999999999999</v>
      </c>
      <c r="D118" s="3382">
        <f>ROUND(0.949-0.014*B116,4)</f>
        <v>0.87619999999999998</v>
      </c>
      <c r="E118" s="3382">
        <f>D118</f>
        <v>0.87619999999999998</v>
      </c>
      <c r="F118" s="3382">
        <f>E118</f>
        <v>0.87619999999999998</v>
      </c>
      <c r="G118" s="3382">
        <f>F118</f>
        <v>0.87619999999999998</v>
      </c>
      <c r="H118" s="3382">
        <f>G118</f>
        <v>0.87619999999999998</v>
      </c>
      <c r="I118" s="3382">
        <f>ROUND(0.8486-0.018*B116,4)</f>
        <v>0.755</v>
      </c>
      <c r="J118" s="3382">
        <f t="shared" ref="J118:M122" si="35">I118</f>
        <v>0.755</v>
      </c>
      <c r="K118" s="3382">
        <f t="shared" si="35"/>
        <v>0.755</v>
      </c>
      <c r="L118" s="3382">
        <f t="shared" si="35"/>
        <v>0.755</v>
      </c>
      <c r="M118" s="3405">
        <f t="shared" si="35"/>
        <v>0.755</v>
      </c>
      <c r="N118" s="3392"/>
    </row>
    <row r="119" spans="1:14">
      <c r="A119" s="3404" t="s">
        <v>1991</v>
      </c>
      <c r="B119" s="3382">
        <f>ROUND(0.993-0.0112*B116,4)</f>
        <v>0.93469999999999998</v>
      </c>
      <c r="C119" s="3382">
        <f>B119</f>
        <v>0.93469999999999998</v>
      </c>
      <c r="D119" s="3382">
        <f>ROUND(0.9415-0.0142*B116,4)</f>
        <v>0.86760000000000004</v>
      </c>
      <c r="E119" s="3382">
        <f t="shared" ref="E119:H120" si="36">D119</f>
        <v>0.86760000000000004</v>
      </c>
      <c r="F119" s="3382">
        <f t="shared" si="36"/>
        <v>0.86760000000000004</v>
      </c>
      <c r="G119" s="3382">
        <f t="shared" si="36"/>
        <v>0.86760000000000004</v>
      </c>
      <c r="H119" s="3382">
        <f t="shared" si="36"/>
        <v>0.86760000000000004</v>
      </c>
      <c r="I119" s="3382">
        <f>ROUND(0.838-0.0182*B116,4)</f>
        <v>0.74329999999999996</v>
      </c>
      <c r="J119" s="3382">
        <f t="shared" si="35"/>
        <v>0.74329999999999996</v>
      </c>
      <c r="K119" s="3382">
        <f t="shared" si="35"/>
        <v>0.74329999999999996</v>
      </c>
      <c r="L119" s="3382">
        <f t="shared" si="35"/>
        <v>0.74329999999999996</v>
      </c>
      <c r="M119" s="3405">
        <f t="shared" si="35"/>
        <v>0.74329999999999996</v>
      </c>
      <c r="N119" s="3392"/>
    </row>
    <row r="120" spans="1:14">
      <c r="A120" s="3404" t="s">
        <v>1992</v>
      </c>
      <c r="B120" s="3382">
        <f>ROUND(0.9448-0.0115*B116,4)</f>
        <v>0.88500000000000001</v>
      </c>
      <c r="C120" s="3382">
        <f>B120</f>
        <v>0.88500000000000001</v>
      </c>
      <c r="D120" s="3382">
        <f>ROUND(0.937-0.0145*B116,4)</f>
        <v>0.86160000000000003</v>
      </c>
      <c r="E120" s="3382">
        <f t="shared" si="36"/>
        <v>0.86160000000000003</v>
      </c>
      <c r="F120" s="3382">
        <f t="shared" si="36"/>
        <v>0.86160000000000003</v>
      </c>
      <c r="G120" s="3382">
        <f t="shared" si="36"/>
        <v>0.86160000000000003</v>
      </c>
      <c r="H120" s="3382">
        <f t="shared" si="36"/>
        <v>0.86160000000000003</v>
      </c>
      <c r="I120" s="3382">
        <f>ROUND(0.7965-0.0185*B116,4)</f>
        <v>0.70030000000000003</v>
      </c>
      <c r="J120" s="3382">
        <f t="shared" si="35"/>
        <v>0.70030000000000003</v>
      </c>
      <c r="K120" s="3382">
        <f t="shared" si="35"/>
        <v>0.70030000000000003</v>
      </c>
      <c r="L120" s="3382">
        <f t="shared" si="35"/>
        <v>0.70030000000000003</v>
      </c>
      <c r="M120" s="3405">
        <f t="shared" si="35"/>
        <v>0.70030000000000003</v>
      </c>
      <c r="N120" s="3392"/>
    </row>
    <row r="121" spans="1:14" ht="13.5" thickBot="1">
      <c r="A121" s="3406" t="s">
        <v>1993</v>
      </c>
      <c r="B121" s="3407">
        <f>ROUND(0.7836-0.012*B116,4)</f>
        <v>0.72119999999999995</v>
      </c>
      <c r="C121" s="3407">
        <f>B121</f>
        <v>0.72119999999999995</v>
      </c>
      <c r="D121" s="3407">
        <f>ROUND(0.753-0.015*B116,4)</f>
        <v>0.67500000000000004</v>
      </c>
      <c r="E121" s="3407">
        <f>D121</f>
        <v>0.67500000000000004</v>
      </c>
      <c r="F121" s="3407">
        <f>E121</f>
        <v>0.67500000000000004</v>
      </c>
      <c r="G121" s="3407">
        <f>ROUND(0.6612-0.018*B116,4)</f>
        <v>0.56759999999999999</v>
      </c>
      <c r="H121" s="3407">
        <f>G121</f>
        <v>0.56759999999999999</v>
      </c>
      <c r="I121" s="3407">
        <f>ROUND(0.5905-0.019*B116,4)</f>
        <v>0.49170000000000003</v>
      </c>
      <c r="J121" s="3407">
        <f t="shared" si="35"/>
        <v>0.49170000000000003</v>
      </c>
      <c r="K121" s="3407">
        <f t="shared" si="35"/>
        <v>0.49170000000000003</v>
      </c>
      <c r="L121" s="3407">
        <f t="shared" si="35"/>
        <v>0.49170000000000003</v>
      </c>
      <c r="M121" s="3408">
        <f t="shared" si="35"/>
        <v>0.49170000000000003</v>
      </c>
      <c r="N121" s="3392"/>
    </row>
    <row r="122" spans="1:14">
      <c r="A122" s="3409" t="s">
        <v>2612</v>
      </c>
      <c r="B122" s="3382">
        <f>ROUND(0.9404-0.0106*B116,4)</f>
        <v>0.88529999999999998</v>
      </c>
      <c r="C122" s="3382">
        <f>B122</f>
        <v>0.88529999999999998</v>
      </c>
      <c r="D122" s="3382">
        <f>ROUND(0.8955-0.0135*B116,4)</f>
        <v>0.82530000000000003</v>
      </c>
      <c r="E122" s="3382">
        <f t="shared" ref="E122:H122" si="37">D122</f>
        <v>0.82530000000000003</v>
      </c>
      <c r="F122" s="3382">
        <f t="shared" si="37"/>
        <v>0.82530000000000003</v>
      </c>
      <c r="G122" s="3382">
        <f t="shared" si="37"/>
        <v>0.82530000000000003</v>
      </c>
      <c r="H122" s="3382">
        <f t="shared" si="37"/>
        <v>0.82530000000000003</v>
      </c>
      <c r="I122" s="3382">
        <f>ROUND(0.7632-0.0166*B116,4)</f>
        <v>0.67679999999999996</v>
      </c>
      <c r="J122" s="3382">
        <f t="shared" si="35"/>
        <v>0.67679999999999996</v>
      </c>
      <c r="K122" s="3382">
        <f t="shared" si="35"/>
        <v>0.67679999999999996</v>
      </c>
      <c r="L122" s="3382">
        <f t="shared" si="35"/>
        <v>0.67679999999999996</v>
      </c>
      <c r="M122" s="3405">
        <f t="shared" si="35"/>
        <v>0.67679999999999996</v>
      </c>
      <c r="N122" s="3392"/>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12" sqref="J12"/>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f ca="1">SUMIF(B6:B13,"&lt;&gt;#ref!",B6:B13)</f>
        <v>134171</v>
      </c>
      <c r="C2" s="2140" t="s">
        <v>2074</v>
      </c>
      <c r="D2" s="2140" t="s">
        <v>2075</v>
      </c>
      <c r="E2" s="2607">
        <f ca="1">SUMIF(E6:E13,"&lt;&gt;#ref!",E6:E13)</f>
        <v>55320.740000000063</v>
      </c>
      <c r="F2" s="2787"/>
      <c r="G2" s="2787"/>
      <c r="H2" s="2787"/>
      <c r="I2" s="2787"/>
      <c r="J2" s="2787"/>
      <c r="K2" s="2787"/>
      <c r="L2" s="2787"/>
      <c r="M2" s="2787"/>
      <c r="N2" s="2787"/>
      <c r="O2" s="2787"/>
      <c r="P2" s="2787"/>
    </row>
    <row r="3" spans="1:16" ht="15.75">
      <c r="A3" s="2140" t="s">
        <v>2076</v>
      </c>
      <c r="B3" s="2597">
        <f ca="1">ROUND(B2*10000/E2,0)</f>
        <v>24253</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126557</v>
      </c>
      <c r="C6" s="2140" t="s">
        <v>2074</v>
      </c>
      <c r="D6" s="2787"/>
      <c r="E6" s="2607">
        <f ca="1">SUMIF(INDIRECT("'"&amp;A6&amp;"'"&amp;"!C:C"),"建筑面积",INDIRECT("'"&amp;A6&amp;"'"&amp;"!D:D"))</f>
        <v>47631.410000000062</v>
      </c>
      <c r="F6" s="2787"/>
      <c r="G6" s="2787"/>
      <c r="H6" s="2787"/>
      <c r="I6" s="2787"/>
      <c r="J6" s="2787"/>
      <c r="K6" s="2787"/>
      <c r="L6" s="2787"/>
      <c r="M6" s="2787"/>
      <c r="N6" s="2787"/>
      <c r="O6" s="2787"/>
      <c r="P6" s="2787"/>
    </row>
    <row r="7" spans="1:16" ht="15.75">
      <c r="A7" s="2604" t="s">
        <v>3493</v>
      </c>
      <c r="B7" s="2597">
        <f ca="1">SUMIF(INDIRECT("'"&amp;A7&amp;"'"&amp;"!A:A"),"总价",INDIRECT("'"&amp;A7&amp;"'"&amp;"!B:B"))</f>
        <v>1978</v>
      </c>
      <c r="C7" s="2140" t="s">
        <v>2074</v>
      </c>
      <c r="D7" s="2787"/>
      <c r="E7" s="2607">
        <f t="shared" ref="E7:E13" ca="1" si="0">SUMIF(INDIRECT("'"&amp;A7&amp;"'"&amp;"!C:C"),"建筑面积",INDIRECT("'"&amp;A7&amp;"'"&amp;"!D:D"))</f>
        <v>794.49</v>
      </c>
      <c r="F7" s="2787"/>
      <c r="G7" s="2787"/>
      <c r="H7" s="2787"/>
      <c r="I7" s="2787"/>
      <c r="J7" s="2787"/>
      <c r="K7" s="2787"/>
      <c r="L7" s="2787"/>
      <c r="M7" s="2787"/>
      <c r="N7" s="2787"/>
      <c r="O7" s="2787"/>
      <c r="P7" s="2787"/>
    </row>
    <row r="8" spans="1:16" ht="15.75">
      <c r="A8" s="2604" t="s">
        <v>3495</v>
      </c>
      <c r="B8" s="2597">
        <f t="shared" ref="B8:B13" ca="1" si="1">SUMIF(INDIRECT("'"&amp;A8&amp;"'"&amp;"!A:A"),"总价",INDIRECT("'"&amp;A8&amp;"'"&amp;"!B:B"))</f>
        <v>5636</v>
      </c>
      <c r="C8" s="2140" t="s">
        <v>2074</v>
      </c>
      <c r="D8" s="2787"/>
      <c r="E8" s="2607">
        <f t="shared" ca="1" si="0"/>
        <v>6894.84</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50" sqref="L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8</v>
      </c>
    </row>
    <row r="2" spans="1:9" s="200" customFormat="1" ht="18" customHeight="1">
      <c r="A2" s="201" t="s">
        <v>1462</v>
      </c>
      <c r="B2" s="202">
        <f ca="1">IF(D2="——",C52,C52-E2)</f>
        <v>268181</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34009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138825</v>
      </c>
      <c r="D5" s="211" t="s">
        <v>1469</v>
      </c>
      <c r="E5" s="212" t="s">
        <v>1470</v>
      </c>
      <c r="F5" s="212" t="s">
        <v>1471</v>
      </c>
      <c r="G5" s="213"/>
    </row>
    <row r="6" spans="1:9" s="214" customFormat="1" ht="13.5" customHeight="1">
      <c r="A6" s="773" t="s">
        <v>1472</v>
      </c>
      <c r="B6" s="215" t="s">
        <v>1473</v>
      </c>
      <c r="C6" s="216">
        <f ca="1">'基准地价（汇总）'!B2</f>
        <v>134171</v>
      </c>
      <c r="D6" s="217"/>
      <c r="E6" s="218"/>
      <c r="F6" s="218"/>
      <c r="G6" s="219"/>
    </row>
    <row r="7" spans="1:9" s="214" customFormat="1" ht="13.5" customHeight="1">
      <c r="A7" s="773" t="s">
        <v>1474</v>
      </c>
      <c r="B7" s="215" t="s">
        <v>1475</v>
      </c>
      <c r="C7" s="220">
        <f ca="1">ROUND(C6*F7,0)</f>
        <v>4092</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3499</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3500</v>
      </c>
      <c r="H9" s="1132"/>
      <c r="I9" s="1853" t="s">
        <v>1479</v>
      </c>
    </row>
    <row r="10" spans="1:9" s="214" customFormat="1" ht="13.5" customHeight="1">
      <c r="A10" s="774" t="s">
        <v>356</v>
      </c>
      <c r="B10" s="224" t="s">
        <v>1480</v>
      </c>
      <c r="C10" s="225">
        <f ca="1">ROUND(D10*E10/10000,0)</f>
        <v>1577</v>
      </c>
      <c r="D10" s="840">
        <f ca="1">IF(B1="",'数据-汇总表'!E6,IF(INDIRECT("'数据-取费表'!c"&amp;$G$1)="住宅",INDIRECT("'数据-取费表'!s"&amp;$G$1),INDIRECT("'数据-取费表'!k"&amp;$G$1)+INDIRECT("'数据-取费表'!s"&amp;$G$1)))</f>
        <v>78855.130000000063</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518" t="str">
        <f>IF(G19="已包含在土地取得成本中","0",ROUND(D19*E19/10000,0))</f>
        <v>0</v>
      </c>
      <c r="D19" s="844">
        <f ca="1">D9+D10</f>
        <v>78855.130000000063</v>
      </c>
      <c r="E19" s="211">
        <f>'数据-取费表'!B31</f>
        <v>200</v>
      </c>
      <c r="F19" s="231"/>
      <c r="G19" s="1851" t="s">
        <v>3501</v>
      </c>
    </row>
    <row r="20" spans="1:7" s="214" customFormat="1" ht="13.5" customHeight="1">
      <c r="A20" s="255" t="s">
        <v>1493</v>
      </c>
      <c r="B20" s="210" t="s">
        <v>1494</v>
      </c>
      <c r="C20" s="232">
        <f ca="1">ROUND((C5+C19)*F20,0)</f>
        <v>4165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15087</v>
      </c>
      <c r="D22" s="235">
        <f ca="1">C26</f>
        <v>1.6000000000000001E-3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14870</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217</v>
      </c>
      <c r="D25" s="238"/>
      <c r="E25" s="241"/>
      <c r="F25" s="239"/>
      <c r="G25" s="242" t="s">
        <v>1510</v>
      </c>
    </row>
    <row r="26" spans="1:7" s="214" customFormat="1">
      <c r="A26" s="775"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25738</v>
      </c>
      <c r="D27" s="235">
        <f ca="1">C29</f>
        <v>5.4000000000000003E-3</v>
      </c>
      <c r="E27" s="236" t="s">
        <v>1514</v>
      </c>
      <c r="F27" s="246">
        <f ca="1">IF(B1="",'数据-取费表'!Q16,INDIRECT("'数据-取费表'!q"&amp;$G$1))</f>
        <v>0.18</v>
      </c>
      <c r="G27" s="247" t="s">
        <v>1515</v>
      </c>
    </row>
    <row r="28" spans="1:7" s="214" customFormat="1" ht="13.5" customHeight="1">
      <c r="A28" s="775" t="s">
        <v>346</v>
      </c>
      <c r="B28" s="248" t="s">
        <v>1516</v>
      </c>
      <c r="C28" s="249">
        <f ca="1">ROUND((C5+C19+C20)*F27*'数据-取费表'!B21/'数据-取费表'!B20,0)</f>
        <v>25738</v>
      </c>
      <c r="D28" s="235"/>
      <c r="E28" s="236"/>
      <c r="F28" s="246"/>
      <c r="G28" s="247"/>
    </row>
    <row r="29" spans="1:7" s="214" customFormat="1" ht="13.5" customHeight="1">
      <c r="A29" s="775" t="s">
        <v>347</v>
      </c>
      <c r="B29" s="248" t="s">
        <v>1517</v>
      </c>
      <c r="C29" s="238">
        <f ca="1">ROUND(C21*F27*'数据-取费表'!B21/'数据-取费表'!B20,4)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202061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56420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51255</v>
      </c>
      <c r="D34" s="217"/>
      <c r="E34" s="220"/>
      <c r="F34" s="257">
        <f ca="1">IF('数据-取费表'!B24=0,1,IF(B1="",'数据-取费表'!N16,INDIRECT("'数据-取费表'!n"&amp;$G$1)))</f>
        <v>1</v>
      </c>
      <c r="G34" s="219" t="s">
        <v>1526</v>
      </c>
    </row>
    <row r="35" spans="1:7" ht="13.5" customHeight="1">
      <c r="A35" s="775" t="s">
        <v>351</v>
      </c>
      <c r="B35" s="215" t="s">
        <v>1527</v>
      </c>
      <c r="C35" s="220">
        <f ca="1">ROUND(C34*F35,0)</f>
        <v>2563</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1577</v>
      </c>
      <c r="D37" s="217">
        <f ca="1">D19</f>
        <v>78855.130000000063</v>
      </c>
      <c r="E37" s="249">
        <f>'数据-取费表'!B35</f>
        <v>200</v>
      </c>
      <c r="F37" s="259"/>
      <c r="G37" s="261" t="s">
        <v>1532</v>
      </c>
    </row>
    <row r="38" spans="1:7" ht="13.5" customHeight="1">
      <c r="A38" s="775" t="s">
        <v>354</v>
      </c>
      <c r="B38" s="215" t="s">
        <v>1533</v>
      </c>
      <c r="C38" s="220">
        <f ca="1">ROUND(C34*F38,0)</f>
        <v>1025</v>
      </c>
      <c r="D38" s="220"/>
      <c r="E38" s="220"/>
      <c r="F38" s="259">
        <f>'数据-取费表'!B36</f>
        <v>0.02</v>
      </c>
      <c r="G38" s="219" t="s">
        <v>1528</v>
      </c>
    </row>
    <row r="39" spans="1:7" s="214" customFormat="1" ht="13.5" customHeight="1">
      <c r="A39" s="255" t="s">
        <v>1534</v>
      </c>
      <c r="B39" s="210" t="s">
        <v>1535</v>
      </c>
      <c r="C39" s="232">
        <f ca="1">ROUND(C33*F20,0)</f>
        <v>1693</v>
      </c>
      <c r="D39" s="232"/>
      <c r="E39" s="232"/>
      <c r="F39" s="233">
        <f>F20</f>
        <v>0.03</v>
      </c>
      <c r="G39" s="234" t="s">
        <v>1536</v>
      </c>
    </row>
    <row r="40" spans="1:7" s="214" customFormat="1" ht="13.5" customHeight="1">
      <c r="A40" s="255" t="s">
        <v>1537</v>
      </c>
      <c r="B40" s="210" t="s">
        <v>1538</v>
      </c>
      <c r="C40" s="1322">
        <f>F21</f>
        <v>0.03</v>
      </c>
      <c r="D40" s="236" t="s">
        <v>1539</v>
      </c>
      <c r="E40" s="232"/>
      <c r="F40" s="233">
        <f>F21</f>
        <v>0.03</v>
      </c>
      <c r="G40" s="234" t="s">
        <v>1540</v>
      </c>
    </row>
    <row r="41" spans="1:7" s="214" customFormat="1" ht="13.5" customHeight="1">
      <c r="A41" s="255" t="s">
        <v>1541</v>
      </c>
      <c r="B41" s="210" t="s">
        <v>1542</v>
      </c>
      <c r="C41" s="232">
        <f ca="1">ROUND(SUM(C42:C43),0)</f>
        <v>3033</v>
      </c>
      <c r="D41" s="235">
        <f ca="1">C44</f>
        <v>1.6000000000000001E-3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2945</v>
      </c>
      <c r="D42" s="238"/>
      <c r="E42" s="238"/>
      <c r="F42" s="239"/>
      <c r="G42" s="3734" t="s">
        <v>1544</v>
      </c>
    </row>
    <row r="43" spans="1:7" ht="13.5" customHeight="1">
      <c r="A43" s="775" t="s">
        <v>347</v>
      </c>
      <c r="B43" s="215" t="s">
        <v>1545</v>
      </c>
      <c r="C43" s="238">
        <f ca="1">ROUND(IF('数据-取费表'!B22&lt;=1,C39*F22*'数据-取费表'!B21/2,C39*(POWER((1+F22),'数据-取费表'!B21/2)-1)),0)</f>
        <v>88</v>
      </c>
      <c r="D43" s="238"/>
      <c r="E43" s="238"/>
      <c r="F43" s="239"/>
      <c r="G43" s="3735"/>
    </row>
    <row r="44" spans="1:7" ht="13.5" customHeight="1">
      <c r="A44" s="775" t="s">
        <v>348</v>
      </c>
      <c r="B44" s="215" t="s">
        <v>1546</v>
      </c>
      <c r="C44" s="238">
        <f ca="1">ROUND(IF('数据-取费表'!B22&lt;=1,C40*F22*'数据-取费表'!B21/2,C40*(POWER((1+F22),'数据-取费表'!B21/2)-1)),4)</f>
        <v>1.6000000000000001E-3</v>
      </c>
      <c r="D44" s="238"/>
      <c r="E44" s="238"/>
      <c r="F44" s="239"/>
      <c r="G44" s="3736"/>
    </row>
    <row r="45" spans="1:7" s="214" customFormat="1" ht="13.5" customHeight="1">
      <c r="A45" s="255" t="s">
        <v>1547</v>
      </c>
      <c r="B45" s="244" t="s">
        <v>1513</v>
      </c>
      <c r="C45" s="245">
        <f ca="1">C46</f>
        <v>10460</v>
      </c>
      <c r="D45" s="235">
        <f ca="1">C47</f>
        <v>5.4000000000000003E-3</v>
      </c>
      <c r="E45" s="236" t="s">
        <v>1539</v>
      </c>
      <c r="F45" s="246">
        <f ca="1">F27</f>
        <v>0.18</v>
      </c>
      <c r="G45" s="247" t="s">
        <v>1548</v>
      </c>
    </row>
    <row r="46" spans="1:7" s="214" customFormat="1" ht="13.5" customHeight="1">
      <c r="A46" s="775" t="s">
        <v>346</v>
      </c>
      <c r="B46" s="248" t="s">
        <v>1549</v>
      </c>
      <c r="C46" s="249">
        <f ca="1">ROUND((C33+C39)*F27,0)</f>
        <v>10460</v>
      </c>
      <c r="D46" s="263"/>
      <c r="E46" s="236"/>
      <c r="F46" s="246"/>
      <c r="G46" s="247"/>
    </row>
    <row r="47" spans="1:7" s="214" customFormat="1" ht="13.5" customHeight="1">
      <c r="A47" s="775" t="s">
        <v>347</v>
      </c>
      <c r="B47" s="248" t="s">
        <v>1550</v>
      </c>
      <c r="C47" s="238">
        <f ca="1">ROUND(C40*F27,4)</f>
        <v>5.4000000000000003E-3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78714</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66120</v>
      </c>
      <c r="D51" s="232"/>
      <c r="E51" s="232"/>
      <c r="F51" s="264"/>
      <c r="G51" s="234" t="s">
        <v>1560</v>
      </c>
    </row>
    <row r="52" spans="1:7" s="208" customFormat="1" ht="16.5" thickBot="1">
      <c r="A52" s="265" t="s">
        <v>1561</v>
      </c>
      <c r="B52" s="266"/>
      <c r="C52" s="267">
        <f ca="1">C31+C51</f>
        <v>268181</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8</v>
      </c>
      <c r="H1" s="1056" t="str">
        <f>IF(ISERROR(FIND("住宅",B1)),"非住宅","住宅")</f>
        <v>非住宅</v>
      </c>
    </row>
    <row r="2" spans="1:8" s="200" customFormat="1" ht="18" customHeight="1">
      <c r="A2" s="201" t="s">
        <v>1462</v>
      </c>
      <c r="B2" s="3418">
        <f ca="1">ROUND(IF(D2="——",C52/10000,C52/10000-E2),4)</f>
        <v>70711.599799999996</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8967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15771026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15771026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15771026</v>
      </c>
      <c r="D10" s="840">
        <f ca="1">IF(B1="",'数据-汇总表'!E6,IF(INDIRECT("'数据-取费表'!c"&amp;$G$1)="住宅",INDIRECT("'数据-取费表'!s"&amp;$G$1),INDIRECT("'数据-取费表'!k"&amp;$G$1)+INDIRECT("'数据-取费表'!s"&amp;$G$1)))</f>
        <v>78855.130000000063</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15771026</v>
      </c>
      <c r="D19" s="844">
        <f ca="1">D9+D10</f>
        <v>78855.130000000063</v>
      </c>
      <c r="E19" s="211">
        <f>'数据-取费表'!B31</f>
        <v>200</v>
      </c>
      <c r="F19" s="231"/>
      <c r="G19" s="1851"/>
    </row>
    <row r="20" spans="1:7" s="214" customFormat="1" ht="13.5" customHeight="1">
      <c r="A20" s="255" t="s">
        <v>1574</v>
      </c>
      <c r="B20" s="210" t="s">
        <v>1575</v>
      </c>
      <c r="C20" s="232">
        <f ca="1">ROUND((C5+C19)*F20,0)</f>
        <v>946262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3427915</v>
      </c>
      <c r="D22" s="235">
        <f ca="1">C26</f>
        <v>1.6000000000000001E-3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1689263</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1689263</v>
      </c>
      <c r="D24" s="238"/>
      <c r="E24" s="238"/>
      <c r="F24" s="239"/>
      <c r="G24" s="240" t="s">
        <v>1586</v>
      </c>
    </row>
    <row r="25" spans="1:7" s="214" customFormat="1" ht="24">
      <c r="A25" s="775" t="s">
        <v>1476</v>
      </c>
      <c r="B25" s="215" t="s">
        <v>1587</v>
      </c>
      <c r="C25" s="1123">
        <f ca="1">ROUND(IF('数据-取费表'!B22&lt;=1,C20*F22*'数据-取费表'!B22/2,C20*(POWER((1+F22),'数据-取费表'!B22/2)-1)),0)</f>
        <v>49389</v>
      </c>
      <c r="D25" s="238"/>
      <c r="E25" s="241"/>
      <c r="F25" s="239"/>
      <c r="G25" s="242" t="s">
        <v>1588</v>
      </c>
    </row>
    <row r="26" spans="1:7" s="214" customFormat="1">
      <c r="A26" s="775"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5847897</v>
      </c>
      <c r="D27" s="235">
        <f ca="1">C29</f>
        <v>5.4000000000000003E-3</v>
      </c>
      <c r="E27" s="236" t="s">
        <v>1514</v>
      </c>
      <c r="F27" s="246">
        <f ca="1">IF(B1="",'数据-取费表'!Q16,INDIRECT("'数据-取费表'!q"&amp;$G$1))</f>
        <v>0.18</v>
      </c>
      <c r="G27" s="247" t="s">
        <v>1515</v>
      </c>
    </row>
    <row r="28" spans="1:7" s="214" customFormat="1" ht="13.5" customHeight="1">
      <c r="A28" s="775" t="s">
        <v>346</v>
      </c>
      <c r="B28" s="248" t="s">
        <v>1516</v>
      </c>
      <c r="C28" s="249">
        <f ca="1">ROUND((C5+C19+C20)*F27,0)</f>
        <v>5847897</v>
      </c>
      <c r="D28" s="235"/>
      <c r="E28" s="236"/>
      <c r="F28" s="246"/>
      <c r="G28" s="247"/>
    </row>
    <row r="29" spans="1:7" s="214" customFormat="1" ht="13.5" customHeight="1">
      <c r="A29" s="775" t="s">
        <v>347</v>
      </c>
      <c r="B29" s="248" t="s">
        <v>1517</v>
      </c>
      <c r="C29" s="238">
        <f ca="1">ROUND(C21*F27,4)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45909779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564208455</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512558345</v>
      </c>
      <c r="D34" s="217"/>
      <c r="E34" s="220"/>
      <c r="F34" s="257"/>
      <c r="G34" s="219"/>
    </row>
    <row r="35" spans="1:7" ht="13.5" customHeight="1">
      <c r="A35" s="775" t="s">
        <v>351</v>
      </c>
      <c r="B35" s="215" t="s">
        <v>1527</v>
      </c>
      <c r="C35" s="220">
        <f ca="1">ROUND(C34*F35,0)</f>
        <v>25627917</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15771026</v>
      </c>
      <c r="D37" s="217">
        <f ca="1">D19</f>
        <v>78855.130000000063</v>
      </c>
      <c r="E37" s="249">
        <f>'数据-取费表'!B35</f>
        <v>200</v>
      </c>
      <c r="F37" s="259"/>
      <c r="G37" s="261"/>
    </row>
    <row r="38" spans="1:7" ht="13.5" customHeight="1">
      <c r="A38" s="775" t="s">
        <v>354</v>
      </c>
      <c r="B38" s="215" t="s">
        <v>1533</v>
      </c>
      <c r="C38" s="220">
        <f ca="1">ROUND(C34*F38,0)</f>
        <v>10251167</v>
      </c>
      <c r="D38" s="220"/>
      <c r="E38" s="220"/>
      <c r="F38" s="259">
        <f>'数据-取费表'!B36</f>
        <v>0.02</v>
      </c>
      <c r="G38" s="219" t="s">
        <v>1528</v>
      </c>
    </row>
    <row r="39" spans="1:7" s="214" customFormat="1" ht="13.5" customHeight="1">
      <c r="A39" s="255" t="s">
        <v>1534</v>
      </c>
      <c r="B39" s="210" t="s">
        <v>1535</v>
      </c>
      <c r="C39" s="232">
        <f ca="1">ROUND(C33*F20,0)</f>
        <v>16926254</v>
      </c>
      <c r="D39" s="232"/>
      <c r="E39" s="232"/>
      <c r="F39" s="233">
        <f>F20</f>
        <v>0.03</v>
      </c>
      <c r="G39" s="234" t="s">
        <v>1536</v>
      </c>
    </row>
    <row r="40" spans="1:7" s="214" customFormat="1" ht="13.5" customHeight="1">
      <c r="A40" s="255" t="s">
        <v>1537</v>
      </c>
      <c r="B40" s="210" t="s">
        <v>1538</v>
      </c>
      <c r="C40" s="1322">
        <f>F21</f>
        <v>0.03</v>
      </c>
      <c r="D40" s="236" t="s">
        <v>1539</v>
      </c>
      <c r="E40" s="232"/>
      <c r="F40" s="233">
        <f>F21</f>
        <v>0.03</v>
      </c>
      <c r="G40" s="234" t="s">
        <v>1540</v>
      </c>
    </row>
    <row r="41" spans="1:7" s="214" customFormat="1" ht="13.5" customHeight="1">
      <c r="A41" s="255" t="s">
        <v>1541</v>
      </c>
      <c r="B41" s="210" t="s">
        <v>1542</v>
      </c>
      <c r="C41" s="232">
        <f ca="1">ROUND(SUM(C42:C43),0)</f>
        <v>30331635</v>
      </c>
      <c r="D41" s="235">
        <f ca="1">C44</f>
        <v>1.6000000000000001E-3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29448189</v>
      </c>
      <c r="D42" s="238"/>
      <c r="E42" s="238"/>
      <c r="F42" s="239"/>
      <c r="G42" s="3734" t="s">
        <v>1591</v>
      </c>
    </row>
    <row r="43" spans="1:7" ht="13.5" customHeight="1">
      <c r="A43" s="775" t="s">
        <v>347</v>
      </c>
      <c r="B43" s="215" t="s">
        <v>1545</v>
      </c>
      <c r="C43" s="238">
        <f ca="1">ROUND(IF('数据-取费表'!B22&lt;=1,C39*F22*'数据-取费表'!B20/2,C39*(POWER((1+F22),'数据-取费表'!B20/2)-1)),0)</f>
        <v>883446</v>
      </c>
      <c r="D43" s="238"/>
      <c r="E43" s="238"/>
      <c r="F43" s="239"/>
      <c r="G43" s="3735"/>
    </row>
    <row r="44" spans="1:7" ht="13.5" customHeight="1">
      <c r="A44" s="775" t="s">
        <v>348</v>
      </c>
      <c r="B44" s="215" t="s">
        <v>1546</v>
      </c>
      <c r="C44" s="238">
        <f ca="1">ROUND(IF('数据-取费表'!B22&lt;=1,C40*F22*'数据-取费表'!B20/2,C40*(POWER((1+F22),'数据-取费表'!B20/2)-1)),4)</f>
        <v>1.6000000000000001E-3</v>
      </c>
      <c r="D44" s="238"/>
      <c r="E44" s="238"/>
      <c r="F44" s="239"/>
      <c r="G44" s="3736"/>
    </row>
    <row r="45" spans="1:7" s="214" customFormat="1" ht="13.5" customHeight="1">
      <c r="A45" s="255" t="s">
        <v>1547</v>
      </c>
      <c r="B45" s="244" t="s">
        <v>1513</v>
      </c>
      <c r="C45" s="245">
        <f ca="1">C46</f>
        <v>104604248</v>
      </c>
      <c r="D45" s="235">
        <f ca="1">C47</f>
        <v>5.4000000000000003E-3</v>
      </c>
      <c r="E45" s="236" t="s">
        <v>1539</v>
      </c>
      <c r="F45" s="246">
        <f ca="1">F27</f>
        <v>0.18</v>
      </c>
      <c r="G45" s="247" t="s">
        <v>1548</v>
      </c>
    </row>
    <row r="46" spans="1:7" s="214" customFormat="1" ht="13.5" customHeight="1">
      <c r="A46" s="775" t="s">
        <v>346</v>
      </c>
      <c r="B46" s="248" t="s">
        <v>1549</v>
      </c>
      <c r="C46" s="249">
        <f ca="1">ROUND((C33+C39)*F27,0)</f>
        <v>104604248</v>
      </c>
      <c r="D46" s="263"/>
      <c r="E46" s="236"/>
      <c r="F46" s="246"/>
      <c r="G46" s="247"/>
    </row>
    <row r="47" spans="1:7" s="214" customFormat="1" ht="13.5" customHeight="1">
      <c r="A47" s="775" t="s">
        <v>347</v>
      </c>
      <c r="B47" s="248" t="s">
        <v>1550</v>
      </c>
      <c r="C47" s="238">
        <f ca="1">ROUND(C40*F27,4)</f>
        <v>5.4000000000000003E-3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787150261</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661206219</v>
      </c>
      <c r="D51" s="232"/>
      <c r="E51" s="232"/>
      <c r="F51" s="264"/>
      <c r="G51" s="234" t="s">
        <v>1560</v>
      </c>
    </row>
    <row r="52" spans="1:7" s="208" customFormat="1" ht="16.5" thickBot="1">
      <c r="A52" s="265" t="s">
        <v>1561</v>
      </c>
      <c r="B52" s="266"/>
      <c r="C52" s="267">
        <f ca="1">C31+C51</f>
        <v>707115998</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8</v>
      </c>
    </row>
    <row r="2" spans="1:33" ht="18" customHeight="1">
      <c r="A2" s="201" t="s">
        <v>1462</v>
      </c>
      <c r="B2" s="204">
        <f ca="1">C32</f>
        <v>-1198</v>
      </c>
      <c r="C2" s="276" t="s">
        <v>1595</v>
      </c>
      <c r="D2" s="276"/>
      <c r="E2" s="2800"/>
      <c r="F2" s="2800"/>
      <c r="G2" s="2800"/>
      <c r="H2" s="2800"/>
      <c r="I2" s="2800"/>
      <c r="J2" s="2800"/>
      <c r="K2" s="2800"/>
    </row>
    <row r="3" spans="1:33" ht="18" customHeight="1" thickBot="1">
      <c r="A3" s="203" t="s">
        <v>1464</v>
      </c>
      <c r="B3" s="204">
        <f ca="1">ROUND(B2*10000/IF(C1="",'数据-汇总表'!E3,INDIRECT("'数据-取费表'!K"&amp;$K$1)),0)</f>
        <v>-152</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78855.130000000063</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78855.130000000063</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1015</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1577</v>
      </c>
      <c r="D20" s="841">
        <f ca="1">IF(C1="",'数据-汇总表'!E6,IF(INDIRECT("'数据-取费表'!c"&amp;$K$1)="住宅",INDIRECT("'数据-取费表'!s"&amp;$K$1),INDIRECT("'数据-取费表'!k"&amp;$K$1)+INDIRECT("'数据-取费表'!s"&amp;$K$1)))</f>
        <v>78855.130000000063</v>
      </c>
      <c r="E20" s="21">
        <f>'数据-取费表'!B28</f>
        <v>200</v>
      </c>
      <c r="F20" s="799"/>
      <c r="G20" s="12"/>
      <c r="H20" s="804"/>
      <c r="I20" s="804"/>
      <c r="J20" s="804"/>
      <c r="K20" s="805"/>
    </row>
    <row r="21" spans="1:33" s="798" customFormat="1" ht="13.5" customHeight="1">
      <c r="A21" s="785" t="s">
        <v>357</v>
      </c>
      <c r="B21" s="808" t="s">
        <v>1628</v>
      </c>
      <c r="C21" s="809">
        <f ca="1">C16+C17+C18</f>
        <v>1015</v>
      </c>
      <c r="D21" s="810"/>
      <c r="E21" s="281"/>
      <c r="F21" s="281"/>
      <c r="G21" s="131" t="s">
        <v>1629</v>
      </c>
      <c r="H21" s="802"/>
      <c r="I21" s="802"/>
      <c r="J21" s="802"/>
      <c r="K21" s="803"/>
    </row>
    <row r="22" spans="1:33" s="798" customFormat="1" ht="13.5" customHeight="1">
      <c r="A22" s="785" t="s">
        <v>1601</v>
      </c>
      <c r="B22" s="808" t="s">
        <v>1630</v>
      </c>
      <c r="C22" s="809">
        <f ca="1">ROUND(C21*F22,0)</f>
        <v>30</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188</v>
      </c>
      <c r="D28" s="280">
        <f ca="1">C29</f>
        <v>0</v>
      </c>
      <c r="E28" s="282" t="s">
        <v>12</v>
      </c>
      <c r="F28" s="288">
        <f ca="1">IF(C1="",'数据-取费表'!Q16,INDIRECT("'数据-取费表'!q"&amp;$K$1))</f>
        <v>0.18</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188</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-1198</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11" sqref="K11"/>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158653</v>
      </c>
      <c r="C2" s="1867" t="s">
        <v>1651</v>
      </c>
      <c r="D2" s="1868" t="s">
        <v>1652</v>
      </c>
      <c r="E2" s="2602">
        <f>SUM(E6:E13)</f>
        <v>78855.130000000063</v>
      </c>
      <c r="F2" s="2701"/>
      <c r="G2" s="1484"/>
      <c r="H2" s="1484"/>
      <c r="I2" s="1484"/>
      <c r="J2" s="1484"/>
      <c r="K2" s="1484"/>
      <c r="L2" s="1484"/>
      <c r="M2" s="1484"/>
      <c r="N2" s="1484"/>
      <c r="O2" s="1484"/>
      <c r="P2" s="1484"/>
      <c r="Q2" s="1484"/>
      <c r="R2" s="1484"/>
      <c r="S2" s="1484"/>
    </row>
    <row r="3" spans="1:22" ht="15.75">
      <c r="A3" s="1865" t="s">
        <v>686</v>
      </c>
      <c r="B3" s="2596">
        <f ca="1">ROUND(B2*10000/E2,0)</f>
        <v>20120</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37" t="s">
        <v>1654</v>
      </c>
      <c r="C5" s="3738"/>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99258</v>
      </c>
      <c r="C6" s="1867" t="s">
        <v>1651</v>
      </c>
      <c r="D6" s="2703"/>
      <c r="E6" s="2601">
        <f>IF(OR(A6=0,F6="否"),0,'数据-取费表'!K6+'数据-取费表'!S6)</f>
        <v>37800.740000000005</v>
      </c>
      <c r="F6" s="1871" t="s">
        <v>1657</v>
      </c>
      <c r="G6" s="1484"/>
      <c r="H6" s="1484"/>
      <c r="I6" s="1484"/>
      <c r="J6" s="1484"/>
      <c r="K6" s="1484"/>
      <c r="L6" s="1484"/>
      <c r="M6" s="1484"/>
      <c r="N6" s="1484"/>
      <c r="O6" s="1484"/>
      <c r="P6" s="1484"/>
      <c r="Q6" s="1484"/>
      <c r="R6" s="1484"/>
      <c r="S6" s="1484"/>
    </row>
    <row r="7" spans="1:22">
      <c r="A7" s="2599" t="str">
        <f>'数据-取费表'!AN7</f>
        <v>收益法办</v>
      </c>
      <c r="B7" s="2597">
        <f ca="1">IF(F7="是",'数据-取费表'!AO7,0)</f>
        <v>59395</v>
      </c>
      <c r="C7" s="1867" t="s">
        <v>1651</v>
      </c>
      <c r="D7" s="2703"/>
      <c r="E7" s="2601">
        <f>IF(OR(A7=0,F7="否"),0,'数据-取费表'!K7+'数据-取费表'!S7)</f>
        <v>41054.390000000065</v>
      </c>
      <c r="F7" s="1871" t="s">
        <v>3385</v>
      </c>
      <c r="G7" s="1484"/>
      <c r="H7" s="1484"/>
      <c r="I7" s="1484"/>
      <c r="J7" s="1484"/>
      <c r="K7" s="1484"/>
      <c r="L7" s="1484"/>
      <c r="M7" s="1484"/>
      <c r="N7" s="1484"/>
      <c r="O7" s="1484"/>
      <c r="P7" s="1484"/>
      <c r="Q7" s="1484"/>
      <c r="R7" s="1484"/>
      <c r="S7" s="1484"/>
    </row>
    <row r="8" spans="1:22">
      <c r="A8" s="2599">
        <f>'数据-取费表'!AN8</f>
        <v>0</v>
      </c>
      <c r="B8" s="2597">
        <f>IF(F8="是",'数据-取费表'!AO8,0)</f>
        <v>0</v>
      </c>
      <c r="C8" s="1867" t="s">
        <v>1651</v>
      </c>
      <c r="D8" s="2703"/>
      <c r="E8" s="2601">
        <f>IF(OR(A8=0,F8="否"),0,'数据-取费表'!K8+'数据-取费表'!S8)</f>
        <v>0</v>
      </c>
      <c r="F8" s="1871" t="s">
        <v>3429</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3429</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3429</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3429</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3429</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3429</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115" zoomScaleNormal="70" zoomScaleSheetLayoutView="115"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19.87</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99258</v>
      </c>
      <c r="C2" s="1382" t="s">
        <v>805</v>
      </c>
      <c r="D2" s="1382"/>
      <c r="E2" s="1383"/>
      <c r="F2" s="1384"/>
      <c r="G2" s="2700"/>
      <c r="H2" s="2689"/>
      <c r="I2" s="2689"/>
      <c r="J2" s="2689"/>
      <c r="K2" s="2690"/>
      <c r="L2" s="2689"/>
      <c r="M2" s="2689"/>
    </row>
    <row r="3" spans="1:37" ht="18" customHeight="1" thickBot="1">
      <c r="A3" s="1385" t="s">
        <v>806</v>
      </c>
      <c r="B3" s="1386">
        <f ca="1">IF(ISERROR(B2*10000/F43),0,ROUND(B2*10000/F43,0))</f>
        <v>26258</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8081</v>
      </c>
      <c r="D5" s="1359" t="s">
        <v>693</v>
      </c>
      <c r="E5" s="1066"/>
      <c r="F5" s="1067"/>
      <c r="G5" s="1379"/>
      <c r="H5" s="299">
        <v>1</v>
      </c>
      <c r="I5" s="300" t="s">
        <v>692</v>
      </c>
      <c r="J5" s="1065">
        <f ca="1">J6+J10+J12</f>
        <v>0</v>
      </c>
      <c r="K5" s="1359" t="s">
        <v>693</v>
      </c>
      <c r="L5" s="1066"/>
      <c r="M5" s="1067"/>
    </row>
    <row r="6" spans="1:37" ht="18" customHeight="1">
      <c r="A6" s="1064" t="s">
        <v>398</v>
      </c>
      <c r="B6" s="3741" t="s">
        <v>694</v>
      </c>
      <c r="C6" s="1069">
        <f ca="1">ROUND(F6*F8*F7*(1-F9)/10000,0)</f>
        <v>8071</v>
      </c>
      <c r="D6" s="155" t="s">
        <v>2109</v>
      </c>
      <c r="E6" s="302" t="s">
        <v>696</v>
      </c>
      <c r="F6" s="303">
        <f ca="1">INDIRECT("'数据-取费表'!u"&amp;$G$1)</f>
        <v>6.5</v>
      </c>
      <c r="G6" s="1379"/>
      <c r="H6" s="1064" t="s">
        <v>398</v>
      </c>
      <c r="I6" s="3741" t="s">
        <v>694</v>
      </c>
      <c r="J6" s="301">
        <f ca="1">ROUND(M6*M8*M7*(1-M9)/10000,0)</f>
        <v>0</v>
      </c>
      <c r="K6" s="155" t="s">
        <v>2108</v>
      </c>
      <c r="L6" s="302" t="s">
        <v>696</v>
      </c>
      <c r="M6" s="303">
        <f ca="1">INDIRECT("'数据-取费表'!z"&amp;$G$1)</f>
        <v>0</v>
      </c>
    </row>
    <row r="7" spans="1:37" ht="18" customHeight="1">
      <c r="A7" s="1068"/>
      <c r="B7" s="3742"/>
      <c r="C7" s="1070"/>
      <c r="D7" s="307"/>
      <c r="E7" s="1071" t="s">
        <v>697</v>
      </c>
      <c r="F7" s="303">
        <f ca="1">IF(INDIRECT("'数据-取费表'!ah"&amp;$G$1)="",INDIRECT("'数据-取费表'!k"&amp;$G$1),INDIRECT("'数据-取费表'!ah"&amp;$G$1))</f>
        <v>37800.740000000005</v>
      </c>
      <c r="G7" s="1379"/>
      <c r="H7" s="304"/>
      <c r="I7" s="3742"/>
      <c r="J7" s="306"/>
      <c r="K7" s="307"/>
      <c r="L7" s="302" t="s">
        <v>697</v>
      </c>
      <c r="M7" s="303">
        <f ca="1">F7</f>
        <v>37800.740000000005</v>
      </c>
    </row>
    <row r="8" spans="1:37" ht="18" customHeight="1">
      <c r="A8" s="304"/>
      <c r="B8" s="3742"/>
      <c r="C8" s="306"/>
      <c r="D8" s="307"/>
      <c r="E8" s="302" t="s">
        <v>698</v>
      </c>
      <c r="F8" s="303">
        <f ca="1">INDIRECT("'数据-取费表'!ai"&amp;$G$1)</f>
        <v>365</v>
      </c>
      <c r="G8" s="1379"/>
      <c r="H8" s="304"/>
      <c r="I8" s="3742"/>
      <c r="J8" s="306"/>
      <c r="K8" s="307"/>
      <c r="L8" s="302" t="s">
        <v>698</v>
      </c>
      <c r="M8" s="303">
        <f ca="1">INDIRECT("'数据-取费表'!ai"&amp;$G$1)</f>
        <v>365</v>
      </c>
    </row>
    <row r="9" spans="1:37" ht="18" customHeight="1">
      <c r="A9" s="304"/>
      <c r="B9" s="3743"/>
      <c r="C9" s="306"/>
      <c r="D9" s="307"/>
      <c r="E9" s="302" t="s">
        <v>699</v>
      </c>
      <c r="F9" s="312">
        <f ca="1">INDIRECT("'数据-取费表'!w"&amp;$G$1)</f>
        <v>0.1</v>
      </c>
      <c r="G9" s="1379"/>
      <c r="H9" s="304"/>
      <c r="I9" s="3743"/>
      <c r="J9" s="306"/>
      <c r="K9" s="307"/>
      <c r="L9" s="313" t="s">
        <v>699</v>
      </c>
      <c r="M9" s="314">
        <f ca="1">INDIRECT("'数据-取费表'!ab"&amp;$G$1)</f>
        <v>0</v>
      </c>
    </row>
    <row r="10" spans="1:37" ht="18" customHeight="1">
      <c r="A10" s="1064" t="s">
        <v>402</v>
      </c>
      <c r="B10" s="1360" t="s">
        <v>700</v>
      </c>
      <c r="C10" s="316">
        <f ca="1">ROUND(IF(F10="押一",C6/12*F11,IF(F10="押二",C6/12*2*F11,IF(F10="押三",C6/12*3*F11,C11*F11))),0)</f>
        <v>10</v>
      </c>
      <c r="D10" s="1361" t="s">
        <v>2117</v>
      </c>
      <c r="E10" s="313" t="s">
        <v>701</v>
      </c>
      <c r="F10" s="1111" t="s">
        <v>3446</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33573</v>
      </c>
      <c r="D13" s="1076" t="s">
        <v>705</v>
      </c>
      <c r="E13" s="1076" t="s">
        <v>706</v>
      </c>
      <c r="F13" s="1077">
        <f ca="1">INDIRECT("'数据-取费表'!y"&amp;$G$1)</f>
        <v>0.84</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24570</v>
      </c>
      <c r="D14" s="1340" t="s">
        <v>708</v>
      </c>
      <c r="E14" s="1337"/>
      <c r="F14" s="319"/>
      <c r="G14" s="1379"/>
      <c r="H14" s="977" t="s">
        <v>398</v>
      </c>
      <c r="I14" s="302" t="s">
        <v>709</v>
      </c>
      <c r="J14" s="21">
        <f ca="1">C29</f>
        <v>39968</v>
      </c>
      <c r="K14" s="12"/>
      <c r="L14" s="802"/>
      <c r="M14" s="803"/>
    </row>
    <row r="15" spans="1:37" s="1392" customFormat="1" ht="18" customHeight="1" thickBot="1">
      <c r="A15" s="977" t="s">
        <v>399</v>
      </c>
      <c r="B15" s="302" t="s">
        <v>710</v>
      </c>
      <c r="C15" s="21">
        <f ca="1">ROUND(C14*F15,0)</f>
        <v>1229</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132</v>
      </c>
      <c r="K16" s="1082" t="s">
        <v>715</v>
      </c>
      <c r="L16" s="1083"/>
      <c r="M16" s="1067"/>
    </row>
    <row r="17" spans="1:37" s="1392" customFormat="1" ht="18" customHeight="1">
      <c r="A17" s="977" t="s">
        <v>681</v>
      </c>
      <c r="B17" s="302" t="s">
        <v>716</v>
      </c>
      <c r="C17" s="21">
        <f ca="1">ROUND(F17*(F43+INDIRECT("'数据-取费表'!S"&amp;$G$1))/10000,0)</f>
        <v>756</v>
      </c>
      <c r="D17" s="302" t="s">
        <v>717</v>
      </c>
      <c r="E17" s="302" t="s">
        <v>718</v>
      </c>
      <c r="F17" s="23">
        <f>'数据-取费表'!B35</f>
        <v>200</v>
      </c>
      <c r="G17" s="1391"/>
      <c r="H17" s="977" t="s">
        <v>398</v>
      </c>
      <c r="I17" s="302" t="s">
        <v>719</v>
      </c>
      <c r="J17" s="2311">
        <f ca="1">ROUND(IF(AND(项目基本情况!B11="自然人",项目基本情况!B10="北京市"),J6*M17/(1+'数据-取费表'!C42),J18+J19+J20),2)</f>
        <v>12.49</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491</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27046</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811</v>
      </c>
      <c r="D20" s="323" t="s">
        <v>729</v>
      </c>
      <c r="E20" s="302" t="s">
        <v>712</v>
      </c>
      <c r="F20" s="322">
        <f>'数据-取费表'!B37</f>
        <v>0.03</v>
      </c>
      <c r="G20" s="1391"/>
      <c r="H20" s="977" t="s">
        <v>680</v>
      </c>
      <c r="I20" s="155" t="s">
        <v>730</v>
      </c>
      <c r="J20" s="22">
        <f ca="1">ROUND(M20*M21/10000,2)</f>
        <v>12.49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0.03</v>
      </c>
      <c r="G21" s="1391"/>
      <c r="H21" s="326"/>
      <c r="I21" s="311"/>
      <c r="J21" s="26"/>
      <c r="K21" s="327"/>
      <c r="L21" s="302" t="s">
        <v>736</v>
      </c>
      <c r="M21" s="303">
        <f ca="1">INDIRECT("'数据-取费表'!r"&amp;$G$1)</f>
        <v>5205.3999999999996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119.9</v>
      </c>
      <c r="K22" s="1339" t="s">
        <v>739</v>
      </c>
      <c r="L22" s="302" t="s">
        <v>712</v>
      </c>
      <c r="M22" s="328">
        <f ca="1">INDIRECT("'数据-取费表'!Ak"&amp;$G$1)</f>
        <v>3.0000000000000001E-3</v>
      </c>
    </row>
    <row r="23" spans="1:37" s="1392" customFormat="1" ht="18" customHeight="1">
      <c r="A23" s="977" t="s">
        <v>397</v>
      </c>
      <c r="B23" s="302" t="s">
        <v>740</v>
      </c>
      <c r="C23" s="21">
        <f ca="1">IF('数据-取费表'!B22&lt;=1,ROUND(C19*F24*F23/2,0)+ROUND(C20*F24*F23/2,0),ROUND(C19*(POWER((1+F24),F23/2)-1),0)+ROUND(C20*(POWER((1+F24),F23/2)-1),0))</f>
        <v>1454</v>
      </c>
      <c r="D23" s="329" t="str">
        <f>IF(F23&lt;=1,"(建造成本+管理费用)×利率×(建设周期÷2)","(建造成本+管理费用)×((1+利率)^(建设周期÷2)-1)")</f>
        <v>(建造成本+管理费用)×((1+利率)^(建设周期÷2)-1)</v>
      </c>
      <c r="E23" s="302" t="s">
        <v>741</v>
      </c>
      <c r="F23" s="325">
        <f>'数据-取费表'!B20</f>
        <v>3</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4.0000000000000001E-3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-132</v>
      </c>
      <c r="K25" s="1090" t="s">
        <v>753</v>
      </c>
      <c r="L25" s="1091"/>
      <c r="M25" s="1092"/>
    </row>
    <row r="26" spans="1:37">
      <c r="A26" s="977" t="s">
        <v>397</v>
      </c>
      <c r="B26" s="302" t="s">
        <v>754</v>
      </c>
      <c r="C26" s="21">
        <f ca="1">ROUND((C19+C20)*F26,0)</f>
        <v>6964</v>
      </c>
      <c r="D26" s="323" t="s">
        <v>755</v>
      </c>
      <c r="E26" s="313" t="s">
        <v>756</v>
      </c>
      <c r="F26" s="312">
        <f ca="1">INDIRECT("'数据-取费表'!q"&amp;$G$1)</f>
        <v>0.25</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7.4999999999999997E-3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39968</v>
      </c>
      <c r="D29" s="1087"/>
      <c r="E29" s="1085"/>
      <c r="F29" s="1088"/>
      <c r="G29" s="1391"/>
      <c r="H29" s="334" t="s">
        <v>396</v>
      </c>
      <c r="I29" s="335" t="s">
        <v>768</v>
      </c>
      <c r="J29" s="336">
        <f ca="1">ROUND(J26/(1+F40)^F41,0)</f>
        <v>0</v>
      </c>
      <c r="K29" s="337" t="s">
        <v>769</v>
      </c>
      <c r="L29" s="338"/>
      <c r="M29" s="339">
        <f ca="1">INDIRECT("'数据-取费表'!k"&amp;$G$1)</f>
        <v>37800.740000000005</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1551</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1365.34</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430.45</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922.4</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12.49</v>
      </c>
      <c r="D34" s="324" t="s">
        <v>731</v>
      </c>
      <c r="E34" s="302" t="s">
        <v>732</v>
      </c>
      <c r="F34" s="325">
        <f>'数据-取费表'!B52</f>
        <v>24</v>
      </c>
      <c r="G34" s="1379"/>
      <c r="H34" s="2691"/>
      <c r="I34" s="1393"/>
      <c r="J34" s="1394"/>
      <c r="K34" s="2696"/>
      <c r="L34" s="2697"/>
      <c r="M34" s="2697"/>
    </row>
    <row r="35" spans="1:18" ht="18" customHeight="1">
      <c r="A35" s="1098"/>
      <c r="B35" s="1096"/>
      <c r="C35" s="26"/>
      <c r="D35" s="327"/>
      <c r="E35" s="302" t="s">
        <v>736</v>
      </c>
      <c r="F35" s="303">
        <f ca="1">INDIRECT("'数据-取费表'!r"&amp;$G$1)</f>
        <v>5205.3999999999996</v>
      </c>
      <c r="G35" s="1379"/>
      <c r="H35" s="2691"/>
      <c r="I35" s="1393"/>
      <c r="J35" s="1394"/>
      <c r="K35" s="2695"/>
      <c r="L35" s="2694"/>
      <c r="M35" s="2694"/>
    </row>
    <row r="36" spans="1:18" ht="18" customHeight="1">
      <c r="A36" s="1097" t="s">
        <v>402</v>
      </c>
      <c r="B36" s="302" t="s">
        <v>738</v>
      </c>
      <c r="C36" s="21">
        <f ca="1">ROUND(C29*F36,2)</f>
        <v>119.9</v>
      </c>
      <c r="D36" s="1339" t="s">
        <v>771</v>
      </c>
      <c r="E36" s="302" t="s">
        <v>712</v>
      </c>
      <c r="F36" s="328">
        <f ca="1">INDIRECT("'数据-取费表'!Ak"&amp;$G$1)</f>
        <v>3.0000000000000001E-3</v>
      </c>
      <c r="G36" s="1379"/>
      <c r="H36" s="2694"/>
      <c r="I36" s="1393"/>
      <c r="J36" s="1394"/>
      <c r="K36" s="2539"/>
      <c r="L36" s="2694"/>
      <c r="M36" s="2694"/>
    </row>
    <row r="37" spans="1:18" ht="18" customHeight="1">
      <c r="A37" s="977" t="s">
        <v>437</v>
      </c>
      <c r="B37" s="302" t="s">
        <v>742</v>
      </c>
      <c r="C37" s="21">
        <f ca="1">ROUND(C13*F37,2)</f>
        <v>33.57</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32.32</v>
      </c>
      <c r="D38" s="1087" t="s">
        <v>748</v>
      </c>
      <c r="E38" s="1085" t="s">
        <v>744</v>
      </c>
      <c r="F38" s="1081">
        <f ca="1">INDIRECT("'数据-取费表'!Am"&amp;$G$1)</f>
        <v>4.0000000000000001E-3</v>
      </c>
      <c r="G38" s="1379"/>
      <c r="H38" s="2694"/>
      <c r="I38" s="1393"/>
      <c r="J38" s="1394"/>
      <c r="K38" s="2698"/>
      <c r="L38" s="2694"/>
      <c r="M38" s="2694"/>
    </row>
    <row r="39" spans="1:18" ht="24.6" customHeight="1" thickTop="1">
      <c r="A39" s="1074" t="s">
        <v>394</v>
      </c>
      <c r="B39" s="1089" t="s">
        <v>772</v>
      </c>
      <c r="C39" s="310">
        <f ca="1">C5-C30</f>
        <v>6530</v>
      </c>
      <c r="D39" s="1090" t="s">
        <v>773</v>
      </c>
      <c r="E39" s="1091"/>
      <c r="F39" s="1092"/>
      <c r="G39" s="1379"/>
      <c r="H39" s="2694">
        <f ca="1">C39/C6</f>
        <v>0.80906950811547518</v>
      </c>
      <c r="I39" s="1393"/>
      <c r="J39" s="1394"/>
      <c r="K39" s="2698"/>
      <c r="L39" s="2694"/>
      <c r="M39" s="2694"/>
    </row>
    <row r="40" spans="1:18" ht="18" customHeight="1">
      <c r="A40" s="299" t="s">
        <v>395</v>
      </c>
      <c r="B40" s="300" t="s">
        <v>774</v>
      </c>
      <c r="C40" s="301">
        <f ca="1">ROUND(C39*(1-((1+F42)/(1+F40))^F41)/(F40-F42),0)</f>
        <v>94965</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19.87</v>
      </c>
      <c r="G41" s="1379"/>
      <c r="H41" s="1186"/>
      <c r="I41" s="1393"/>
      <c r="J41" s="1394"/>
      <c r="K41" s="2539"/>
      <c r="L41" s="1186"/>
      <c r="M41" s="1186"/>
    </row>
    <row r="42" spans="1:18" ht="18" customHeight="1">
      <c r="A42" s="308"/>
      <c r="B42" s="309"/>
      <c r="C42" s="310"/>
      <c r="D42" s="327"/>
      <c r="E42" s="302" t="s">
        <v>766</v>
      </c>
      <c r="F42" s="312">
        <f ca="1">INDIRECT("'数据-取费表'!v"&amp;$G$1)</f>
        <v>2.5000000000000001E-2</v>
      </c>
      <c r="G42" s="1379"/>
      <c r="H42" s="1186"/>
      <c r="I42" s="1393"/>
      <c r="J42" s="1394"/>
      <c r="K42" s="2539"/>
      <c r="L42" s="1186"/>
      <c r="M42" s="1186"/>
    </row>
    <row r="43" spans="1:18" ht="18" customHeight="1" thickBot="1">
      <c r="A43" s="334" t="s">
        <v>396</v>
      </c>
      <c r="B43" s="335" t="s">
        <v>776</v>
      </c>
      <c r="C43" s="336">
        <f ca="1">ROUND(C40*10000/F43,0)</f>
        <v>25123</v>
      </c>
      <c r="D43" s="337" t="s">
        <v>777</v>
      </c>
      <c r="E43" s="338" t="s">
        <v>778</v>
      </c>
      <c r="F43" s="339">
        <f ca="1">INDIRECT("'数据-取费表'!k"&amp;$G$1)</f>
        <v>37800.740000000005</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-96930</v>
      </c>
      <c r="D46" s="1401" t="str">
        <f>C2</f>
        <v>万元</v>
      </c>
      <c r="E46" s="1395"/>
      <c r="F46" s="1395"/>
      <c r="I46" s="1402" t="s">
        <v>810</v>
      </c>
      <c r="J46" s="1403"/>
      <c r="K46" s="1404"/>
      <c r="L46" s="1405">
        <f ca="1">IF(M47="住宅",0,IF(L48&gt;J51,L60,J60))</f>
        <v>4293</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3447</v>
      </c>
      <c r="K47" s="1411" t="s">
        <v>816</v>
      </c>
      <c r="L47" s="1412">
        <f ca="1">INDIRECT("'数据-取费表'!d"&amp;$G$1)</f>
        <v>40</v>
      </c>
      <c r="M47" s="1375" t="str">
        <f>IF(ISNUMBER(FIND("住宅",C1)),"住宅","非住宅")</f>
        <v>非住宅</v>
      </c>
      <c r="O47" s="1413" t="s">
        <v>403</v>
      </c>
      <c r="P47" s="1414" t="s">
        <v>817</v>
      </c>
      <c r="Q47" s="1415">
        <f ca="1">C40+J29</f>
        <v>94965</v>
      </c>
      <c r="R47" s="1415" t="s">
        <v>818</v>
      </c>
    </row>
    <row r="48" spans="1:18" s="1379" customFormat="1" ht="28.5" thickBot="1">
      <c r="A48" s="1105" t="s">
        <v>438</v>
      </c>
      <c r="B48" s="300" t="s">
        <v>692</v>
      </c>
      <c r="C48" s="1354">
        <f ca="1">C49+C53+C55</f>
        <v>0</v>
      </c>
      <c r="D48" s="1107"/>
      <c r="E48" s="1108"/>
      <c r="F48" s="957"/>
      <c r="G48" s="722"/>
      <c r="H48" s="723"/>
      <c r="I48" s="1416" t="s">
        <v>819</v>
      </c>
      <c r="J48" s="1417" t="s">
        <v>3448</v>
      </c>
      <c r="K48" s="1418" t="s">
        <v>820</v>
      </c>
      <c r="L48" s="1419">
        <f ca="1">INDIRECT("'数据-取费表'!f"&amp;$G$1)</f>
        <v>19.87</v>
      </c>
      <c r="O48" s="1413" t="s">
        <v>404</v>
      </c>
      <c r="P48" s="1414" t="s">
        <v>821</v>
      </c>
      <c r="Q48" s="1415">
        <f ca="1">J60</f>
        <v>4293</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39968</v>
      </c>
      <c r="R49" s="1415" t="s">
        <v>818</v>
      </c>
    </row>
    <row r="50" spans="1:18" s="1379" customFormat="1" ht="13.5" thickBot="1">
      <c r="A50" s="971"/>
      <c r="B50" s="974"/>
      <c r="C50" s="1113"/>
      <c r="D50" s="948"/>
      <c r="E50" s="1051" t="s">
        <v>697</v>
      </c>
      <c r="F50" s="1052">
        <f ca="1">F7</f>
        <v>37800.740000000005</v>
      </c>
      <c r="H50" s="723"/>
      <c r="I50" s="1416" t="s">
        <v>826</v>
      </c>
      <c r="J50" s="1424">
        <f>SUMPRODUCT((I63:I65=J47)*(J62:L62=J48)*(J63:L65))</f>
        <v>60</v>
      </c>
      <c r="K50" s="1418" t="s">
        <v>827</v>
      </c>
      <c r="L50" s="1422"/>
      <c r="M50" s="1425"/>
      <c r="O50" s="1423" t="s">
        <v>406</v>
      </c>
      <c r="P50" s="1414" t="s">
        <v>828</v>
      </c>
      <c r="Q50" s="1426">
        <f ca="1">J58</f>
        <v>0.45200000000000001</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75159</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19.87</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19.87</v>
      </c>
      <c r="K53" s="3739" t="s">
        <v>837</v>
      </c>
      <c r="L53" s="3740"/>
      <c r="O53" s="1413" t="s">
        <v>409</v>
      </c>
      <c r="P53" s="1414" t="s">
        <v>838</v>
      </c>
      <c r="Q53" s="1415">
        <f ca="1">Q47+Q48</f>
        <v>99258</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0.45200000000000001</v>
      </c>
      <c r="K55" s="1440" t="s">
        <v>841</v>
      </c>
      <c r="L55" s="1441"/>
      <c r="O55" s="1406" t="s">
        <v>811</v>
      </c>
      <c r="P55" s="1407" t="s">
        <v>812</v>
      </c>
      <c r="Q55" s="1408" t="s">
        <v>813</v>
      </c>
      <c r="R55" s="1408" t="s">
        <v>814</v>
      </c>
    </row>
    <row r="56" spans="1:18" s="1379" customFormat="1" ht="25.5" thickTop="1" thickBot="1">
      <c r="A56" s="952">
        <v>2</v>
      </c>
      <c r="B56" s="953" t="s">
        <v>704</v>
      </c>
      <c r="C56" s="232">
        <f ca="1">C13</f>
        <v>33573</v>
      </c>
      <c r="D56" s="1442"/>
      <c r="E56" s="1443"/>
      <c r="F56" s="1435"/>
      <c r="I56" s="1444" t="s">
        <v>842</v>
      </c>
      <c r="J56" s="1445" t="s">
        <v>3429</v>
      </c>
      <c r="K56" s="1416" t="s">
        <v>843</v>
      </c>
      <c r="L56" s="1419" t="str">
        <f ca="1">IF(L48&lt;J51,"——",L48-J53)</f>
        <v>——</v>
      </c>
      <c r="O56" s="1413" t="s">
        <v>403</v>
      </c>
      <c r="P56" s="1414" t="s">
        <v>817</v>
      </c>
      <c r="Q56" s="1415">
        <f ca="1">C40+J29</f>
        <v>94965</v>
      </c>
      <c r="R56" s="1415" t="s">
        <v>818</v>
      </c>
    </row>
    <row r="57" spans="1:18" s="1379" customFormat="1" ht="24.75" thickBot="1">
      <c r="A57" s="1446"/>
      <c r="B57" s="945" t="s">
        <v>767</v>
      </c>
      <c r="C57" s="238">
        <f ca="1">C29</f>
        <v>39968</v>
      </c>
      <c r="D57" s="1447"/>
      <c r="E57" s="1448"/>
      <c r="F57" s="1449"/>
      <c r="I57" s="1450" t="s">
        <v>844</v>
      </c>
      <c r="J57" s="1451">
        <f ca="1">IF(OR(M47="住宅",J51&lt;L48,J56="是"),"——",J51-L48)</f>
        <v>27.13</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165</v>
      </c>
      <c r="D58" s="955" t="s">
        <v>715</v>
      </c>
      <c r="E58" s="956"/>
      <c r="F58" s="957"/>
      <c r="I58" s="1450" t="s">
        <v>848</v>
      </c>
      <c r="J58" s="1452">
        <f ca="1">IF(J55&lt;0.4,0.4,J55)</f>
        <v>0.45200000000000001</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12</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18066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4293</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12.49</v>
      </c>
      <c r="D62" s="960" t="s">
        <v>786</v>
      </c>
      <c r="E62" s="945" t="s">
        <v>787</v>
      </c>
      <c r="F62" s="325">
        <f t="shared" si="0"/>
        <v>24</v>
      </c>
      <c r="I62" s="1457" t="s">
        <v>858</v>
      </c>
      <c r="J62" s="1458" t="s">
        <v>859</v>
      </c>
      <c r="K62" s="1458" t="s">
        <v>860</v>
      </c>
      <c r="L62" s="1458" t="s">
        <v>861</v>
      </c>
      <c r="M62" s="1459" t="s">
        <v>862</v>
      </c>
      <c r="O62" s="1413" t="s">
        <v>409</v>
      </c>
      <c r="P62" s="1414" t="s">
        <v>863</v>
      </c>
      <c r="Q62" s="1415">
        <f ca="1">Q56+Q57</f>
        <v>94965</v>
      </c>
      <c r="R62" s="1415" t="s">
        <v>410</v>
      </c>
    </row>
    <row r="63" spans="1:18" s="1379" customFormat="1" ht="13.5" thickBot="1">
      <c r="A63" s="326"/>
      <c r="B63" s="951"/>
      <c r="C63" s="26"/>
      <c r="D63" s="961"/>
      <c r="E63" s="945" t="s">
        <v>788</v>
      </c>
      <c r="F63" s="303">
        <f t="shared" ca="1" si="0"/>
        <v>5205.3999999999996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119.9</v>
      </c>
      <c r="D64" s="959" t="s">
        <v>791</v>
      </c>
      <c r="E64" s="945" t="s">
        <v>783</v>
      </c>
      <c r="F64" s="328">
        <f t="shared" ca="1" si="0"/>
        <v>3.0000000000000001E-3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33.57</v>
      </c>
      <c r="D65" s="959" t="s">
        <v>743</v>
      </c>
      <c r="E65" s="945" t="s">
        <v>744</v>
      </c>
      <c r="F65" s="330">
        <f t="shared" ca="1" si="0"/>
        <v>1E-3</v>
      </c>
      <c r="I65" s="1457" t="s">
        <v>867</v>
      </c>
      <c r="J65" s="1458">
        <v>40</v>
      </c>
      <c r="K65" s="1458">
        <v>30</v>
      </c>
      <c r="L65" s="1458">
        <v>50</v>
      </c>
      <c r="M65" s="1460">
        <v>0.02</v>
      </c>
      <c r="O65" s="1413" t="s">
        <v>403</v>
      </c>
      <c r="P65" s="1414" t="s">
        <v>868</v>
      </c>
      <c r="Q65" s="1415">
        <f ca="1">C40+J29</f>
        <v>94965</v>
      </c>
      <c r="R65" s="1415" t="s">
        <v>818</v>
      </c>
    </row>
    <row r="66" spans="1:18" s="1379" customFormat="1" ht="16.5" thickBot="1">
      <c r="A66" s="977" t="s">
        <v>793</v>
      </c>
      <c r="B66" s="945" t="s">
        <v>728</v>
      </c>
      <c r="C66" s="21">
        <f ca="1">ROUND(C48*F66,2)</f>
        <v>0</v>
      </c>
      <c r="D66" s="959" t="s">
        <v>794</v>
      </c>
      <c r="E66" s="945" t="s">
        <v>712</v>
      </c>
      <c r="F66" s="312">
        <f t="shared" ca="1" si="0"/>
        <v>4.0000000000000001E-3</v>
      </c>
      <c r="O66" s="1413" t="s">
        <v>404</v>
      </c>
      <c r="P66" s="1414" t="s">
        <v>846</v>
      </c>
      <c r="Q66" s="1415">
        <f ca="1">L60</f>
        <v>0</v>
      </c>
      <c r="R66" s="1415" t="s">
        <v>869</v>
      </c>
    </row>
    <row r="67" spans="1:18" s="1379" customFormat="1" ht="16.5" thickBot="1">
      <c r="A67" s="952" t="s">
        <v>394</v>
      </c>
      <c r="B67" s="962" t="s">
        <v>752</v>
      </c>
      <c r="C67" s="316">
        <f ca="1">C48-C58</f>
        <v>-165</v>
      </c>
      <c r="D67" s="958" t="s">
        <v>753</v>
      </c>
      <c r="E67" s="963"/>
      <c r="F67" s="964"/>
      <c r="O67" s="1423" t="s">
        <v>405</v>
      </c>
      <c r="P67" s="1414" t="s">
        <v>850</v>
      </c>
      <c r="Q67" s="1461">
        <f ca="1">L51</f>
        <v>75159</v>
      </c>
      <c r="R67" s="1415" t="s">
        <v>870</v>
      </c>
    </row>
    <row r="68" spans="1:18" s="1379" customFormat="1" ht="16.5" thickBot="1">
      <c r="A68" s="942" t="s">
        <v>395</v>
      </c>
      <c r="B68" s="943" t="s">
        <v>774</v>
      </c>
      <c r="C68" s="301">
        <f ca="1">ROUND(C67*(1-((1+F70)/(1+F68))^F69)/(F68-F70),0)</f>
        <v>-1965</v>
      </c>
      <c r="D68" s="960" t="s">
        <v>758</v>
      </c>
      <c r="E68" s="945" t="s">
        <v>759</v>
      </c>
      <c r="F68" s="312">
        <f ca="1">F40</f>
        <v>5.5E-2</v>
      </c>
      <c r="O68" s="1423" t="s">
        <v>406</v>
      </c>
      <c r="P68" s="1462" t="s">
        <v>871</v>
      </c>
      <c r="Q68" s="1415">
        <f ca="1">ROUND(Q69-Q70*Q71,0)</f>
        <v>4180</v>
      </c>
      <c r="R68" s="1415" t="s">
        <v>414</v>
      </c>
    </row>
    <row r="69" spans="1:18" s="1379" customFormat="1" ht="13.5" thickBot="1">
      <c r="A69" s="946"/>
      <c r="B69" s="947"/>
      <c r="C69" s="306"/>
      <c r="D69" s="965" t="s">
        <v>762</v>
      </c>
      <c r="E69" s="945" t="s">
        <v>763</v>
      </c>
      <c r="F69" s="333">
        <f ca="1">F41</f>
        <v>19.87</v>
      </c>
      <c r="O69" s="1423" t="s">
        <v>411</v>
      </c>
      <c r="P69" s="1462" t="s">
        <v>872</v>
      </c>
      <c r="Q69" s="1415">
        <f ca="1">C39</f>
        <v>6530</v>
      </c>
      <c r="R69" s="1415" t="s">
        <v>818</v>
      </c>
    </row>
    <row r="70" spans="1:18" s="1379" customFormat="1" ht="13.5" thickBot="1">
      <c r="A70" s="949"/>
      <c r="B70" s="950"/>
      <c r="C70" s="310"/>
      <c r="D70" s="961"/>
      <c r="E70" s="945" t="s">
        <v>766</v>
      </c>
      <c r="F70" s="1049"/>
      <c r="O70" s="1423" t="s">
        <v>412</v>
      </c>
      <c r="P70" s="1462" t="s">
        <v>873</v>
      </c>
      <c r="Q70" s="1415">
        <f ca="1">C13</f>
        <v>33573</v>
      </c>
      <c r="R70" s="1415" t="s">
        <v>818</v>
      </c>
    </row>
    <row r="71" spans="1:18" s="1379" customFormat="1" ht="13.5" thickBot="1">
      <c r="A71" s="966" t="s">
        <v>396</v>
      </c>
      <c r="B71" s="967" t="s">
        <v>776</v>
      </c>
      <c r="C71" s="336">
        <f ca="1">ROUND(C68*10000/F71,0)</f>
        <v>-520</v>
      </c>
      <c r="D71" s="968" t="s">
        <v>777</v>
      </c>
      <c r="E71" s="969" t="s">
        <v>778</v>
      </c>
      <c r="F71" s="339">
        <f ca="1">F43</f>
        <v>37800.740000000005</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2350</v>
      </c>
      <c r="D75" s="1379"/>
      <c r="E75" s="1379"/>
      <c r="F75" s="1379"/>
      <c r="K75" s="1397"/>
      <c r="L75" s="1379"/>
      <c r="O75" s="1413" t="s">
        <v>409</v>
      </c>
      <c r="P75" s="1414" t="s">
        <v>838</v>
      </c>
      <c r="Q75" s="1415">
        <f ca="1">Q65+Q66</f>
        <v>94965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0.64</v>
      </c>
    </row>
    <row r="80" spans="1:18">
      <c r="B80" s="340" t="s">
        <v>800</v>
      </c>
      <c r="C80" s="274">
        <f ca="1">ROUND(C75/C39,3)</f>
        <v>0.36</v>
      </c>
    </row>
    <row r="81" spans="2:3">
      <c r="B81" s="270" t="s">
        <v>801</v>
      </c>
      <c r="C81" s="238"/>
    </row>
    <row r="82" spans="2:3">
      <c r="B82" s="273" t="s">
        <v>802</v>
      </c>
      <c r="C82" s="275">
        <f ca="1">1-C83</f>
        <v>0.64600000000000002</v>
      </c>
    </row>
    <row r="83" spans="2:3">
      <c r="B83" s="273" t="s">
        <v>803</v>
      </c>
      <c r="C83" s="274">
        <f ca="1">ROUND(C13/C40,3)</f>
        <v>0.35399999999999998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估价对象为房地产，为所有。根据《国有土地使用证》[]，估价对象（分摊）出让国有建设用地使用权面积为10858.85平方米，建筑面积为78855.1300000001平方米。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10858.85平方米，规划建筑面积为78855.1300000001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2024年7月4日（评估专业人员实地查勘之日）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41" t="s">
        <v>694</v>
      </c>
      <c r="C6" s="1069">
        <f ca="1">ROUND(F6*F8*F7*(1-F9),0)</f>
        <v>0</v>
      </c>
      <c r="D6" s="155" t="s">
        <v>2106</v>
      </c>
      <c r="E6" s="302" t="s">
        <v>696</v>
      </c>
      <c r="F6" s="303">
        <f ca="1">INDIRECT("'数据-取费表'!u"&amp;$G$1)</f>
        <v>0</v>
      </c>
      <c r="G6" s="1379"/>
      <c r="H6" s="1064" t="s">
        <v>398</v>
      </c>
      <c r="I6" s="3741" t="s">
        <v>694</v>
      </c>
      <c r="J6" s="301">
        <f ca="1">ROUND(M6*M8*M7*(1-M9),0)</f>
        <v>0</v>
      </c>
      <c r="K6" s="1371" t="s">
        <v>2107</v>
      </c>
      <c r="L6" s="302" t="s">
        <v>696</v>
      </c>
      <c r="M6" s="303">
        <f ca="1">INDIRECT("'数据-取费表'!z"&amp;$G$1)</f>
        <v>0</v>
      </c>
    </row>
    <row r="7" spans="1:37" ht="18" customHeight="1">
      <c r="A7" s="1068"/>
      <c r="B7" s="3742"/>
      <c r="C7" s="1070"/>
      <c r="D7" s="307"/>
      <c r="E7" s="1071" t="s">
        <v>697</v>
      </c>
      <c r="F7" s="303">
        <f ca="1">IF(INDIRECT("'数据-取费表'!ah"&amp;$G$1)="",INDIRECT("'数据-取费表'!k"&amp;$G$1),INDIRECT("'数据-取费表'!ah"&amp;$G$1))</f>
        <v>0</v>
      </c>
      <c r="G7" s="1379"/>
      <c r="H7" s="304"/>
      <c r="I7" s="3742"/>
      <c r="J7" s="306"/>
      <c r="K7" s="307"/>
      <c r="L7" s="302" t="s">
        <v>697</v>
      </c>
      <c r="M7" s="303">
        <f ca="1">F7</f>
        <v>0</v>
      </c>
    </row>
    <row r="8" spans="1:37" ht="18" customHeight="1">
      <c r="A8" s="304"/>
      <c r="B8" s="3742"/>
      <c r="C8" s="306"/>
      <c r="D8" s="307"/>
      <c r="E8" s="302" t="s">
        <v>698</v>
      </c>
      <c r="F8" s="303">
        <f ca="1">INDIRECT("'数据-取费表'!ai"&amp;$G$1)</f>
        <v>0</v>
      </c>
      <c r="G8" s="1379"/>
      <c r="H8" s="304"/>
      <c r="I8" s="3742"/>
      <c r="J8" s="306"/>
      <c r="K8" s="307"/>
      <c r="L8" s="302" t="s">
        <v>698</v>
      </c>
      <c r="M8" s="303">
        <f ca="1">INDIRECT("'数据-取费表'!ai"&amp;$G$1)</f>
        <v>0</v>
      </c>
    </row>
    <row r="9" spans="1:37" ht="18" customHeight="1">
      <c r="A9" s="304"/>
      <c r="B9" s="3743"/>
      <c r="C9" s="306"/>
      <c r="D9" s="307"/>
      <c r="E9" s="302" t="s">
        <v>699</v>
      </c>
      <c r="F9" s="312">
        <f ca="1">INDIRECT("'数据-取费表'!w"&amp;$G$1)</f>
        <v>0</v>
      </c>
      <c r="G9" s="1379"/>
      <c r="H9" s="304"/>
      <c r="I9" s="3743"/>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0.03</v>
      </c>
      <c r="G20" s="1391"/>
      <c r="H20" s="977"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0.03</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24</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39" t="s">
        <v>837</v>
      </c>
      <c r="L53" s="3740"/>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44" t="s">
        <v>2317</v>
      </c>
      <c r="K2" s="3745"/>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46" t="s">
        <v>2327</v>
      </c>
      <c r="K3" s="3747"/>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46" t="s">
        <v>2329</v>
      </c>
      <c r="K4" s="3747"/>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48" t="s">
        <v>2333</v>
      </c>
      <c r="B6" s="3749"/>
      <c r="C6" s="3750"/>
      <c r="D6" s="2864"/>
      <c r="E6" s="2865"/>
      <c r="F6" s="2866"/>
      <c r="G6" s="2867"/>
      <c r="H6" s="2842"/>
      <c r="I6" s="2843"/>
      <c r="J6" s="3751">
        <v>1</v>
      </c>
      <c r="K6" s="3752"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51"/>
      <c r="K7" s="3753"/>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55" t="s">
        <v>2347</v>
      </c>
      <c r="C8" s="3756"/>
      <c r="D8" s="2883" t="s">
        <v>2348</v>
      </c>
      <c r="E8" s="2884" t="s">
        <v>2349</v>
      </c>
      <c r="F8" s="2885" t="s">
        <v>2350</v>
      </c>
      <c r="G8" s="2886"/>
      <c r="H8" s="2842"/>
      <c r="I8" s="2843"/>
      <c r="J8" s="3751"/>
      <c r="K8" s="3753"/>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55" t="s">
        <v>2353</v>
      </c>
      <c r="C9" s="3756"/>
      <c r="D9" s="2883">
        <f>ROUND(D6*E9,0)</f>
        <v>0</v>
      </c>
      <c r="E9" s="2887"/>
      <c r="F9" s="2888" t="s">
        <v>2354</v>
      </c>
      <c r="G9" s="2867"/>
      <c r="H9" s="2842"/>
      <c r="I9" s="2843"/>
      <c r="J9" s="3751"/>
      <c r="K9" s="3753"/>
      <c r="L9" s="2877" t="s">
        <v>2355</v>
      </c>
      <c r="M9" s="2878"/>
      <c r="N9" s="2854"/>
      <c r="O9" s="2879"/>
      <c r="P9" s="2879"/>
      <c r="Q9" s="2880">
        <v>365</v>
      </c>
      <c r="R9" s="2881">
        <f t="shared" si="0"/>
        <v>0</v>
      </c>
      <c r="S9" s="2835"/>
      <c r="T9" s="2835"/>
      <c r="U9" s="2835"/>
      <c r="V9" s="2843"/>
    </row>
    <row r="10" spans="1:22" s="2847" customFormat="1" ht="13.15" customHeight="1">
      <c r="A10" s="2882">
        <v>2</v>
      </c>
      <c r="B10" s="3755" t="s">
        <v>2356</v>
      </c>
      <c r="C10" s="3756"/>
      <c r="D10" s="2883">
        <f>ROUND(D6*E10,0)</f>
        <v>0</v>
      </c>
      <c r="E10" s="2887"/>
      <c r="F10" s="2888" t="s">
        <v>2357</v>
      </c>
      <c r="G10" s="2867"/>
      <c r="H10" s="2842"/>
      <c r="I10" s="2843"/>
      <c r="J10" s="3751"/>
      <c r="K10" s="3753"/>
      <c r="L10" s="2877" t="s">
        <v>2358</v>
      </c>
      <c r="M10" s="2878"/>
      <c r="N10" s="2854"/>
      <c r="O10" s="2879"/>
      <c r="P10" s="2879"/>
      <c r="Q10" s="2880">
        <v>365</v>
      </c>
      <c r="R10" s="2881">
        <f t="shared" si="0"/>
        <v>0</v>
      </c>
      <c r="S10" s="2835"/>
      <c r="T10" s="2835"/>
      <c r="U10" s="2835"/>
      <c r="V10" s="2843"/>
    </row>
    <row r="11" spans="1:22" s="2847" customFormat="1" ht="13.15" customHeight="1">
      <c r="A11" s="2882">
        <v>3</v>
      </c>
      <c r="B11" s="3755" t="s">
        <v>2359</v>
      </c>
      <c r="C11" s="3756"/>
      <c r="D11" s="2883">
        <f>D12+D14+D15+D16</f>
        <v>0</v>
      </c>
      <c r="E11" s="2889" t="e">
        <f>D11/D6</f>
        <v>#DIV/0!</v>
      </c>
      <c r="F11" s="2885"/>
      <c r="G11" s="2886"/>
      <c r="H11" s="2842"/>
      <c r="I11" s="2843"/>
      <c r="J11" s="3751"/>
      <c r="K11" s="3753"/>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57" t="s">
        <v>2362</v>
      </c>
      <c r="C12" s="3758"/>
      <c r="D12" s="2891">
        <f>ROUND(D13*1.2%*(1-30%),0)</f>
        <v>0</v>
      </c>
      <c r="E12" s="2892">
        <v>1.2E-2</v>
      </c>
      <c r="F12" s="2885" t="s">
        <v>2363</v>
      </c>
      <c r="G12" s="2886"/>
      <c r="H12" s="2842"/>
      <c r="I12" s="2843"/>
      <c r="J12" s="3751"/>
      <c r="K12" s="3753"/>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51"/>
      <c r="K13" s="3753"/>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57" t="s">
        <v>2368</v>
      </c>
      <c r="C14" s="3758"/>
      <c r="D14" s="2891">
        <f>ROUND(E14*B5/10000,0)</f>
        <v>0</v>
      </c>
      <c r="E14" s="2880"/>
      <c r="F14" s="2885" t="s">
        <v>2369</v>
      </c>
      <c r="G14" s="2886"/>
      <c r="H14" s="2842"/>
      <c r="I14" s="2843"/>
      <c r="J14" s="3751"/>
      <c r="K14" s="3754"/>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57" t="s">
        <v>2372</v>
      </c>
      <c r="C15" s="3758"/>
      <c r="D15" s="2891">
        <f>ROUND(D6*E15,0)</f>
        <v>0</v>
      </c>
      <c r="E15" s="2892">
        <v>5.5E-2</v>
      </c>
      <c r="F15" s="2885" t="s">
        <v>2373</v>
      </c>
      <c r="G15" s="2867"/>
      <c r="H15" s="2842"/>
      <c r="I15" s="2843"/>
      <c r="J15" s="3751">
        <v>2</v>
      </c>
      <c r="K15" s="3752"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57" t="s">
        <v>2381</v>
      </c>
      <c r="C16" s="3758"/>
      <c r="D16" s="2902">
        <f>D6*E16</f>
        <v>0</v>
      </c>
      <c r="E16" s="2903"/>
      <c r="F16" s="2888" t="s">
        <v>2382</v>
      </c>
      <c r="G16" s="2867"/>
      <c r="H16" s="2842"/>
      <c r="I16" s="2843"/>
      <c r="J16" s="3751"/>
      <c r="K16" s="3753"/>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59" t="s">
        <v>2384</v>
      </c>
      <c r="C17" s="3760"/>
      <c r="D17" s="2905">
        <f>ROUND(D6*E17,0)</f>
        <v>0</v>
      </c>
      <c r="E17" s="2906"/>
      <c r="F17" s="2907" t="s">
        <v>2385</v>
      </c>
      <c r="G17" s="2867"/>
      <c r="H17" s="2842"/>
      <c r="I17" s="2843"/>
      <c r="J17" s="3751"/>
      <c r="K17" s="3753"/>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51"/>
      <c r="K18" s="3753"/>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51"/>
      <c r="K19" s="3754"/>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51">
        <v>3</v>
      </c>
      <c r="K20" s="3752"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51"/>
      <c r="K21" s="3753"/>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51"/>
      <c r="K22" s="3753"/>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51"/>
      <c r="K23" s="3753"/>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51"/>
      <c r="K24" s="3754"/>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61">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6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44" t="s">
        <v>2317</v>
      </c>
      <c r="K32" s="3745"/>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46" t="s">
        <v>2327</v>
      </c>
      <c r="K33" s="3747"/>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46" t="s">
        <v>2329</v>
      </c>
      <c r="K34" s="374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51">
        <v>1</v>
      </c>
      <c r="K36" s="3752"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51"/>
      <c r="K37" s="3753"/>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51"/>
      <c r="K38" s="3753"/>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51"/>
      <c r="K39" s="3753"/>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51"/>
      <c r="K40" s="3754"/>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61">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6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115" zoomScaleNormal="70" zoomScaleSheetLayoutView="115"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3503</v>
      </c>
      <c r="D1" s="1357" t="s">
        <v>43</v>
      </c>
      <c r="E1" s="1358" t="s">
        <v>678</v>
      </c>
      <c r="F1" s="1057">
        <f ca="1">J53</f>
        <v>29.87</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59395</v>
      </c>
      <c r="C2" s="1382" t="s">
        <v>805</v>
      </c>
      <c r="D2" s="1382"/>
      <c r="E2" s="1383"/>
      <c r="F2" s="1384"/>
      <c r="G2" s="2700"/>
      <c r="H2" s="2689"/>
      <c r="I2" s="2689"/>
      <c r="J2" s="2689"/>
      <c r="K2" s="2690"/>
      <c r="L2" s="2689"/>
      <c r="M2" s="2689"/>
    </row>
    <row r="3" spans="1:37" ht="18" customHeight="1" thickBot="1">
      <c r="A3" s="1385" t="s">
        <v>806</v>
      </c>
      <c r="B3" s="1386">
        <f ca="1">IF(ISERROR(B2*10000/F43),0,ROUND(B2*10000/F43,0))</f>
        <v>14467</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3808</v>
      </c>
      <c r="D5" s="1359" t="s">
        <v>693</v>
      </c>
      <c r="E5" s="1066"/>
      <c r="F5" s="1067"/>
      <c r="G5" s="1379"/>
      <c r="H5" s="299">
        <v>1</v>
      </c>
      <c r="I5" s="300" t="s">
        <v>692</v>
      </c>
      <c r="J5" s="1065">
        <f ca="1">J6+J10+J12</f>
        <v>0</v>
      </c>
      <c r="K5" s="1359" t="s">
        <v>693</v>
      </c>
      <c r="L5" s="1066"/>
      <c r="M5" s="1067"/>
    </row>
    <row r="6" spans="1:37" ht="18" customHeight="1">
      <c r="A6" s="1064" t="s">
        <v>398</v>
      </c>
      <c r="B6" s="3741" t="s">
        <v>694</v>
      </c>
      <c r="C6" s="1069">
        <f ca="1">ROUND(F6*F8*F7*(1-F9)/10000,0)</f>
        <v>3803</v>
      </c>
      <c r="D6" s="155" t="s">
        <v>2109</v>
      </c>
      <c r="E6" s="302" t="s">
        <v>696</v>
      </c>
      <c r="F6" s="303">
        <f ca="1">INDIRECT("'数据-取费表'!u"&amp;$G$1)</f>
        <v>2.82</v>
      </c>
      <c r="G6" s="1379"/>
      <c r="H6" s="1064" t="s">
        <v>398</v>
      </c>
      <c r="I6" s="3741" t="s">
        <v>694</v>
      </c>
      <c r="J6" s="301">
        <f ca="1">ROUND(M6*M8*M7*(1-M9)/10000,0)</f>
        <v>0</v>
      </c>
      <c r="K6" s="155" t="s">
        <v>2108</v>
      </c>
      <c r="L6" s="302" t="s">
        <v>696</v>
      </c>
      <c r="M6" s="303">
        <f ca="1">INDIRECT("'数据-取费表'!z"&amp;$G$1)</f>
        <v>0</v>
      </c>
    </row>
    <row r="7" spans="1:37" ht="18" customHeight="1">
      <c r="A7" s="1068"/>
      <c r="B7" s="3742"/>
      <c r="C7" s="1070"/>
      <c r="D7" s="307"/>
      <c r="E7" s="3454" t="s">
        <v>697</v>
      </c>
      <c r="F7" s="303">
        <f ca="1">IF(INDIRECT("'数据-取费表'!ah"&amp;$G$1)="",INDIRECT("'数据-取费表'!k"&amp;$G$1),INDIRECT("'数据-取费表'!ah"&amp;$G$1))</f>
        <v>41054.390000000065</v>
      </c>
      <c r="G7" s="1379"/>
      <c r="H7" s="304"/>
      <c r="I7" s="3742"/>
      <c r="J7" s="306"/>
      <c r="K7" s="307"/>
      <c r="L7" s="302" t="s">
        <v>697</v>
      </c>
      <c r="M7" s="303">
        <f ca="1">F7</f>
        <v>41054.390000000065</v>
      </c>
    </row>
    <row r="8" spans="1:37" ht="18" customHeight="1">
      <c r="A8" s="304"/>
      <c r="B8" s="3742"/>
      <c r="C8" s="306"/>
      <c r="D8" s="307"/>
      <c r="E8" s="302" t="s">
        <v>698</v>
      </c>
      <c r="F8" s="303">
        <f ca="1">INDIRECT("'数据-取费表'!ai"&amp;$G$1)</f>
        <v>365</v>
      </c>
      <c r="G8" s="1379"/>
      <c r="H8" s="304"/>
      <c r="I8" s="3742"/>
      <c r="J8" s="306"/>
      <c r="K8" s="307"/>
      <c r="L8" s="302" t="s">
        <v>698</v>
      </c>
      <c r="M8" s="303">
        <f ca="1">INDIRECT("'数据-取费表'!ai"&amp;$G$1)</f>
        <v>365</v>
      </c>
    </row>
    <row r="9" spans="1:37" ht="18" customHeight="1">
      <c r="A9" s="304"/>
      <c r="B9" s="3743"/>
      <c r="C9" s="306"/>
      <c r="D9" s="307"/>
      <c r="E9" s="302" t="s">
        <v>699</v>
      </c>
      <c r="F9" s="312">
        <f ca="1">INDIRECT("'数据-取费表'!w"&amp;$G$1)</f>
        <v>0.1</v>
      </c>
      <c r="G9" s="1379"/>
      <c r="H9" s="304"/>
      <c r="I9" s="3743"/>
      <c r="J9" s="306"/>
      <c r="K9" s="307"/>
      <c r="L9" s="313" t="s">
        <v>699</v>
      </c>
      <c r="M9" s="314">
        <f ca="1">INDIRECT("'数据-取费表'!ab"&amp;$G$1)</f>
        <v>0</v>
      </c>
    </row>
    <row r="10" spans="1:37" ht="18" customHeight="1">
      <c r="A10" s="1064" t="s">
        <v>402</v>
      </c>
      <c r="B10" s="1360" t="s">
        <v>700</v>
      </c>
      <c r="C10" s="316">
        <f ca="1">ROUND(IF(F10="押一",C6/12*F11,IF(F10="押二",C6/12*2*F11,IF(F10="押三",C6/12*3*F11,C11*F11))),0)</f>
        <v>5</v>
      </c>
      <c r="D10" s="1361" t="s">
        <v>2116</v>
      </c>
      <c r="E10" s="313" t="s">
        <v>701</v>
      </c>
      <c r="F10" s="1111" t="s">
        <v>3446</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32683</v>
      </c>
      <c r="D13" s="3442" t="s">
        <v>705</v>
      </c>
      <c r="E13" s="3442" t="s">
        <v>706</v>
      </c>
      <c r="F13" s="1077">
        <f ca="1">INDIRECT("'数据-取费表'!y"&amp;$G$1)</f>
        <v>0.84</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26685</v>
      </c>
      <c r="D14" s="3446" t="s">
        <v>708</v>
      </c>
      <c r="E14" s="3444"/>
      <c r="F14" s="319"/>
      <c r="G14" s="1379"/>
      <c r="H14" s="977" t="s">
        <v>398</v>
      </c>
      <c r="I14" s="302" t="s">
        <v>709</v>
      </c>
      <c r="J14" s="21">
        <f ca="1">C29</f>
        <v>38908</v>
      </c>
      <c r="K14" s="3453"/>
      <c r="L14" s="802"/>
      <c r="M14" s="803"/>
    </row>
    <row r="15" spans="1:37" s="1392" customFormat="1" ht="18" customHeight="1" thickBot="1">
      <c r="A15" s="977" t="s">
        <v>399</v>
      </c>
      <c r="B15" s="302" t="s">
        <v>710</v>
      </c>
      <c r="C15" s="21">
        <f ca="1">ROUND(C14*F15,0)</f>
        <v>1334</v>
      </c>
      <c r="D15" s="3443" t="s">
        <v>711</v>
      </c>
      <c r="E15" s="3443"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130</v>
      </c>
      <c r="K16" s="1082" t="s">
        <v>715</v>
      </c>
      <c r="L16" s="3448"/>
      <c r="M16" s="1067"/>
    </row>
    <row r="17" spans="1:37" s="1392" customFormat="1" ht="18" customHeight="1">
      <c r="A17" s="977" t="s">
        <v>681</v>
      </c>
      <c r="B17" s="302" t="s">
        <v>716</v>
      </c>
      <c r="C17" s="21">
        <f ca="1">ROUND(F17*(F43+INDIRECT("'数据-取费表'!S"&amp;$G$1))/10000,0)</f>
        <v>821</v>
      </c>
      <c r="D17" s="302" t="s">
        <v>717</v>
      </c>
      <c r="E17" s="302" t="s">
        <v>718</v>
      </c>
      <c r="F17" s="23">
        <f>'数据-取费表'!B35</f>
        <v>200</v>
      </c>
      <c r="G17" s="1391"/>
      <c r="H17" s="977" t="s">
        <v>398</v>
      </c>
      <c r="I17" s="302" t="s">
        <v>719</v>
      </c>
      <c r="J17" s="2311">
        <f ca="1">ROUND(IF(AND(项目基本情况!B11="自然人",项目基本情况!B10="北京市"),J6*M17/(1+'数据-取费表'!C42),J18+J19+J20),2)</f>
        <v>13.57</v>
      </c>
      <c r="K17" s="3446" t="s">
        <v>720</v>
      </c>
      <c r="L17" s="3445"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534</v>
      </c>
      <c r="D18" s="302" t="s">
        <v>711</v>
      </c>
      <c r="E18" s="302" t="s">
        <v>712</v>
      </c>
      <c r="F18" s="322">
        <f>'数据-取费表'!B36</f>
        <v>0.02</v>
      </c>
      <c r="G18" s="1391"/>
      <c r="H18" s="977" t="s">
        <v>397</v>
      </c>
      <c r="I18" s="302" t="s">
        <v>723</v>
      </c>
      <c r="J18" s="21">
        <f ca="1">ROUND(J6*M18/(1+'数据-取费表'!C42),2)</f>
        <v>0</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29374</v>
      </c>
      <c r="D19" s="131" t="s">
        <v>726</v>
      </c>
      <c r="E19" s="3458"/>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881</v>
      </c>
      <c r="D20" s="2423" t="s">
        <v>729</v>
      </c>
      <c r="E20" s="302" t="s">
        <v>712</v>
      </c>
      <c r="F20" s="322">
        <f>'数据-取费表'!B37</f>
        <v>0.03</v>
      </c>
      <c r="G20" s="1391"/>
      <c r="H20" s="977" t="s">
        <v>680</v>
      </c>
      <c r="I20" s="155" t="s">
        <v>730</v>
      </c>
      <c r="J20" s="22">
        <f ca="1">ROUND(M20*M21/10000,2)</f>
        <v>13.57</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0.03</v>
      </c>
      <c r="G21" s="1391"/>
      <c r="H21" s="326"/>
      <c r="I21" s="311"/>
      <c r="J21" s="26"/>
      <c r="K21" s="327"/>
      <c r="L21" s="302" t="s">
        <v>736</v>
      </c>
      <c r="M21" s="303">
        <f ca="1">INDIRECT("'数据-取费表'!r"&amp;$G$1)</f>
        <v>5653.45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f ca="1">ROUND(J14*M22,2)</f>
        <v>116.72</v>
      </c>
      <c r="K22" s="3445" t="s">
        <v>739</v>
      </c>
      <c r="L22" s="302" t="s">
        <v>712</v>
      </c>
      <c r="M22" s="328">
        <f ca="1">INDIRECT("'数据-取费表'!Ak"&amp;$G$1)</f>
        <v>3.0000000000000001E-3</v>
      </c>
    </row>
    <row r="23" spans="1:37" s="1392" customFormat="1" ht="18" customHeight="1">
      <c r="A23" s="977" t="s">
        <v>397</v>
      </c>
      <c r="B23" s="302" t="s">
        <v>740</v>
      </c>
      <c r="C23" s="21">
        <f ca="1">IF('数据-取费表'!B22&lt;=1,ROUND(C19*F24*F23/2,0)+ROUND(C20*F24*F23/2,0),ROUND(C19*(POWER((1+F24),F23/2)-1),0)+ROUND(C20*(POWER((1+F24),F23/2)-1),0))</f>
        <v>1579</v>
      </c>
      <c r="D23" s="329" t="str">
        <f>IF(F23&lt;=1,"(建造成本+管理费用)×利率×(建设周期÷2)","(建造成本+管理费用)×((1+利率)^(建设周期÷2)-1)")</f>
        <v>(建造成本+管理费用)×((1+利率)^(建设周期÷2)-1)</v>
      </c>
      <c r="E23" s="302" t="s">
        <v>741</v>
      </c>
      <c r="F23" s="325">
        <f>'数据-取费表'!B20</f>
        <v>3</v>
      </c>
      <c r="G23" s="1391"/>
      <c r="H23" s="977" t="s">
        <v>437</v>
      </c>
      <c r="I23" s="302" t="s">
        <v>742</v>
      </c>
      <c r="J23" s="21">
        <f ca="1">ROUND(J13*M23,2)</f>
        <v>0</v>
      </c>
      <c r="K23" s="3445"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f ca="1">ROUND(J5*M24,2)</f>
        <v>0</v>
      </c>
      <c r="K24" s="1087" t="s">
        <v>748</v>
      </c>
      <c r="L24" s="1085" t="s">
        <v>744</v>
      </c>
      <c r="M24" s="1081">
        <f ca="1">INDIRECT("'数据-取费表'!Am"&amp;$G$1)</f>
        <v>4.0000000000000001E-3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f ca="1">J5-J16</f>
        <v>-130</v>
      </c>
      <c r="K25" s="1090" t="s">
        <v>753</v>
      </c>
      <c r="L25" s="1091"/>
      <c r="M25" s="1092"/>
    </row>
    <row r="26" spans="1:37">
      <c r="A26" s="977" t="s">
        <v>397</v>
      </c>
      <c r="B26" s="302" t="s">
        <v>754</v>
      </c>
      <c r="C26" s="21">
        <f ca="1">ROUND((C19+C20)*F26,0)</f>
        <v>3631</v>
      </c>
      <c r="D26" s="2423" t="s">
        <v>755</v>
      </c>
      <c r="E26" s="313" t="s">
        <v>756</v>
      </c>
      <c r="F26" s="312">
        <f ca="1">INDIRECT("'数据-取费表'!q"&amp;$G$1)</f>
        <v>0.12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3.5999999999999999E-3</v>
      </c>
      <c r="D27" s="2423" t="s">
        <v>761</v>
      </c>
      <c r="E27" s="3443"/>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38908</v>
      </c>
      <c r="D29" s="1087"/>
      <c r="E29" s="1085"/>
      <c r="F29" s="1088"/>
      <c r="G29" s="1391"/>
      <c r="H29" s="334" t="s">
        <v>396</v>
      </c>
      <c r="I29" s="335" t="s">
        <v>768</v>
      </c>
      <c r="J29" s="336">
        <f ca="1">ROUND(J26/(1+F40)^F41,0)</f>
        <v>0</v>
      </c>
      <c r="K29" s="337" t="s">
        <v>769</v>
      </c>
      <c r="L29" s="338"/>
      <c r="M29" s="339">
        <f ca="1">INDIRECT("'数据-取费表'!k"&amp;$G$1)</f>
        <v>41054.390000000065</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816</v>
      </c>
      <c r="D30" s="1082" t="s">
        <v>715</v>
      </c>
      <c r="E30" s="3448"/>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651.03</v>
      </c>
      <c r="D31" s="3446" t="s">
        <v>720</v>
      </c>
      <c r="E31" s="3445"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202.83</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434.63</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13.57</v>
      </c>
      <c r="D34" s="324" t="s">
        <v>731</v>
      </c>
      <c r="E34" s="302" t="s">
        <v>732</v>
      </c>
      <c r="F34" s="325">
        <f>'数据-取费表'!B52</f>
        <v>24</v>
      </c>
      <c r="G34" s="1379"/>
      <c r="H34" s="2691"/>
      <c r="I34" s="1393"/>
      <c r="J34" s="1394"/>
      <c r="K34" s="2696"/>
      <c r="L34" s="2697"/>
      <c r="M34" s="2697"/>
    </row>
    <row r="35" spans="1:18" ht="18" customHeight="1">
      <c r="A35" s="1098"/>
      <c r="B35" s="1096"/>
      <c r="C35" s="26"/>
      <c r="D35" s="327"/>
      <c r="E35" s="302" t="s">
        <v>736</v>
      </c>
      <c r="F35" s="303">
        <f ca="1">INDIRECT("'数据-取费表'!r"&amp;$G$1)</f>
        <v>5653.45</v>
      </c>
      <c r="G35" s="1379"/>
      <c r="H35" s="2691"/>
      <c r="I35" s="1393"/>
      <c r="J35" s="1394"/>
      <c r="K35" s="2695"/>
      <c r="L35" s="2694"/>
      <c r="M35" s="2694"/>
    </row>
    <row r="36" spans="1:18" ht="18" customHeight="1">
      <c r="A36" s="1097" t="s">
        <v>402</v>
      </c>
      <c r="B36" s="302" t="s">
        <v>738</v>
      </c>
      <c r="C36" s="21">
        <f ca="1">ROUND(C29*F36,2)</f>
        <v>116.72</v>
      </c>
      <c r="D36" s="3445" t="s">
        <v>771</v>
      </c>
      <c r="E36" s="302" t="s">
        <v>712</v>
      </c>
      <c r="F36" s="328">
        <f ca="1">INDIRECT("'数据-取费表'!Ak"&amp;$G$1)</f>
        <v>3.0000000000000001E-3</v>
      </c>
      <c r="G36" s="1379"/>
      <c r="H36" s="2694"/>
      <c r="I36" s="1393"/>
      <c r="J36" s="1394"/>
      <c r="K36" s="2539"/>
      <c r="L36" s="2694"/>
      <c r="M36" s="2694"/>
    </row>
    <row r="37" spans="1:18" ht="18" customHeight="1">
      <c r="A37" s="977" t="s">
        <v>437</v>
      </c>
      <c r="B37" s="302" t="s">
        <v>742</v>
      </c>
      <c r="C37" s="21">
        <f ca="1">ROUND(C13*F37,2)</f>
        <v>32.68</v>
      </c>
      <c r="D37" s="3445" t="s">
        <v>743</v>
      </c>
      <c r="E37" s="302" t="s">
        <v>744</v>
      </c>
      <c r="F37" s="330">
        <f ca="1">INDIRECT("'数据-取费表'!Al"&amp;$G$1)</f>
        <v>1E-3</v>
      </c>
      <c r="G37" s="1379"/>
      <c r="H37" s="2694"/>
      <c r="I37" s="1393"/>
      <c r="J37" s="1394"/>
      <c r="K37" s="2539"/>
      <c r="L37" s="2694"/>
      <c r="M37" s="2694"/>
    </row>
    <row r="38" spans="1:18" ht="18" customHeight="1" thickBot="1">
      <c r="A38" s="1084" t="s">
        <v>683</v>
      </c>
      <c r="B38" s="1085" t="s">
        <v>728</v>
      </c>
      <c r="C38" s="1086">
        <f ca="1">ROUND(C5*F38,2)</f>
        <v>15.23</v>
      </c>
      <c r="D38" s="1087" t="s">
        <v>748</v>
      </c>
      <c r="E38" s="1085" t="s">
        <v>744</v>
      </c>
      <c r="F38" s="1081">
        <f ca="1">INDIRECT("'数据-取费表'!Am"&amp;$G$1)</f>
        <v>4.0000000000000001E-3</v>
      </c>
      <c r="G38" s="1379"/>
      <c r="H38" s="2694"/>
      <c r="I38" s="1393"/>
      <c r="J38" s="1394"/>
      <c r="K38" s="2698"/>
      <c r="L38" s="2694"/>
      <c r="M38" s="2694"/>
    </row>
    <row r="39" spans="1:18" ht="24.6" customHeight="1" thickTop="1">
      <c r="A39" s="1074" t="s">
        <v>394</v>
      </c>
      <c r="B39" s="1089" t="s">
        <v>772</v>
      </c>
      <c r="C39" s="310">
        <f ca="1">C5-C30</f>
        <v>2992</v>
      </c>
      <c r="D39" s="1090" t="s">
        <v>773</v>
      </c>
      <c r="E39" s="1091"/>
      <c r="F39" s="1092"/>
      <c r="G39" s="1379"/>
      <c r="H39" s="2694">
        <f ca="1">C39/C6</f>
        <v>0.78674730475940047</v>
      </c>
      <c r="I39" s="1393"/>
      <c r="J39" s="1394"/>
      <c r="K39" s="2698"/>
      <c r="L39" s="2694"/>
      <c r="M39" s="2694"/>
    </row>
    <row r="40" spans="1:18" ht="18" customHeight="1">
      <c r="A40" s="299" t="s">
        <v>395</v>
      </c>
      <c r="B40" s="300" t="s">
        <v>774</v>
      </c>
      <c r="C40" s="301">
        <f ca="1">ROUND(C39*(1-((1+F42)/(1+F40))^F41)/(F40-F42),0)</f>
        <v>57601</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29.87</v>
      </c>
      <c r="G41" s="1379"/>
      <c r="H41" s="1186"/>
      <c r="I41" s="1393"/>
      <c r="J41" s="1394"/>
      <c r="K41" s="2539"/>
      <c r="L41" s="1186"/>
      <c r="M41" s="1186"/>
    </row>
    <row r="42" spans="1:18" ht="18" customHeight="1">
      <c r="A42" s="308"/>
      <c r="B42" s="309"/>
      <c r="C42" s="310"/>
      <c r="D42" s="327"/>
      <c r="E42" s="302" t="s">
        <v>766</v>
      </c>
      <c r="F42" s="312">
        <f ca="1">INDIRECT("'数据-取费表'!v"&amp;$G$1)</f>
        <v>2.5000000000000001E-2</v>
      </c>
      <c r="G42" s="1379"/>
      <c r="H42" s="1186"/>
      <c r="I42" s="1393"/>
      <c r="J42" s="1394"/>
      <c r="K42" s="2539"/>
      <c r="L42" s="1186"/>
      <c r="M42" s="1186"/>
    </row>
    <row r="43" spans="1:18" ht="18" customHeight="1" thickBot="1">
      <c r="A43" s="334" t="s">
        <v>396</v>
      </c>
      <c r="B43" s="335" t="s">
        <v>776</v>
      </c>
      <c r="C43" s="336">
        <f ca="1">ROUND(C40*10000/F43,0)</f>
        <v>14030</v>
      </c>
      <c r="D43" s="337" t="s">
        <v>777</v>
      </c>
      <c r="E43" s="338" t="s">
        <v>778</v>
      </c>
      <c r="F43" s="339">
        <f ca="1">INDIRECT("'数据-取费表'!k"&amp;$G$1)</f>
        <v>41054.390000000065</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-59966</v>
      </c>
      <c r="D46" s="1401" t="str">
        <f>C2</f>
        <v>万元</v>
      </c>
      <c r="E46" s="1395"/>
      <c r="F46" s="1395"/>
      <c r="I46" s="1402" t="s">
        <v>810</v>
      </c>
      <c r="J46" s="1403"/>
      <c r="K46" s="1404"/>
      <c r="L46" s="1405">
        <f ca="1">IF(M47="住宅",0,IF(L48&gt;J51,L60,J60))</f>
        <v>1794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3447</v>
      </c>
      <c r="K47" s="1411" t="s">
        <v>816</v>
      </c>
      <c r="L47" s="1412">
        <f ca="1">INDIRECT("'数据-取费表'!d"&amp;$G$1)</f>
        <v>50</v>
      </c>
      <c r="M47" s="1375" t="str">
        <f>IF(ISNUMBER(FIND("住宅",C1)),"住宅","非住宅")</f>
        <v>非住宅</v>
      </c>
      <c r="O47" s="1413" t="s">
        <v>403</v>
      </c>
      <c r="P47" s="1414" t="s">
        <v>817</v>
      </c>
      <c r="Q47" s="1415">
        <f ca="1">C40+J29</f>
        <v>57601</v>
      </c>
      <c r="R47" s="1415" t="s">
        <v>818</v>
      </c>
    </row>
    <row r="48" spans="1:18" s="1379" customFormat="1" ht="28.5" thickBot="1">
      <c r="A48" s="1105" t="s">
        <v>438</v>
      </c>
      <c r="B48" s="300" t="s">
        <v>692</v>
      </c>
      <c r="C48" s="3457">
        <f ca="1">C49+C53+C55</f>
        <v>0</v>
      </c>
      <c r="D48" s="1107"/>
      <c r="E48" s="1108"/>
      <c r="F48" s="957"/>
      <c r="G48" s="722"/>
      <c r="H48" s="723"/>
      <c r="I48" s="1416" t="s">
        <v>819</v>
      </c>
      <c r="J48" s="1417" t="s">
        <v>3448</v>
      </c>
      <c r="K48" s="1418" t="s">
        <v>820</v>
      </c>
      <c r="L48" s="1419">
        <f ca="1">INDIRECT("'数据-取费表'!f"&amp;$G$1)</f>
        <v>29.87</v>
      </c>
      <c r="O48" s="1413" t="s">
        <v>404</v>
      </c>
      <c r="P48" s="1414" t="s">
        <v>821</v>
      </c>
      <c r="Q48" s="1415">
        <f ca="1">J60</f>
        <v>1794</v>
      </c>
      <c r="R48" s="1415" t="s">
        <v>822</v>
      </c>
    </row>
    <row r="49" spans="1:18" s="1379" customFormat="1" ht="13.5" thickBot="1">
      <c r="A49" s="970" t="s">
        <v>439</v>
      </c>
      <c r="B49" s="1366" t="s">
        <v>779</v>
      </c>
      <c r="C49" s="1109">
        <f ca="1">ROUND(F49*F51*F50*(1-F52)/10000,0)</f>
        <v>0</v>
      </c>
      <c r="D49" s="1050" t="s">
        <v>2108</v>
      </c>
      <c r="E49" s="1367" t="s">
        <v>780</v>
      </c>
      <c r="F49" s="1055"/>
      <c r="G49" s="1420"/>
      <c r="H49" s="723"/>
      <c r="I49" s="1416" t="s">
        <v>823</v>
      </c>
      <c r="J49" s="1421">
        <f>取值过程!C16</f>
        <v>2011</v>
      </c>
      <c r="K49" s="1418" t="s">
        <v>824</v>
      </c>
      <c r="L49" s="1422"/>
      <c r="O49" s="1423" t="s">
        <v>405</v>
      </c>
      <c r="P49" s="1414" t="s">
        <v>825</v>
      </c>
      <c r="Q49" s="1415">
        <f ca="1">C29</f>
        <v>38908</v>
      </c>
      <c r="R49" s="1415" t="s">
        <v>818</v>
      </c>
    </row>
    <row r="50" spans="1:18" s="1379" customFormat="1" ht="13.5" thickBot="1">
      <c r="A50" s="971"/>
      <c r="B50" s="974"/>
      <c r="C50" s="1113"/>
      <c r="D50" s="948"/>
      <c r="E50" s="1051" t="s">
        <v>697</v>
      </c>
      <c r="F50" s="1052">
        <f ca="1">F7</f>
        <v>41054.390000000065</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12662</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29.87</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29.87</v>
      </c>
      <c r="K53" s="3739" t="s">
        <v>837</v>
      </c>
      <c r="L53" s="3740"/>
      <c r="O53" s="1413" t="s">
        <v>409</v>
      </c>
      <c r="P53" s="1414" t="s">
        <v>838</v>
      </c>
      <c r="Q53" s="1415">
        <f ca="1">Q47+Q48</f>
        <v>59395</v>
      </c>
      <c r="R53" s="1415" t="s">
        <v>410</v>
      </c>
    </row>
    <row r="54" spans="1:18" s="1379" customFormat="1" ht="13.5" thickBot="1">
      <c r="A54" s="1148"/>
      <c r="B54" s="1362" t="s">
        <v>679</v>
      </c>
      <c r="C54" s="954"/>
      <c r="D54" s="1361"/>
      <c r="E54" s="344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f ca="1">ROUND(IF(J47="钢混",J57/J50,1-(1-2%)*(J50-J57)/J50),3)</f>
        <v>0.28599999999999998</v>
      </c>
      <c r="K55" s="1440" t="s">
        <v>841</v>
      </c>
      <c r="L55" s="1441"/>
      <c r="O55" s="1406" t="s">
        <v>811</v>
      </c>
      <c r="P55" s="1407" t="s">
        <v>812</v>
      </c>
      <c r="Q55" s="1408" t="s">
        <v>813</v>
      </c>
      <c r="R55" s="1408" t="s">
        <v>814</v>
      </c>
    </row>
    <row r="56" spans="1:18" s="1379" customFormat="1" ht="25.5" thickTop="1" thickBot="1">
      <c r="A56" s="952">
        <v>2</v>
      </c>
      <c r="B56" s="953" t="s">
        <v>704</v>
      </c>
      <c r="C56" s="232">
        <f ca="1">C13</f>
        <v>32683</v>
      </c>
      <c r="D56" s="1442"/>
      <c r="E56" s="1443"/>
      <c r="F56" s="1435"/>
      <c r="I56" s="1444" t="s">
        <v>842</v>
      </c>
      <c r="J56" s="1445" t="s">
        <v>3429</v>
      </c>
      <c r="K56" s="1416" t="s">
        <v>843</v>
      </c>
      <c r="L56" s="1419" t="str">
        <f ca="1">IF(L48&lt;J51,"——",L48-J53)</f>
        <v>——</v>
      </c>
      <c r="O56" s="1413" t="s">
        <v>403</v>
      </c>
      <c r="P56" s="1414" t="s">
        <v>817</v>
      </c>
      <c r="Q56" s="1415">
        <f ca="1">C40+J29</f>
        <v>57601</v>
      </c>
      <c r="R56" s="1415" t="s">
        <v>818</v>
      </c>
    </row>
    <row r="57" spans="1:18" s="1379" customFormat="1" ht="24.75" thickBot="1">
      <c r="A57" s="1446"/>
      <c r="B57" s="945" t="s">
        <v>767</v>
      </c>
      <c r="C57" s="238">
        <f ca="1">C29</f>
        <v>38908</v>
      </c>
      <c r="D57" s="1447"/>
      <c r="E57" s="1448"/>
      <c r="F57" s="1449"/>
      <c r="I57" s="1450" t="s">
        <v>844</v>
      </c>
      <c r="J57" s="1451">
        <f ca="1">IF(OR(M47="住宅",J51&lt;L48,J56="是"),"——",J51-L48)</f>
        <v>17.13</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163</v>
      </c>
      <c r="D58" s="955" t="s">
        <v>715</v>
      </c>
      <c r="E58" s="956"/>
      <c r="F58" s="957"/>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14</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15563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1794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13.57</v>
      </c>
      <c r="D62" s="960" t="s">
        <v>786</v>
      </c>
      <c r="E62" s="945" t="s">
        <v>732</v>
      </c>
      <c r="F62" s="325">
        <f t="shared" si="0"/>
        <v>24</v>
      </c>
      <c r="I62" s="1457" t="s">
        <v>858</v>
      </c>
      <c r="J62" s="1458" t="s">
        <v>859</v>
      </c>
      <c r="K62" s="1458" t="s">
        <v>860</v>
      </c>
      <c r="L62" s="1458" t="s">
        <v>861</v>
      </c>
      <c r="M62" s="1459" t="s">
        <v>862</v>
      </c>
      <c r="O62" s="1413" t="s">
        <v>409</v>
      </c>
      <c r="P62" s="1414" t="s">
        <v>863</v>
      </c>
      <c r="Q62" s="1415">
        <f ca="1">Q56+Q57</f>
        <v>57601</v>
      </c>
      <c r="R62" s="1415" t="s">
        <v>410</v>
      </c>
    </row>
    <row r="63" spans="1:18" s="1379" customFormat="1" ht="13.5" thickBot="1">
      <c r="A63" s="326"/>
      <c r="B63" s="951"/>
      <c r="C63" s="26"/>
      <c r="D63" s="961"/>
      <c r="E63" s="945" t="s">
        <v>736</v>
      </c>
      <c r="F63" s="303">
        <f t="shared" ca="1" si="0"/>
        <v>5653.45</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116.72</v>
      </c>
      <c r="D64" s="959" t="s">
        <v>791</v>
      </c>
      <c r="E64" s="945" t="s">
        <v>783</v>
      </c>
      <c r="F64" s="328">
        <f t="shared" ca="1" si="0"/>
        <v>3.0000000000000001E-3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32.68</v>
      </c>
      <c r="D65" s="959" t="s">
        <v>743</v>
      </c>
      <c r="E65" s="945" t="s">
        <v>744</v>
      </c>
      <c r="F65" s="330">
        <f t="shared" ca="1" si="0"/>
        <v>1E-3</v>
      </c>
      <c r="I65" s="1457" t="s">
        <v>867</v>
      </c>
      <c r="J65" s="1458">
        <v>40</v>
      </c>
      <c r="K65" s="1458">
        <v>30</v>
      </c>
      <c r="L65" s="1458">
        <v>50</v>
      </c>
      <c r="M65" s="1460">
        <v>0.02</v>
      </c>
      <c r="O65" s="1413" t="s">
        <v>403</v>
      </c>
      <c r="P65" s="1414" t="s">
        <v>868</v>
      </c>
      <c r="Q65" s="1415">
        <f ca="1">C40+J29</f>
        <v>57601</v>
      </c>
      <c r="R65" s="1415" t="s">
        <v>818</v>
      </c>
    </row>
    <row r="66" spans="1:18" s="1379" customFormat="1" ht="16.5" thickBot="1">
      <c r="A66" s="977" t="s">
        <v>793</v>
      </c>
      <c r="B66" s="945" t="s">
        <v>728</v>
      </c>
      <c r="C66" s="21">
        <f ca="1">ROUND(C48*F66,2)</f>
        <v>0</v>
      </c>
      <c r="D66" s="959" t="s">
        <v>794</v>
      </c>
      <c r="E66" s="945" t="s">
        <v>712</v>
      </c>
      <c r="F66" s="312">
        <f t="shared" ca="1" si="0"/>
        <v>4.0000000000000001E-3</v>
      </c>
      <c r="O66" s="1413" t="s">
        <v>404</v>
      </c>
      <c r="P66" s="1414" t="s">
        <v>846</v>
      </c>
      <c r="Q66" s="1415">
        <f ca="1">L60</f>
        <v>0</v>
      </c>
      <c r="R66" s="1415" t="s">
        <v>869</v>
      </c>
    </row>
    <row r="67" spans="1:18" s="1379" customFormat="1" ht="16.5" thickBot="1">
      <c r="A67" s="952" t="s">
        <v>394</v>
      </c>
      <c r="B67" s="962" t="s">
        <v>752</v>
      </c>
      <c r="C67" s="316">
        <f ca="1">C48-C58</f>
        <v>-163</v>
      </c>
      <c r="D67" s="958" t="s">
        <v>753</v>
      </c>
      <c r="E67" s="963"/>
      <c r="F67" s="964"/>
      <c r="O67" s="1423" t="s">
        <v>405</v>
      </c>
      <c r="P67" s="1414" t="s">
        <v>850</v>
      </c>
      <c r="Q67" s="1461">
        <f ca="1">L51</f>
        <v>12662</v>
      </c>
      <c r="R67" s="1415" t="s">
        <v>870</v>
      </c>
    </row>
    <row r="68" spans="1:18" s="1379" customFormat="1" ht="16.5" thickBot="1">
      <c r="A68" s="942" t="s">
        <v>395</v>
      </c>
      <c r="B68" s="943" t="s">
        <v>774</v>
      </c>
      <c r="C68" s="301">
        <f ca="1">ROUND(C67*(1-((1+F70)/(1+F68))^F69)/(F68-F70),0)</f>
        <v>-2365</v>
      </c>
      <c r="D68" s="960" t="s">
        <v>758</v>
      </c>
      <c r="E68" s="945" t="s">
        <v>759</v>
      </c>
      <c r="F68" s="312">
        <f ca="1">F40</f>
        <v>5.5E-2</v>
      </c>
      <c r="O68" s="1423" t="s">
        <v>406</v>
      </c>
      <c r="P68" s="1462" t="s">
        <v>871</v>
      </c>
      <c r="Q68" s="1415">
        <f ca="1">ROUND(Q69-Q70*Q71,0)</f>
        <v>704</v>
      </c>
      <c r="R68" s="1415" t="s">
        <v>414</v>
      </c>
    </row>
    <row r="69" spans="1:18" s="1379" customFormat="1" ht="13.5" thickBot="1">
      <c r="A69" s="946"/>
      <c r="B69" s="947"/>
      <c r="C69" s="306"/>
      <c r="D69" s="965" t="s">
        <v>762</v>
      </c>
      <c r="E69" s="945" t="s">
        <v>763</v>
      </c>
      <c r="F69" s="333">
        <f ca="1">F41</f>
        <v>29.87</v>
      </c>
      <c r="O69" s="1423" t="s">
        <v>411</v>
      </c>
      <c r="P69" s="1462" t="s">
        <v>872</v>
      </c>
      <c r="Q69" s="1415">
        <f ca="1">C39</f>
        <v>2992</v>
      </c>
      <c r="R69" s="1415" t="s">
        <v>818</v>
      </c>
    </row>
    <row r="70" spans="1:18" s="1379" customFormat="1" ht="13.5" thickBot="1">
      <c r="A70" s="949"/>
      <c r="B70" s="950"/>
      <c r="C70" s="310"/>
      <c r="D70" s="961"/>
      <c r="E70" s="945" t="s">
        <v>766</v>
      </c>
      <c r="F70" s="1049"/>
      <c r="O70" s="1423" t="s">
        <v>412</v>
      </c>
      <c r="P70" s="1462" t="s">
        <v>873</v>
      </c>
      <c r="Q70" s="1415">
        <f ca="1">C13</f>
        <v>32683</v>
      </c>
      <c r="R70" s="1415" t="s">
        <v>818</v>
      </c>
    </row>
    <row r="71" spans="1:18" s="1379" customFormat="1" ht="13.5" thickBot="1">
      <c r="A71" s="966" t="s">
        <v>396</v>
      </c>
      <c r="B71" s="967" t="s">
        <v>776</v>
      </c>
      <c r="C71" s="336">
        <f ca="1">ROUND(C68*10000/F71,0)</f>
        <v>-576</v>
      </c>
      <c r="D71" s="968" t="s">
        <v>777</v>
      </c>
      <c r="E71" s="969" t="s">
        <v>778</v>
      </c>
      <c r="F71" s="339">
        <f ca="1">F43</f>
        <v>41054.390000000065</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2288</v>
      </c>
      <c r="D75" s="1379"/>
      <c r="E75" s="1379"/>
      <c r="F75" s="1379"/>
      <c r="K75" s="1397"/>
      <c r="L75" s="1379"/>
      <c r="O75" s="1413" t="s">
        <v>409</v>
      </c>
      <c r="P75" s="1414" t="s">
        <v>838</v>
      </c>
      <c r="Q75" s="1415">
        <f ca="1">Q65+Q66</f>
        <v>57601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0.23499999999999999</v>
      </c>
    </row>
    <row r="80" spans="1:18">
      <c r="B80" s="340" t="s">
        <v>800</v>
      </c>
      <c r="C80" s="274">
        <f ca="1">ROUND(C75/C39,3)</f>
        <v>0.76500000000000001</v>
      </c>
    </row>
    <row r="81" spans="2:3">
      <c r="B81" s="270" t="s">
        <v>801</v>
      </c>
      <c r="C81" s="238"/>
    </row>
    <row r="82" spans="2:3">
      <c r="B82" s="273" t="s">
        <v>802</v>
      </c>
      <c r="C82" s="275">
        <f ca="1">1-C83</f>
        <v>0.43300000000000005</v>
      </c>
    </row>
    <row r="83" spans="2:3">
      <c r="B83" s="273" t="s">
        <v>803</v>
      </c>
      <c r="C83" s="274">
        <f ca="1">ROUND(C13/C40,3)</f>
        <v>0.56699999999999995</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78855.130000000063</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81" t="s">
        <v>1667</v>
      </c>
      <c r="D4" s="3782"/>
      <c r="E4" s="3783" t="s">
        <v>1668</v>
      </c>
      <c r="F4" s="3784"/>
      <c r="G4" s="3781" t="s">
        <v>1669</v>
      </c>
      <c r="H4" s="3782"/>
      <c r="I4" s="3781" t="s">
        <v>1670</v>
      </c>
      <c r="J4" s="3782"/>
      <c r="K4" s="1884" t="s">
        <v>1671</v>
      </c>
      <c r="L4" s="2709"/>
      <c r="M4" s="2710"/>
      <c r="N4" s="2710"/>
      <c r="O4" s="2710"/>
      <c r="P4" s="3785" t="s">
        <v>1672</v>
      </c>
      <c r="Q4" s="3786"/>
      <c r="R4" s="3768" t="s">
        <v>1668</v>
      </c>
      <c r="S4" s="3769"/>
      <c r="T4" s="3768" t="s">
        <v>1669</v>
      </c>
      <c r="U4" s="3769"/>
      <c r="V4" s="3793" t="s">
        <v>1670</v>
      </c>
      <c r="W4" s="3793"/>
      <c r="X4" s="1350"/>
      <c r="Y4" s="3768" t="s">
        <v>1672</v>
      </c>
      <c r="Z4" s="3769"/>
      <c r="AA4" s="3763" t="s">
        <v>1668</v>
      </c>
      <c r="AB4" s="3763" t="s">
        <v>1669</v>
      </c>
      <c r="AC4" s="3763" t="s">
        <v>1670</v>
      </c>
    </row>
    <row r="5" spans="1:29" ht="15">
      <c r="A5" s="358"/>
      <c r="B5" s="359"/>
      <c r="C5" s="3774" t="s">
        <v>1673</v>
      </c>
      <c r="D5" s="3775"/>
      <c r="E5" s="3772" t="s">
        <v>1674</v>
      </c>
      <c r="F5" s="3773"/>
      <c r="G5" s="3774" t="s">
        <v>1675</v>
      </c>
      <c r="H5" s="3775"/>
      <c r="I5" s="3774" t="s">
        <v>1676</v>
      </c>
      <c r="J5" s="3775"/>
      <c r="K5" s="1885"/>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1885"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766" t="s">
        <v>1680</v>
      </c>
      <c r="Q7" s="3794"/>
      <c r="R7" s="701" t="s">
        <v>20</v>
      </c>
      <c r="S7" s="702">
        <f t="shared" ref="S7:S15" si="0">F7</f>
        <v>0</v>
      </c>
      <c r="T7" s="701" t="s">
        <v>20</v>
      </c>
      <c r="U7" s="702">
        <f t="shared" ref="U7:U15" si="1">H7</f>
        <v>0</v>
      </c>
      <c r="V7" s="701" t="s">
        <v>20</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766" t="s">
        <v>1683</v>
      </c>
      <c r="Q8" s="3767"/>
      <c r="R8" s="701" t="s">
        <v>20</v>
      </c>
      <c r="S8" s="702">
        <f t="shared" si="0"/>
        <v>100</v>
      </c>
      <c r="T8" s="701" t="s">
        <v>20</v>
      </c>
      <c r="U8" s="702">
        <f t="shared" si="1"/>
        <v>100</v>
      </c>
      <c r="V8" s="701" t="s">
        <v>20</v>
      </c>
      <c r="W8" s="702">
        <f t="shared" si="2"/>
        <v>100</v>
      </c>
      <c r="X8" s="703"/>
      <c r="Y8" s="3766" t="s">
        <v>1683</v>
      </c>
      <c r="Z8" s="37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80"/>
      <c r="Q11" s="1338" t="str">
        <f t="shared" si="6"/>
        <v>容积率</v>
      </c>
      <c r="R11" s="701" t="s">
        <v>18</v>
      </c>
      <c r="S11" s="702" t="e">
        <f t="shared" si="0"/>
        <v>#N/A</v>
      </c>
      <c r="T11" s="701" t="s">
        <v>18</v>
      </c>
      <c r="U11" s="702" t="e">
        <f t="shared" si="1"/>
        <v>#N/A</v>
      </c>
      <c r="V11" s="701" t="s">
        <v>18</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80"/>
      <c r="Q12" s="1338">
        <f t="shared" si="6"/>
        <v>111</v>
      </c>
      <c r="R12" s="701" t="s">
        <v>18</v>
      </c>
      <c r="S12" s="702">
        <f t="shared" si="0"/>
        <v>100</v>
      </c>
      <c r="T12" s="701" t="s">
        <v>18</v>
      </c>
      <c r="U12" s="702">
        <f t="shared" si="1"/>
        <v>100</v>
      </c>
      <c r="V12" s="701" t="s">
        <v>18</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80"/>
      <c r="Q13" s="1338">
        <f t="shared" si="6"/>
        <v>111</v>
      </c>
      <c r="R13" s="701" t="s">
        <v>18</v>
      </c>
      <c r="S13" s="702">
        <f t="shared" si="0"/>
        <v>100</v>
      </c>
      <c r="T13" s="701" t="s">
        <v>18</v>
      </c>
      <c r="U13" s="702">
        <f t="shared" si="1"/>
        <v>100</v>
      </c>
      <c r="V13" s="701" t="s">
        <v>18</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80"/>
      <c r="Q14" s="1338">
        <f t="shared" si="6"/>
        <v>111</v>
      </c>
      <c r="R14" s="701" t="s">
        <v>18</v>
      </c>
      <c r="S14" s="702">
        <f t="shared" si="0"/>
        <v>100</v>
      </c>
      <c r="T14" s="701" t="s">
        <v>18</v>
      </c>
      <c r="U14" s="702">
        <f t="shared" si="1"/>
        <v>100</v>
      </c>
      <c r="V14" s="701" t="s">
        <v>18</v>
      </c>
      <c r="W14" s="702">
        <f t="shared" si="2"/>
        <v>100</v>
      </c>
      <c r="X14" s="703"/>
      <c r="Y14" s="3691"/>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7" t="s">
        <v>1691</v>
      </c>
      <c r="Q15" s="1347" t="str">
        <f t="shared" si="6"/>
        <v>居住社区成熟度</v>
      </c>
      <c r="R15" s="705" t="s">
        <v>18</v>
      </c>
      <c r="S15" s="706">
        <f t="shared" si="0"/>
        <v>100</v>
      </c>
      <c r="T15" s="705" t="s">
        <v>18</v>
      </c>
      <c r="U15" s="706">
        <f t="shared" si="1"/>
        <v>100</v>
      </c>
      <c r="V15" s="705" t="s">
        <v>18</v>
      </c>
      <c r="W15" s="706">
        <f t="shared" si="2"/>
        <v>100</v>
      </c>
      <c r="X15" s="1350"/>
      <c r="Y15" s="3800"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808"/>
      <c r="Q16" s="1347"/>
      <c r="R16" s="705"/>
      <c r="S16" s="706"/>
      <c r="T16" s="705"/>
      <c r="U16" s="706"/>
      <c r="V16" s="705"/>
      <c r="W16" s="706"/>
      <c r="X16" s="1350"/>
      <c r="Y16" s="3801"/>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08"/>
      <c r="Q17" s="1347" t="str">
        <f>B17</f>
        <v>交通便捷度</v>
      </c>
      <c r="R17" s="705" t="s">
        <v>18</v>
      </c>
      <c r="S17" s="706">
        <f>F17</f>
        <v>100</v>
      </c>
      <c r="T17" s="705" t="s">
        <v>18</v>
      </c>
      <c r="U17" s="706">
        <f>H17</f>
        <v>100</v>
      </c>
      <c r="V17" s="705" t="s">
        <v>18</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808"/>
      <c r="Q18" s="1347"/>
      <c r="R18" s="705"/>
      <c r="S18" s="706"/>
      <c r="T18" s="705"/>
      <c r="U18" s="706"/>
      <c r="V18" s="705"/>
      <c r="W18" s="706"/>
      <c r="X18" s="1350"/>
      <c r="Y18" s="3801"/>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08"/>
      <c r="Q19" s="1347" t="str">
        <f>B19</f>
        <v>公共配套设施</v>
      </c>
      <c r="R19" s="705" t="s">
        <v>18</v>
      </c>
      <c r="S19" s="706">
        <f>F19</f>
        <v>100</v>
      </c>
      <c r="T19" s="705" t="s">
        <v>18</v>
      </c>
      <c r="U19" s="706">
        <f>H19</f>
        <v>100</v>
      </c>
      <c r="V19" s="705" t="s">
        <v>18</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808"/>
      <c r="Q20" s="1347"/>
      <c r="R20" s="705"/>
      <c r="S20" s="706"/>
      <c r="T20" s="705"/>
      <c r="U20" s="706"/>
      <c r="V20" s="705"/>
      <c r="W20" s="706"/>
      <c r="X20" s="1350"/>
      <c r="Y20" s="3801"/>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808"/>
      <c r="Q22" s="1347"/>
      <c r="R22" s="705"/>
      <c r="S22" s="706"/>
      <c r="T22" s="705"/>
      <c r="U22" s="706"/>
      <c r="V22" s="705"/>
      <c r="W22" s="706"/>
      <c r="X22" s="1350"/>
      <c r="Y22" s="3801"/>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08"/>
      <c r="Q23" s="1347" t="str">
        <f>B23</f>
        <v>自然及人文环境</v>
      </c>
      <c r="R23" s="705" t="s">
        <v>18</v>
      </c>
      <c r="S23" s="706">
        <f>F23</f>
        <v>100</v>
      </c>
      <c r="T23" s="705" t="s">
        <v>18</v>
      </c>
      <c r="U23" s="706">
        <f>H23</f>
        <v>100</v>
      </c>
      <c r="V23" s="705" t="s">
        <v>18</v>
      </c>
      <c r="W23" s="706">
        <f>J23</f>
        <v>100</v>
      </c>
      <c r="X23" s="1350"/>
      <c r="Y23" s="380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808"/>
      <c r="Q24" s="1347"/>
      <c r="R24" s="705"/>
      <c r="S24" s="706"/>
      <c r="T24" s="705"/>
      <c r="U24" s="706"/>
      <c r="V24" s="705"/>
      <c r="W24" s="706"/>
      <c r="X24" s="1350"/>
      <c r="Y24" s="3801"/>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808"/>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801"/>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808"/>
      <c r="Q26" s="1347" t="str">
        <f t="shared" si="11"/>
        <v>朝向</v>
      </c>
      <c r="R26" s="705" t="s">
        <v>18</v>
      </c>
      <c r="S26" s="706">
        <f t="shared" si="12"/>
        <v>100</v>
      </c>
      <c r="T26" s="705" t="s">
        <v>18</v>
      </c>
      <c r="U26" s="706">
        <f t="shared" si="13"/>
        <v>100</v>
      </c>
      <c r="V26" s="705" t="s">
        <v>18</v>
      </c>
      <c r="W26" s="706">
        <f t="shared" si="14"/>
        <v>100</v>
      </c>
      <c r="X26" s="1350"/>
      <c r="Y26" s="3801"/>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808"/>
      <c r="Q27" s="1338">
        <f t="shared" si="11"/>
        <v>111</v>
      </c>
      <c r="R27" s="701" t="s">
        <v>18</v>
      </c>
      <c r="S27" s="702">
        <f t="shared" si="12"/>
        <v>100</v>
      </c>
      <c r="T27" s="701" t="s">
        <v>18</v>
      </c>
      <c r="U27" s="702">
        <f t="shared" si="13"/>
        <v>100</v>
      </c>
      <c r="V27" s="701" t="s">
        <v>18</v>
      </c>
      <c r="W27" s="702">
        <f t="shared" si="14"/>
        <v>100</v>
      </c>
      <c r="X27" s="703"/>
      <c r="Y27" s="3801"/>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808"/>
      <c r="Q28" s="1347">
        <f t="shared" si="11"/>
        <v>111</v>
      </c>
      <c r="R28" s="705" t="s">
        <v>18</v>
      </c>
      <c r="S28" s="706">
        <f t="shared" si="12"/>
        <v>100</v>
      </c>
      <c r="T28" s="705" t="s">
        <v>18</v>
      </c>
      <c r="U28" s="706">
        <f t="shared" si="13"/>
        <v>100</v>
      </c>
      <c r="V28" s="705" t="s">
        <v>18</v>
      </c>
      <c r="W28" s="706">
        <f t="shared" si="14"/>
        <v>100</v>
      </c>
      <c r="X28" s="1350"/>
      <c r="Y28" s="3801"/>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808"/>
      <c r="Q29" s="1347">
        <f t="shared" si="11"/>
        <v>111</v>
      </c>
      <c r="R29" s="705" t="s">
        <v>18</v>
      </c>
      <c r="S29" s="706">
        <f t="shared" si="12"/>
        <v>100</v>
      </c>
      <c r="T29" s="705" t="s">
        <v>18</v>
      </c>
      <c r="U29" s="706">
        <f t="shared" si="13"/>
        <v>100</v>
      </c>
      <c r="V29" s="705" t="s">
        <v>18</v>
      </c>
      <c r="W29" s="706">
        <f t="shared" si="14"/>
        <v>100</v>
      </c>
      <c r="X29" s="1350"/>
      <c r="Y29" s="3801"/>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808"/>
      <c r="Q30" s="1347">
        <f t="shared" si="11"/>
        <v>111</v>
      </c>
      <c r="R30" s="705" t="s">
        <v>18</v>
      </c>
      <c r="S30" s="706">
        <f t="shared" si="12"/>
        <v>100</v>
      </c>
      <c r="T30" s="705" t="s">
        <v>18</v>
      </c>
      <c r="U30" s="706">
        <f t="shared" si="13"/>
        <v>100</v>
      </c>
      <c r="V30" s="705" t="s">
        <v>18</v>
      </c>
      <c r="W30" s="706">
        <f t="shared" si="14"/>
        <v>100</v>
      </c>
      <c r="X30" s="1350"/>
      <c r="Y30" s="3801"/>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808"/>
      <c r="Q31" s="1347">
        <f t="shared" si="11"/>
        <v>111</v>
      </c>
      <c r="R31" s="705" t="s">
        <v>18</v>
      </c>
      <c r="S31" s="706">
        <f t="shared" si="12"/>
        <v>100</v>
      </c>
      <c r="T31" s="705" t="s">
        <v>18</v>
      </c>
      <c r="U31" s="706">
        <f t="shared" si="13"/>
        <v>100</v>
      </c>
      <c r="V31" s="705" t="s">
        <v>18</v>
      </c>
      <c r="W31" s="706">
        <f t="shared" si="14"/>
        <v>100</v>
      </c>
      <c r="X31" s="1350"/>
      <c r="Y31" s="3801"/>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802" t="s">
        <v>1696</v>
      </c>
      <c r="Q32" s="1347" t="str">
        <f t="shared" si="11"/>
        <v>建筑类型</v>
      </c>
      <c r="R32" s="705" t="s">
        <v>18</v>
      </c>
      <c r="S32" s="706">
        <f t="shared" si="12"/>
        <v>100</v>
      </c>
      <c r="T32" s="705" t="s">
        <v>18</v>
      </c>
      <c r="U32" s="706">
        <f t="shared" si="13"/>
        <v>100</v>
      </c>
      <c r="V32" s="705" t="s">
        <v>18</v>
      </c>
      <c r="W32" s="706">
        <f t="shared" si="14"/>
        <v>100</v>
      </c>
      <c r="X32" s="1350"/>
      <c r="Y32" s="3805"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803"/>
      <c r="Q33" s="707" t="str">
        <f t="shared" si="11"/>
        <v>项目建筑规模</v>
      </c>
      <c r="R33" s="708" t="s">
        <v>18</v>
      </c>
      <c r="S33" s="709" t="e">
        <f t="shared" si="12"/>
        <v>#N/A</v>
      </c>
      <c r="T33" s="708" t="s">
        <v>18</v>
      </c>
      <c r="U33" s="709" t="e">
        <f t="shared" si="13"/>
        <v>#N/A</v>
      </c>
      <c r="V33" s="708" t="s">
        <v>18</v>
      </c>
      <c r="W33" s="709" t="e">
        <f t="shared" si="14"/>
        <v>#N/A</v>
      </c>
      <c r="X33" s="710"/>
      <c r="Y33" s="3805"/>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803"/>
      <c r="Q34" s="1347" t="str">
        <f t="shared" si="11"/>
        <v>建筑结构</v>
      </c>
      <c r="R34" s="705" t="s">
        <v>18</v>
      </c>
      <c r="S34" s="706">
        <f t="shared" si="12"/>
        <v>100</v>
      </c>
      <c r="T34" s="705" t="s">
        <v>18</v>
      </c>
      <c r="U34" s="706">
        <f t="shared" si="13"/>
        <v>100</v>
      </c>
      <c r="V34" s="705" t="s">
        <v>18</v>
      </c>
      <c r="W34" s="706">
        <f t="shared" si="14"/>
        <v>100</v>
      </c>
      <c r="X34" s="1350"/>
      <c r="Y34" s="3805"/>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803"/>
      <c r="Q35" s="1347" t="str">
        <f t="shared" si="11"/>
        <v>建筑品质</v>
      </c>
      <c r="R35" s="705" t="s">
        <v>18</v>
      </c>
      <c r="S35" s="706">
        <f t="shared" si="12"/>
        <v>100</v>
      </c>
      <c r="T35" s="705" t="s">
        <v>18</v>
      </c>
      <c r="U35" s="706">
        <f t="shared" si="13"/>
        <v>100</v>
      </c>
      <c r="V35" s="705" t="s">
        <v>18</v>
      </c>
      <c r="W35" s="706">
        <f t="shared" si="14"/>
        <v>100</v>
      </c>
      <c r="X35" s="1350"/>
      <c r="Y35" s="3805"/>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803"/>
      <c r="Q36" s="1347" t="str">
        <f t="shared" si="11"/>
        <v>公共部分装修</v>
      </c>
      <c r="R36" s="705" t="s">
        <v>18</v>
      </c>
      <c r="S36" s="706">
        <f t="shared" si="12"/>
        <v>100</v>
      </c>
      <c r="T36" s="705" t="s">
        <v>18</v>
      </c>
      <c r="U36" s="706">
        <f t="shared" si="13"/>
        <v>100</v>
      </c>
      <c r="V36" s="705" t="s">
        <v>18</v>
      </c>
      <c r="W36" s="706">
        <f t="shared" si="14"/>
        <v>100</v>
      </c>
      <c r="X36" s="1350"/>
      <c r="Y36" s="3805"/>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03"/>
      <c r="Q37" s="1338" t="str">
        <f t="shared" si="11"/>
        <v>成新度</v>
      </c>
      <c r="R37" s="701" t="s">
        <v>18</v>
      </c>
      <c r="S37" s="702" t="e">
        <f t="shared" si="12"/>
        <v>#N/A</v>
      </c>
      <c r="T37" s="701" t="s">
        <v>18</v>
      </c>
      <c r="U37" s="702" t="e">
        <f t="shared" si="13"/>
        <v>#N/A</v>
      </c>
      <c r="V37" s="701" t="s">
        <v>18</v>
      </c>
      <c r="W37" s="702" t="e">
        <f t="shared" si="14"/>
        <v>#N/A</v>
      </c>
      <c r="X37" s="703"/>
      <c r="Y37" s="3805"/>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803" t="s">
        <v>1696</v>
      </c>
      <c r="Q38" s="1347" t="str">
        <f t="shared" si="11"/>
        <v>物业管理</v>
      </c>
      <c r="R38" s="705" t="s">
        <v>18</v>
      </c>
      <c r="S38" s="706">
        <f t="shared" si="12"/>
        <v>100</v>
      </c>
      <c r="T38" s="705" t="s">
        <v>18</v>
      </c>
      <c r="U38" s="706">
        <f t="shared" si="13"/>
        <v>100</v>
      </c>
      <c r="V38" s="705" t="s">
        <v>18</v>
      </c>
      <c r="W38" s="706">
        <f t="shared" si="14"/>
        <v>100</v>
      </c>
      <c r="X38" s="1350"/>
      <c r="Y38" s="3805"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803"/>
      <c r="Q39" s="1347" t="str">
        <f t="shared" si="11"/>
        <v>市政基础设施</v>
      </c>
      <c r="R39" s="705" t="s">
        <v>18</v>
      </c>
      <c r="S39" s="706">
        <f t="shared" si="12"/>
        <v>100</v>
      </c>
      <c r="T39" s="705" t="s">
        <v>18</v>
      </c>
      <c r="U39" s="706">
        <f t="shared" si="13"/>
        <v>100</v>
      </c>
      <c r="V39" s="705" t="s">
        <v>18</v>
      </c>
      <c r="W39" s="706">
        <f t="shared" si="14"/>
        <v>100</v>
      </c>
      <c r="X39" s="1350"/>
      <c r="Y39" s="3805"/>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803"/>
      <c r="Q40" s="1347" t="str">
        <f t="shared" si="11"/>
        <v>房型</v>
      </c>
      <c r="R40" s="705" t="s">
        <v>18</v>
      </c>
      <c r="S40" s="706">
        <f t="shared" si="12"/>
        <v>100</v>
      </c>
      <c r="T40" s="705" t="s">
        <v>18</v>
      </c>
      <c r="U40" s="706">
        <f t="shared" si="13"/>
        <v>100</v>
      </c>
      <c r="V40" s="705" t="s">
        <v>18</v>
      </c>
      <c r="W40" s="706">
        <f t="shared" si="14"/>
        <v>100</v>
      </c>
      <c r="X40" s="1350"/>
      <c r="Y40" s="3805"/>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803"/>
      <c r="Q41" s="707" t="str">
        <f t="shared" si="11"/>
        <v>单套/主力户型建筑面积</v>
      </c>
      <c r="R41" s="708" t="s">
        <v>18</v>
      </c>
      <c r="S41" s="709">
        <f t="shared" si="12"/>
        <v>100</v>
      </c>
      <c r="T41" s="708" t="s">
        <v>18</v>
      </c>
      <c r="U41" s="709">
        <f t="shared" si="13"/>
        <v>100</v>
      </c>
      <c r="V41" s="708" t="s">
        <v>18</v>
      </c>
      <c r="W41" s="709">
        <f t="shared" si="14"/>
        <v>100</v>
      </c>
      <c r="X41" s="710"/>
      <c r="Y41" s="3805"/>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803"/>
      <c r="Q42" s="1347" t="str">
        <f t="shared" si="11"/>
        <v>内部装修</v>
      </c>
      <c r="R42" s="705" t="s">
        <v>18</v>
      </c>
      <c r="S42" s="706">
        <f t="shared" si="12"/>
        <v>100</v>
      </c>
      <c r="T42" s="705" t="s">
        <v>18</v>
      </c>
      <c r="U42" s="706">
        <f t="shared" si="13"/>
        <v>100</v>
      </c>
      <c r="V42" s="705" t="s">
        <v>18</v>
      </c>
      <c r="W42" s="706">
        <f t="shared" si="14"/>
        <v>100</v>
      </c>
      <c r="X42" s="1350"/>
      <c r="Y42" s="3805"/>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803"/>
      <c r="Q43" s="1347" t="str">
        <f t="shared" si="11"/>
        <v>内部装修维护情况</v>
      </c>
      <c r="R43" s="705" t="s">
        <v>18</v>
      </c>
      <c r="S43" s="706">
        <f t="shared" si="12"/>
        <v>100</v>
      </c>
      <c r="T43" s="705" t="s">
        <v>18</v>
      </c>
      <c r="U43" s="706">
        <f t="shared" si="13"/>
        <v>100</v>
      </c>
      <c r="V43" s="705" t="s">
        <v>18</v>
      </c>
      <c r="W43" s="706">
        <f t="shared" si="14"/>
        <v>100</v>
      </c>
      <c r="X43" s="1350"/>
      <c r="Y43" s="3805"/>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803"/>
      <c r="Q44" s="1338">
        <f t="shared" si="11"/>
        <v>111</v>
      </c>
      <c r="R44" s="701" t="s">
        <v>18</v>
      </c>
      <c r="S44" s="702">
        <f t="shared" si="12"/>
        <v>100</v>
      </c>
      <c r="T44" s="701" t="s">
        <v>18</v>
      </c>
      <c r="U44" s="702">
        <f t="shared" si="13"/>
        <v>100</v>
      </c>
      <c r="V44" s="701" t="s">
        <v>18</v>
      </c>
      <c r="W44" s="702">
        <f t="shared" si="14"/>
        <v>100</v>
      </c>
      <c r="X44" s="703"/>
      <c r="Y44" s="3805"/>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803"/>
      <c r="Q45" s="1347">
        <f t="shared" si="11"/>
        <v>111</v>
      </c>
      <c r="R45" s="705" t="s">
        <v>18</v>
      </c>
      <c r="S45" s="706">
        <f t="shared" si="12"/>
        <v>100</v>
      </c>
      <c r="T45" s="705" t="s">
        <v>18</v>
      </c>
      <c r="U45" s="706">
        <f t="shared" si="13"/>
        <v>100</v>
      </c>
      <c r="V45" s="705" t="s">
        <v>18</v>
      </c>
      <c r="W45" s="706">
        <f t="shared" si="14"/>
        <v>100</v>
      </c>
      <c r="X45" s="1350"/>
      <c r="Y45" s="3805"/>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804"/>
      <c r="Q46" s="1347">
        <f t="shared" si="11"/>
        <v>111</v>
      </c>
      <c r="R46" s="705" t="s">
        <v>17</v>
      </c>
      <c r="S46" s="706">
        <f t="shared" si="12"/>
        <v>100</v>
      </c>
      <c r="T46" s="705" t="s">
        <v>17</v>
      </c>
      <c r="U46" s="706">
        <f t="shared" si="13"/>
        <v>100</v>
      </c>
      <c r="V46" s="705" t="s">
        <v>17</v>
      </c>
      <c r="W46" s="706">
        <f t="shared" si="14"/>
        <v>100</v>
      </c>
      <c r="X46" s="1350"/>
      <c r="Y46" s="3806"/>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798" t="str">
        <f>A47</f>
        <v>成交单价（元/平方米）</v>
      </c>
      <c r="Q47" s="3798"/>
      <c r="R47" s="3799">
        <f>E47</f>
        <v>0</v>
      </c>
      <c r="S47" s="3799"/>
      <c r="T47" s="3799">
        <f>G47</f>
        <v>0</v>
      </c>
      <c r="U47" s="3799"/>
      <c r="V47" s="3799">
        <f>I47</f>
        <v>0</v>
      </c>
      <c r="W47" s="3799"/>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78855.130000000063</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93"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93"/>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93"/>
      <c r="AC6" s="3765"/>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80"/>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80"/>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80"/>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80"/>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7" t="s">
        <v>1691</v>
      </c>
      <c r="Q15" s="1347" t="str">
        <f t="shared" si="6"/>
        <v>商业繁华度</v>
      </c>
      <c r="R15" s="705" t="s">
        <v>14</v>
      </c>
      <c r="S15" s="706">
        <f t="shared" si="0"/>
        <v>100</v>
      </c>
      <c r="T15" s="705" t="s">
        <v>14</v>
      </c>
      <c r="U15" s="706">
        <f t="shared" si="1"/>
        <v>100</v>
      </c>
      <c r="V15" s="705" t="s">
        <v>14</v>
      </c>
      <c r="W15" s="706">
        <f t="shared" si="2"/>
        <v>100</v>
      </c>
      <c r="X15" s="1350"/>
      <c r="Y15" s="3800"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808"/>
      <c r="Q16" s="1347"/>
      <c r="R16" s="705"/>
      <c r="S16" s="706"/>
      <c r="T16" s="705"/>
      <c r="U16" s="706"/>
      <c r="V16" s="705"/>
      <c r="W16" s="706"/>
      <c r="X16" s="1350"/>
      <c r="Y16" s="3801"/>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08"/>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808"/>
      <c r="Q18" s="1347"/>
      <c r="R18" s="705"/>
      <c r="S18" s="706"/>
      <c r="T18" s="705"/>
      <c r="U18" s="706"/>
      <c r="V18" s="705"/>
      <c r="W18" s="706"/>
      <c r="X18" s="1350"/>
      <c r="Y18" s="3801"/>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08"/>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808"/>
      <c r="Q20" s="1347"/>
      <c r="R20" s="705"/>
      <c r="S20" s="706"/>
      <c r="T20" s="705"/>
      <c r="U20" s="706"/>
      <c r="V20" s="705"/>
      <c r="W20" s="706"/>
      <c r="X20" s="1350"/>
      <c r="Y20" s="3801"/>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808"/>
      <c r="Q22" s="1347"/>
      <c r="R22" s="705"/>
      <c r="S22" s="706"/>
      <c r="T22" s="705"/>
      <c r="U22" s="706"/>
      <c r="V22" s="705"/>
      <c r="W22" s="706"/>
      <c r="X22" s="1350"/>
      <c r="Y22" s="3801"/>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08"/>
      <c r="Q23" s="1347" t="str">
        <f>B23</f>
        <v>自然及人文环境</v>
      </c>
      <c r="R23" s="705" t="s">
        <v>14</v>
      </c>
      <c r="S23" s="706">
        <f>F23</f>
        <v>100</v>
      </c>
      <c r="T23" s="705" t="s">
        <v>14</v>
      </c>
      <c r="U23" s="706">
        <f>H23</f>
        <v>100</v>
      </c>
      <c r="V23" s="705" t="s">
        <v>14</v>
      </c>
      <c r="W23" s="706">
        <f>J23</f>
        <v>100</v>
      </c>
      <c r="X23" s="1350"/>
      <c r="Y23" s="3801"/>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808"/>
      <c r="Q24" s="1347"/>
      <c r="R24" s="705"/>
      <c r="S24" s="706"/>
      <c r="T24" s="705"/>
      <c r="U24" s="706"/>
      <c r="V24" s="705"/>
      <c r="W24" s="706"/>
      <c r="X24" s="1350"/>
      <c r="Y24" s="3801"/>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08"/>
      <c r="Q25" s="1347" t="str">
        <f t="shared" ref="Q25:Q46" si="11">B25</f>
        <v>临街状况</v>
      </c>
      <c r="R25" s="705" t="s">
        <v>14</v>
      </c>
      <c r="S25" s="706">
        <f>F25</f>
        <v>100</v>
      </c>
      <c r="T25" s="705" t="s">
        <v>14</v>
      </c>
      <c r="U25" s="706">
        <f>H25</f>
        <v>100</v>
      </c>
      <c r="V25" s="705" t="s">
        <v>14</v>
      </c>
      <c r="W25" s="706">
        <f>J25</f>
        <v>100</v>
      </c>
      <c r="X25" s="1350"/>
      <c r="Y25" s="3801"/>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8"/>
      <c r="Q26" s="1347" t="str">
        <f t="shared" si="11"/>
        <v>平面位置/可视性</v>
      </c>
      <c r="R26" s="705" t="s">
        <v>14</v>
      </c>
      <c r="S26" s="706">
        <f>F26</f>
        <v>100</v>
      </c>
      <c r="T26" s="705" t="s">
        <v>14</v>
      </c>
      <c r="U26" s="706">
        <f>H26</f>
        <v>100</v>
      </c>
      <c r="V26" s="705" t="s">
        <v>14</v>
      </c>
      <c r="W26" s="706">
        <f>J26</f>
        <v>100</v>
      </c>
      <c r="X26" s="1350"/>
      <c r="Y26" s="3801"/>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808"/>
      <c r="Q27" s="1338" t="str">
        <f t="shared" si="11"/>
        <v>人流量</v>
      </c>
      <c r="R27" s="701" t="s">
        <v>14</v>
      </c>
      <c r="S27" s="702">
        <f>F27</f>
        <v>100</v>
      </c>
      <c r="T27" s="701" t="s">
        <v>14</v>
      </c>
      <c r="U27" s="702">
        <f>H27</f>
        <v>100</v>
      </c>
      <c r="V27" s="701" t="s">
        <v>14</v>
      </c>
      <c r="W27" s="702">
        <f>J27</f>
        <v>100</v>
      </c>
      <c r="X27" s="703"/>
      <c r="Y27" s="3801"/>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8"/>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801"/>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8"/>
      <c r="Q29" s="1347">
        <f t="shared" si="11"/>
        <v>111</v>
      </c>
      <c r="R29" s="705" t="s">
        <v>14</v>
      </c>
      <c r="S29" s="706">
        <f t="shared" si="12"/>
        <v>100</v>
      </c>
      <c r="T29" s="705" t="s">
        <v>14</v>
      </c>
      <c r="U29" s="706">
        <f t="shared" si="13"/>
        <v>100</v>
      </c>
      <c r="V29" s="705" t="s">
        <v>14</v>
      </c>
      <c r="W29" s="706">
        <f t="shared" si="14"/>
        <v>100</v>
      </c>
      <c r="X29" s="1350"/>
      <c r="Y29" s="3801"/>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8"/>
      <c r="Q30" s="1347">
        <f t="shared" si="11"/>
        <v>111</v>
      </c>
      <c r="R30" s="705" t="s">
        <v>14</v>
      </c>
      <c r="S30" s="706">
        <f t="shared" si="12"/>
        <v>100</v>
      </c>
      <c r="T30" s="705" t="s">
        <v>14</v>
      </c>
      <c r="U30" s="706">
        <f t="shared" si="13"/>
        <v>100</v>
      </c>
      <c r="V30" s="705" t="s">
        <v>14</v>
      </c>
      <c r="W30" s="706">
        <f t="shared" si="14"/>
        <v>100</v>
      </c>
      <c r="X30" s="1350"/>
      <c r="Y30" s="3801"/>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8"/>
      <c r="Q31" s="1347">
        <f t="shared" si="11"/>
        <v>111</v>
      </c>
      <c r="R31" s="705" t="s">
        <v>14</v>
      </c>
      <c r="S31" s="706">
        <f t="shared" si="12"/>
        <v>100</v>
      </c>
      <c r="T31" s="705" t="s">
        <v>14</v>
      </c>
      <c r="U31" s="706">
        <f t="shared" si="13"/>
        <v>100</v>
      </c>
      <c r="V31" s="705" t="s">
        <v>14</v>
      </c>
      <c r="W31" s="706">
        <f t="shared" si="14"/>
        <v>100</v>
      </c>
      <c r="X31" s="1350"/>
      <c r="Y31" s="3801"/>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802" t="s">
        <v>1696</v>
      </c>
      <c r="Q32" s="1347" t="str">
        <f t="shared" si="11"/>
        <v>商业类型</v>
      </c>
      <c r="R32" s="705" t="s">
        <v>14</v>
      </c>
      <c r="S32" s="706">
        <f t="shared" si="12"/>
        <v>100</v>
      </c>
      <c r="T32" s="705" t="s">
        <v>14</v>
      </c>
      <c r="U32" s="706">
        <f t="shared" si="13"/>
        <v>100</v>
      </c>
      <c r="V32" s="705" t="s">
        <v>14</v>
      </c>
      <c r="W32" s="706">
        <f t="shared" si="14"/>
        <v>100</v>
      </c>
      <c r="X32" s="1350"/>
      <c r="Y32" s="3805"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03"/>
      <c r="Q33" s="707" t="str">
        <f t="shared" si="11"/>
        <v>项目建筑规模</v>
      </c>
      <c r="R33" s="708" t="s">
        <v>14</v>
      </c>
      <c r="S33" s="709" t="e">
        <f t="shared" si="12"/>
        <v>#N/A</v>
      </c>
      <c r="T33" s="708" t="s">
        <v>14</v>
      </c>
      <c r="U33" s="709" t="e">
        <f t="shared" si="13"/>
        <v>#N/A</v>
      </c>
      <c r="V33" s="708" t="s">
        <v>14</v>
      </c>
      <c r="W33" s="709" t="e">
        <f t="shared" si="14"/>
        <v>#N/A</v>
      </c>
      <c r="X33" s="710"/>
      <c r="Y33" s="3805"/>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803"/>
      <c r="Q34" s="1347" t="str">
        <f t="shared" si="11"/>
        <v>建筑结构</v>
      </c>
      <c r="R34" s="705" t="s">
        <v>14</v>
      </c>
      <c r="S34" s="706">
        <f t="shared" si="12"/>
        <v>100</v>
      </c>
      <c r="T34" s="705" t="s">
        <v>14</v>
      </c>
      <c r="U34" s="706">
        <f t="shared" si="13"/>
        <v>100</v>
      </c>
      <c r="V34" s="705" t="s">
        <v>14</v>
      </c>
      <c r="W34" s="706">
        <f t="shared" si="14"/>
        <v>100</v>
      </c>
      <c r="X34" s="1350"/>
      <c r="Y34" s="3805"/>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803"/>
      <c r="Q35" s="1347" t="str">
        <f t="shared" si="11"/>
        <v>公共部分装修</v>
      </c>
      <c r="R35" s="705" t="s">
        <v>14</v>
      </c>
      <c r="S35" s="706">
        <f t="shared" si="12"/>
        <v>100</v>
      </c>
      <c r="T35" s="705" t="s">
        <v>14</v>
      </c>
      <c r="U35" s="706">
        <f t="shared" si="13"/>
        <v>100</v>
      </c>
      <c r="V35" s="705" t="s">
        <v>14</v>
      </c>
      <c r="W35" s="706">
        <f t="shared" si="14"/>
        <v>100</v>
      </c>
      <c r="X35" s="1350"/>
      <c r="Y35" s="3805"/>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03"/>
      <c r="Q36" s="1347" t="str">
        <f t="shared" si="11"/>
        <v>成新度</v>
      </c>
      <c r="R36" s="705" t="s">
        <v>14</v>
      </c>
      <c r="S36" s="706" t="e">
        <f t="shared" si="12"/>
        <v>#N/A</v>
      </c>
      <c r="T36" s="705" t="s">
        <v>14</v>
      </c>
      <c r="U36" s="706" t="e">
        <f t="shared" si="13"/>
        <v>#N/A</v>
      </c>
      <c r="V36" s="705" t="s">
        <v>14</v>
      </c>
      <c r="W36" s="706" t="e">
        <f t="shared" si="14"/>
        <v>#N/A</v>
      </c>
      <c r="X36" s="1350"/>
      <c r="Y36" s="3805"/>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803"/>
      <c r="Q37" s="1338" t="str">
        <f t="shared" si="11"/>
        <v>市政基础设施</v>
      </c>
      <c r="R37" s="701" t="s">
        <v>14</v>
      </c>
      <c r="S37" s="702">
        <f t="shared" si="12"/>
        <v>100</v>
      </c>
      <c r="T37" s="701" t="s">
        <v>14</v>
      </c>
      <c r="U37" s="702">
        <f t="shared" si="13"/>
        <v>100</v>
      </c>
      <c r="V37" s="701" t="s">
        <v>14</v>
      </c>
      <c r="W37" s="702">
        <f t="shared" si="14"/>
        <v>100</v>
      </c>
      <c r="X37" s="703"/>
      <c r="Y37" s="3805"/>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803" t="s">
        <v>1696</v>
      </c>
      <c r="Q38" s="1347" t="str">
        <f t="shared" si="11"/>
        <v>业态</v>
      </c>
      <c r="R38" s="705" t="s">
        <v>14</v>
      </c>
      <c r="S38" s="706">
        <f t="shared" si="12"/>
        <v>100</v>
      </c>
      <c r="T38" s="705" t="s">
        <v>14</v>
      </c>
      <c r="U38" s="706">
        <f t="shared" si="13"/>
        <v>100</v>
      </c>
      <c r="V38" s="705" t="s">
        <v>14</v>
      </c>
      <c r="W38" s="706">
        <f t="shared" si="14"/>
        <v>100</v>
      </c>
      <c r="X38" s="1350"/>
      <c r="Y38" s="3805"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803"/>
      <c r="Q39" s="1347" t="str">
        <f t="shared" si="11"/>
        <v>层高</v>
      </c>
      <c r="R39" s="705" t="s">
        <v>14</v>
      </c>
      <c r="S39" s="706">
        <f t="shared" si="12"/>
        <v>100</v>
      </c>
      <c r="T39" s="705" t="s">
        <v>14</v>
      </c>
      <c r="U39" s="706">
        <f t="shared" si="13"/>
        <v>100</v>
      </c>
      <c r="V39" s="705" t="s">
        <v>14</v>
      </c>
      <c r="W39" s="706">
        <f t="shared" si="14"/>
        <v>100</v>
      </c>
      <c r="X39" s="1350"/>
      <c r="Y39" s="3805"/>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03"/>
      <c r="Q40" s="1347" t="str">
        <f t="shared" si="11"/>
        <v>单套建筑面积</v>
      </c>
      <c r="R40" s="705" t="s">
        <v>14</v>
      </c>
      <c r="S40" s="706">
        <f t="shared" si="12"/>
        <v>100</v>
      </c>
      <c r="T40" s="705" t="s">
        <v>14</v>
      </c>
      <c r="U40" s="706">
        <f t="shared" si="13"/>
        <v>100</v>
      </c>
      <c r="V40" s="705" t="s">
        <v>14</v>
      </c>
      <c r="W40" s="706">
        <f t="shared" si="14"/>
        <v>100</v>
      </c>
      <c r="X40" s="1350"/>
      <c r="Y40" s="3805"/>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03"/>
      <c r="Q41" s="707" t="str">
        <f t="shared" si="11"/>
        <v>进深比</v>
      </c>
      <c r="R41" s="708" t="s">
        <v>14</v>
      </c>
      <c r="S41" s="709">
        <f t="shared" si="12"/>
        <v>100</v>
      </c>
      <c r="T41" s="708" t="s">
        <v>14</v>
      </c>
      <c r="U41" s="709">
        <f t="shared" si="13"/>
        <v>100</v>
      </c>
      <c r="V41" s="708" t="s">
        <v>14</v>
      </c>
      <c r="W41" s="709">
        <f t="shared" si="14"/>
        <v>100</v>
      </c>
      <c r="X41" s="710"/>
      <c r="Y41" s="3805"/>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803"/>
      <c r="Q42" s="1347" t="str">
        <f t="shared" si="11"/>
        <v>内部装修</v>
      </c>
      <c r="R42" s="705" t="s">
        <v>14</v>
      </c>
      <c r="S42" s="706">
        <f t="shared" si="12"/>
        <v>100</v>
      </c>
      <c r="T42" s="705" t="s">
        <v>14</v>
      </c>
      <c r="U42" s="706">
        <f t="shared" si="13"/>
        <v>100</v>
      </c>
      <c r="V42" s="705" t="s">
        <v>14</v>
      </c>
      <c r="W42" s="706">
        <f t="shared" si="14"/>
        <v>100</v>
      </c>
      <c r="X42" s="1350"/>
      <c r="Y42" s="3805"/>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803"/>
      <c r="Q43" s="1347" t="str">
        <f t="shared" si="11"/>
        <v>内部装修维护情况</v>
      </c>
      <c r="R43" s="705" t="s">
        <v>14</v>
      </c>
      <c r="S43" s="706">
        <f t="shared" si="12"/>
        <v>100</v>
      </c>
      <c r="T43" s="705" t="s">
        <v>14</v>
      </c>
      <c r="U43" s="706">
        <f t="shared" si="13"/>
        <v>100</v>
      </c>
      <c r="V43" s="705" t="s">
        <v>14</v>
      </c>
      <c r="W43" s="706">
        <f t="shared" si="14"/>
        <v>100</v>
      </c>
      <c r="X43" s="1350"/>
      <c r="Y43" s="3805"/>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3"/>
      <c r="Q44" s="1338">
        <f t="shared" si="11"/>
        <v>111</v>
      </c>
      <c r="R44" s="701" t="s">
        <v>14</v>
      </c>
      <c r="S44" s="702">
        <f t="shared" si="12"/>
        <v>100</v>
      </c>
      <c r="T44" s="701" t="s">
        <v>14</v>
      </c>
      <c r="U44" s="702">
        <f t="shared" si="13"/>
        <v>100</v>
      </c>
      <c r="V44" s="701" t="s">
        <v>14</v>
      </c>
      <c r="W44" s="702">
        <f t="shared" si="14"/>
        <v>100</v>
      </c>
      <c r="X44" s="703"/>
      <c r="Y44" s="3805"/>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3"/>
      <c r="Q45" s="1347">
        <f t="shared" si="11"/>
        <v>111</v>
      </c>
      <c r="R45" s="705" t="s">
        <v>14</v>
      </c>
      <c r="S45" s="706">
        <f t="shared" si="12"/>
        <v>100</v>
      </c>
      <c r="T45" s="705" t="s">
        <v>14</v>
      </c>
      <c r="U45" s="706">
        <f t="shared" si="13"/>
        <v>100</v>
      </c>
      <c r="V45" s="705" t="s">
        <v>14</v>
      </c>
      <c r="W45" s="706">
        <f t="shared" si="14"/>
        <v>100</v>
      </c>
      <c r="X45" s="1350"/>
      <c r="Y45" s="3805"/>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4"/>
      <c r="Q46" s="1347">
        <f t="shared" si="11"/>
        <v>111</v>
      </c>
      <c r="R46" s="705" t="s">
        <v>14</v>
      </c>
      <c r="S46" s="706">
        <f t="shared" si="12"/>
        <v>100</v>
      </c>
      <c r="T46" s="705" t="s">
        <v>14</v>
      </c>
      <c r="U46" s="706">
        <f t="shared" si="13"/>
        <v>100</v>
      </c>
      <c r="V46" s="705" t="s">
        <v>14</v>
      </c>
      <c r="W46" s="706">
        <f t="shared" si="14"/>
        <v>100</v>
      </c>
      <c r="X46" s="1350"/>
      <c r="Y46" s="3806"/>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798" t="str">
        <f>A47</f>
        <v>成交单价（元/平方米）</v>
      </c>
      <c r="Q47" s="3798"/>
      <c r="R47" s="3793">
        <f>E47</f>
        <v>0</v>
      </c>
      <c r="S47" s="3793"/>
      <c r="T47" s="3793">
        <f>G47</f>
        <v>0</v>
      </c>
      <c r="U47" s="3793"/>
      <c r="V47" s="3793">
        <f>I47</f>
        <v>0</v>
      </c>
      <c r="W47" s="3793"/>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78855.130000000063</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815" t="s">
        <v>1775</v>
      </c>
      <c r="Q4" s="3816"/>
      <c r="R4" s="3810" t="s">
        <v>1771</v>
      </c>
      <c r="S4" s="3811"/>
      <c r="T4" s="3810" t="s">
        <v>1772</v>
      </c>
      <c r="U4" s="3811"/>
      <c r="V4" s="3819" t="s">
        <v>1773</v>
      </c>
      <c r="W4" s="3819"/>
      <c r="X4" s="1953"/>
      <c r="Y4" s="3810" t="s">
        <v>1775</v>
      </c>
      <c r="Z4" s="3811"/>
      <c r="AA4" s="3809" t="s">
        <v>1771</v>
      </c>
      <c r="AB4" s="3809" t="s">
        <v>1772</v>
      </c>
      <c r="AC4" s="3812" t="s">
        <v>1773</v>
      </c>
    </row>
    <row r="5" spans="1:29" ht="15">
      <c r="A5" s="358"/>
      <c r="B5" s="359"/>
      <c r="C5" s="3774" t="s">
        <v>1673</v>
      </c>
      <c r="D5" s="3775"/>
      <c r="E5" s="3772" t="s">
        <v>1674</v>
      </c>
      <c r="F5" s="3773"/>
      <c r="G5" s="3774" t="s">
        <v>1675</v>
      </c>
      <c r="H5" s="3775"/>
      <c r="I5" s="3774" t="s">
        <v>1676</v>
      </c>
      <c r="J5" s="3775"/>
      <c r="K5" s="559"/>
      <c r="L5" s="2709"/>
      <c r="M5" s="2710"/>
      <c r="N5" s="2710"/>
      <c r="O5" s="2710"/>
      <c r="P5" s="3817"/>
      <c r="Q5" s="3788"/>
      <c r="R5" s="3770"/>
      <c r="S5" s="3771"/>
      <c r="T5" s="3770"/>
      <c r="U5" s="3771"/>
      <c r="V5" s="3793"/>
      <c r="W5" s="3793"/>
      <c r="X5" s="1350"/>
      <c r="Y5" s="3770"/>
      <c r="Z5" s="3771"/>
      <c r="AA5" s="3764"/>
      <c r="AB5" s="3764"/>
      <c r="AC5" s="3813"/>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818"/>
      <c r="Q6" s="3790"/>
      <c r="R6" s="3770"/>
      <c r="S6" s="3771"/>
      <c r="T6" s="3791"/>
      <c r="U6" s="3792"/>
      <c r="V6" s="3793"/>
      <c r="W6" s="3793"/>
      <c r="X6" s="1350"/>
      <c r="Y6" s="3791"/>
      <c r="Z6" s="3792"/>
      <c r="AA6" s="3765"/>
      <c r="AB6" s="3765"/>
      <c r="AC6" s="3814"/>
    </row>
    <row r="7" spans="1:29" s="108" customFormat="1" ht="15.75" thickBot="1">
      <c r="A7" s="362" t="s">
        <v>1679</v>
      </c>
      <c r="B7" s="363"/>
      <c r="C7" s="364">
        <f>'数据-取费表'!B2</f>
        <v>45477</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20"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20" t="s">
        <v>1683</v>
      </c>
      <c r="Q8" s="3767"/>
      <c r="R8" s="701" t="s">
        <v>14</v>
      </c>
      <c r="S8" s="702">
        <f t="shared" si="0"/>
        <v>100</v>
      </c>
      <c r="T8" s="701" t="s">
        <v>14</v>
      </c>
      <c r="U8" s="702">
        <f t="shared" si="1"/>
        <v>100</v>
      </c>
      <c r="V8" s="701" t="s">
        <v>14</v>
      </c>
      <c r="W8" s="702">
        <f t="shared" si="2"/>
        <v>100</v>
      </c>
      <c r="X8" s="703"/>
      <c r="Y8" s="3766" t="s">
        <v>1683</v>
      </c>
      <c r="Z8" s="3767"/>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80"/>
      <c r="Q11" s="1338"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80"/>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80"/>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80"/>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7" t="s">
        <v>1691</v>
      </c>
      <c r="Q15" s="1347" t="str">
        <f t="shared" si="6"/>
        <v>办公集聚程度</v>
      </c>
      <c r="R15" s="705" t="s">
        <v>14</v>
      </c>
      <c r="S15" s="706">
        <f t="shared" si="0"/>
        <v>100</v>
      </c>
      <c r="T15" s="705" t="s">
        <v>14</v>
      </c>
      <c r="U15" s="706">
        <f t="shared" si="1"/>
        <v>100</v>
      </c>
      <c r="V15" s="705" t="s">
        <v>14</v>
      </c>
      <c r="W15" s="706">
        <f t="shared" si="2"/>
        <v>100</v>
      </c>
      <c r="X15" s="1350"/>
      <c r="Y15" s="3800"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808"/>
      <c r="Q16" s="1347"/>
      <c r="R16" s="705"/>
      <c r="S16" s="706"/>
      <c r="T16" s="705"/>
      <c r="U16" s="706"/>
      <c r="V16" s="705"/>
      <c r="W16" s="706"/>
      <c r="X16" s="1350"/>
      <c r="Y16" s="3801"/>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8"/>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808"/>
      <c r="Q18" s="1347"/>
      <c r="R18" s="705"/>
      <c r="S18" s="706"/>
      <c r="T18" s="705"/>
      <c r="U18" s="706"/>
      <c r="V18" s="705"/>
      <c r="W18" s="706"/>
      <c r="X18" s="1350"/>
      <c r="Y18" s="3801"/>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8"/>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808"/>
      <c r="Q20" s="1347"/>
      <c r="R20" s="705"/>
      <c r="S20" s="706"/>
      <c r="T20" s="705"/>
      <c r="U20" s="706"/>
      <c r="V20" s="705"/>
      <c r="W20" s="706"/>
      <c r="X20" s="1350"/>
      <c r="Y20" s="3801"/>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808"/>
      <c r="Q22" s="1347"/>
      <c r="R22" s="705"/>
      <c r="S22" s="706"/>
      <c r="T22" s="705"/>
      <c r="U22" s="706"/>
      <c r="V22" s="705"/>
      <c r="W22" s="706"/>
      <c r="X22" s="1350"/>
      <c r="Y22" s="3801"/>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8"/>
      <c r="Q23" s="1347" t="str">
        <f>B23</f>
        <v>环境质量</v>
      </c>
      <c r="R23" s="705" t="s">
        <v>14</v>
      </c>
      <c r="S23" s="706">
        <f>F23</f>
        <v>100</v>
      </c>
      <c r="T23" s="705" t="s">
        <v>14</v>
      </c>
      <c r="U23" s="706">
        <f>H23</f>
        <v>100</v>
      </c>
      <c r="V23" s="705" t="s">
        <v>14</v>
      </c>
      <c r="W23" s="706">
        <f>J23</f>
        <v>100</v>
      </c>
      <c r="X23" s="1350"/>
      <c r="Y23" s="3801"/>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808"/>
      <c r="Q24" s="1347"/>
      <c r="R24" s="705"/>
      <c r="S24" s="706"/>
      <c r="T24" s="705"/>
      <c r="U24" s="706"/>
      <c r="V24" s="705"/>
      <c r="W24" s="706"/>
      <c r="X24" s="1350"/>
      <c r="Y24" s="3801"/>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808"/>
      <c r="Q25" s="1347" t="str">
        <f>B25</f>
        <v>毗邻道路的类型与等级</v>
      </c>
      <c r="R25" s="705" t="s">
        <v>14</v>
      </c>
      <c r="S25" s="706">
        <f>F25</f>
        <v>100</v>
      </c>
      <c r="T25" s="705" t="s">
        <v>14</v>
      </c>
      <c r="U25" s="706">
        <f>H25</f>
        <v>100</v>
      </c>
      <c r="V25" s="705" t="s">
        <v>14</v>
      </c>
      <c r="W25" s="706">
        <f>J25</f>
        <v>100</v>
      </c>
      <c r="X25" s="1350"/>
      <c r="Y25" s="3801"/>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808"/>
      <c r="Q26" s="1347"/>
      <c r="R26" s="705"/>
      <c r="S26" s="706"/>
      <c r="T26" s="705"/>
      <c r="U26" s="706"/>
      <c r="V26" s="705"/>
      <c r="W26" s="706"/>
      <c r="X26" s="1350"/>
      <c r="Y26" s="3801"/>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08"/>
      <c r="Q27" s="1347" t="str">
        <f t="shared" ref="Q27:Q47" si="11">B27</f>
        <v>楼层</v>
      </c>
      <c r="R27" s="705" t="s">
        <v>14</v>
      </c>
      <c r="S27" s="706">
        <f>F27</f>
        <v>100</v>
      </c>
      <c r="T27" s="705" t="s">
        <v>14</v>
      </c>
      <c r="U27" s="706">
        <f>H27</f>
        <v>100</v>
      </c>
      <c r="V27" s="705" t="s">
        <v>14</v>
      </c>
      <c r="W27" s="706">
        <f>J27</f>
        <v>100</v>
      </c>
      <c r="X27" s="1350"/>
      <c r="Y27" s="3801"/>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808"/>
      <c r="Q28" s="1338" t="str">
        <f t="shared" si="11"/>
        <v>朝向</v>
      </c>
      <c r="R28" s="701" t="s">
        <v>14</v>
      </c>
      <c r="S28" s="702">
        <f>F28</f>
        <v>100</v>
      </c>
      <c r="T28" s="701" t="s">
        <v>14</v>
      </c>
      <c r="U28" s="702">
        <f>H28</f>
        <v>100</v>
      </c>
      <c r="V28" s="701" t="s">
        <v>14</v>
      </c>
      <c r="W28" s="702">
        <f>J28</f>
        <v>100</v>
      </c>
      <c r="X28" s="703"/>
      <c r="Y28" s="3801"/>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808"/>
      <c r="Q29" s="1347">
        <f t="shared" si="11"/>
        <v>111</v>
      </c>
      <c r="R29" s="705" t="s">
        <v>14</v>
      </c>
      <c r="S29" s="706">
        <f t="shared" ref="S29:S47" si="12">F29</f>
        <v>100</v>
      </c>
      <c r="T29" s="705" t="s">
        <v>14</v>
      </c>
      <c r="U29" s="706">
        <f t="shared" ref="U29:U47" si="13">H29</f>
        <v>100</v>
      </c>
      <c r="V29" s="705" t="s">
        <v>14</v>
      </c>
      <c r="W29" s="706">
        <f t="shared" ref="W29:W47" si="14">J29</f>
        <v>100</v>
      </c>
      <c r="X29" s="1350"/>
      <c r="Y29" s="3801"/>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808"/>
      <c r="Q30" s="1347">
        <f t="shared" si="11"/>
        <v>111</v>
      </c>
      <c r="R30" s="705" t="s">
        <v>14</v>
      </c>
      <c r="S30" s="706">
        <f t="shared" si="12"/>
        <v>100</v>
      </c>
      <c r="T30" s="705" t="s">
        <v>14</v>
      </c>
      <c r="U30" s="706">
        <f t="shared" si="13"/>
        <v>100</v>
      </c>
      <c r="V30" s="705" t="s">
        <v>14</v>
      </c>
      <c r="W30" s="706">
        <f t="shared" si="14"/>
        <v>100</v>
      </c>
      <c r="X30" s="1350"/>
      <c r="Y30" s="3801"/>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808"/>
      <c r="Q31" s="1347">
        <f t="shared" si="11"/>
        <v>111</v>
      </c>
      <c r="R31" s="705" t="s">
        <v>14</v>
      </c>
      <c r="S31" s="706">
        <f t="shared" si="12"/>
        <v>100</v>
      </c>
      <c r="T31" s="705" t="s">
        <v>14</v>
      </c>
      <c r="U31" s="706">
        <f t="shared" si="13"/>
        <v>100</v>
      </c>
      <c r="V31" s="705" t="s">
        <v>14</v>
      </c>
      <c r="W31" s="706">
        <f t="shared" si="14"/>
        <v>100</v>
      </c>
      <c r="X31" s="1350"/>
      <c r="Y31" s="3801"/>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808"/>
      <c r="Q32" s="1347">
        <f t="shared" si="11"/>
        <v>111</v>
      </c>
      <c r="R32" s="705" t="s">
        <v>14</v>
      </c>
      <c r="S32" s="706">
        <f t="shared" si="12"/>
        <v>100</v>
      </c>
      <c r="T32" s="705" t="s">
        <v>14</v>
      </c>
      <c r="U32" s="706">
        <f t="shared" si="13"/>
        <v>100</v>
      </c>
      <c r="V32" s="705" t="s">
        <v>14</v>
      </c>
      <c r="W32" s="706">
        <f t="shared" si="14"/>
        <v>100</v>
      </c>
      <c r="X32" s="1350"/>
      <c r="Y32" s="3801"/>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802" t="s">
        <v>1696</v>
      </c>
      <c r="Q33" s="1347" t="str">
        <f t="shared" si="11"/>
        <v>建筑类型</v>
      </c>
      <c r="R33" s="705" t="s">
        <v>14</v>
      </c>
      <c r="S33" s="706">
        <f t="shared" si="12"/>
        <v>100</v>
      </c>
      <c r="T33" s="705" t="s">
        <v>14</v>
      </c>
      <c r="U33" s="706">
        <f t="shared" si="13"/>
        <v>100</v>
      </c>
      <c r="V33" s="705" t="s">
        <v>14</v>
      </c>
      <c r="W33" s="706">
        <f t="shared" si="14"/>
        <v>100</v>
      </c>
      <c r="X33" s="1350"/>
      <c r="Y33" s="3805"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3"/>
      <c r="Q34" s="707" t="str">
        <f t="shared" si="11"/>
        <v>项目建筑规模</v>
      </c>
      <c r="R34" s="708" t="s">
        <v>14</v>
      </c>
      <c r="S34" s="709" t="e">
        <f t="shared" si="12"/>
        <v>#N/A</v>
      </c>
      <c r="T34" s="708" t="s">
        <v>14</v>
      </c>
      <c r="U34" s="709" t="e">
        <f t="shared" si="13"/>
        <v>#N/A</v>
      </c>
      <c r="V34" s="708" t="s">
        <v>14</v>
      </c>
      <c r="W34" s="709" t="e">
        <f t="shared" si="14"/>
        <v>#N/A</v>
      </c>
      <c r="X34" s="710"/>
      <c r="Y34" s="3805"/>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3"/>
      <c r="Q35" s="1347" t="str">
        <f t="shared" si="11"/>
        <v>建筑结构</v>
      </c>
      <c r="R35" s="705" t="s">
        <v>14</v>
      </c>
      <c r="S35" s="706">
        <f t="shared" si="12"/>
        <v>100</v>
      </c>
      <c r="T35" s="705" t="s">
        <v>14</v>
      </c>
      <c r="U35" s="706">
        <f t="shared" si="13"/>
        <v>100</v>
      </c>
      <c r="V35" s="705" t="s">
        <v>14</v>
      </c>
      <c r="W35" s="706">
        <f t="shared" si="14"/>
        <v>100</v>
      </c>
      <c r="X35" s="1350"/>
      <c r="Y35" s="3805"/>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3"/>
      <c r="Q36" s="1347" t="str">
        <f t="shared" si="11"/>
        <v>公共部分装修</v>
      </c>
      <c r="R36" s="705" t="s">
        <v>14</v>
      </c>
      <c r="S36" s="706">
        <f t="shared" si="12"/>
        <v>100</v>
      </c>
      <c r="T36" s="705" t="s">
        <v>14</v>
      </c>
      <c r="U36" s="706">
        <f t="shared" si="13"/>
        <v>100</v>
      </c>
      <c r="V36" s="705" t="s">
        <v>14</v>
      </c>
      <c r="W36" s="706">
        <f t="shared" si="14"/>
        <v>100</v>
      </c>
      <c r="X36" s="1350"/>
      <c r="Y36" s="3805"/>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3"/>
      <c r="Q37" s="1347" t="str">
        <f t="shared" si="11"/>
        <v>成新度</v>
      </c>
      <c r="R37" s="705" t="s">
        <v>14</v>
      </c>
      <c r="S37" s="706" t="e">
        <f t="shared" si="12"/>
        <v>#N/A</v>
      </c>
      <c r="T37" s="705" t="s">
        <v>14</v>
      </c>
      <c r="U37" s="706" t="e">
        <f t="shared" si="13"/>
        <v>#N/A</v>
      </c>
      <c r="V37" s="705" t="s">
        <v>14</v>
      </c>
      <c r="W37" s="706" t="e">
        <f t="shared" si="14"/>
        <v>#N/A</v>
      </c>
      <c r="X37" s="1350"/>
      <c r="Y37" s="3805"/>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3"/>
      <c r="Q38" s="1338" t="str">
        <f t="shared" si="11"/>
        <v>写字楼等级</v>
      </c>
      <c r="R38" s="701" t="s">
        <v>14</v>
      </c>
      <c r="S38" s="702">
        <f t="shared" si="12"/>
        <v>100</v>
      </c>
      <c r="T38" s="701" t="s">
        <v>14</v>
      </c>
      <c r="U38" s="702">
        <f t="shared" si="13"/>
        <v>100</v>
      </c>
      <c r="V38" s="701" t="s">
        <v>14</v>
      </c>
      <c r="W38" s="702">
        <f t="shared" si="14"/>
        <v>100</v>
      </c>
      <c r="X38" s="703"/>
      <c r="Y38" s="3805"/>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3" t="s">
        <v>1696</v>
      </c>
      <c r="Q39" s="1347" t="str">
        <f t="shared" si="11"/>
        <v>物业管理</v>
      </c>
      <c r="R39" s="705" t="s">
        <v>14</v>
      </c>
      <c r="S39" s="706">
        <f t="shared" si="12"/>
        <v>100</v>
      </c>
      <c r="T39" s="705" t="s">
        <v>14</v>
      </c>
      <c r="U39" s="706">
        <f t="shared" si="13"/>
        <v>100</v>
      </c>
      <c r="V39" s="705" t="s">
        <v>14</v>
      </c>
      <c r="W39" s="706">
        <f t="shared" si="14"/>
        <v>100</v>
      </c>
      <c r="X39" s="1350"/>
      <c r="Y39" s="3805"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3"/>
      <c r="Q40" s="1347" t="str">
        <f t="shared" si="11"/>
        <v>市政基础设施</v>
      </c>
      <c r="R40" s="705" t="s">
        <v>14</v>
      </c>
      <c r="S40" s="706">
        <f t="shared" si="12"/>
        <v>100</v>
      </c>
      <c r="T40" s="705" t="s">
        <v>14</v>
      </c>
      <c r="U40" s="706">
        <f t="shared" si="13"/>
        <v>100</v>
      </c>
      <c r="V40" s="705" t="s">
        <v>14</v>
      </c>
      <c r="W40" s="706">
        <f t="shared" si="14"/>
        <v>100</v>
      </c>
      <c r="X40" s="1350"/>
      <c r="Y40" s="3805"/>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3"/>
      <c r="Q41" s="1347" t="str">
        <f t="shared" si="11"/>
        <v>层高</v>
      </c>
      <c r="R41" s="705" t="s">
        <v>14</v>
      </c>
      <c r="S41" s="706">
        <f t="shared" si="12"/>
        <v>100</v>
      </c>
      <c r="T41" s="705" t="s">
        <v>14</v>
      </c>
      <c r="U41" s="706">
        <f t="shared" si="13"/>
        <v>100</v>
      </c>
      <c r="V41" s="705" t="s">
        <v>14</v>
      </c>
      <c r="W41" s="706">
        <f t="shared" si="14"/>
        <v>100</v>
      </c>
      <c r="X41" s="1350"/>
      <c r="Y41" s="3805"/>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3"/>
      <c r="Q42" s="707" t="str">
        <f t="shared" si="11"/>
        <v>单套建筑面积</v>
      </c>
      <c r="R42" s="708" t="s">
        <v>14</v>
      </c>
      <c r="S42" s="709">
        <f t="shared" si="12"/>
        <v>100</v>
      </c>
      <c r="T42" s="708" t="s">
        <v>14</v>
      </c>
      <c r="U42" s="709">
        <f t="shared" si="13"/>
        <v>100</v>
      </c>
      <c r="V42" s="708" t="s">
        <v>14</v>
      </c>
      <c r="W42" s="709">
        <f t="shared" si="14"/>
        <v>100</v>
      </c>
      <c r="X42" s="710"/>
      <c r="Y42" s="3805"/>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3"/>
      <c r="Q43" s="1347" t="str">
        <f t="shared" si="11"/>
        <v>内部装修</v>
      </c>
      <c r="R43" s="705" t="s">
        <v>14</v>
      </c>
      <c r="S43" s="706">
        <f t="shared" si="12"/>
        <v>100</v>
      </c>
      <c r="T43" s="705" t="s">
        <v>14</v>
      </c>
      <c r="U43" s="706">
        <f t="shared" si="13"/>
        <v>100</v>
      </c>
      <c r="V43" s="705" t="s">
        <v>14</v>
      </c>
      <c r="W43" s="706">
        <f t="shared" si="14"/>
        <v>100</v>
      </c>
      <c r="X43" s="1350"/>
      <c r="Y43" s="3805"/>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803"/>
      <c r="Q44" s="1347" t="str">
        <f t="shared" si="11"/>
        <v>内部装修维护情况</v>
      </c>
      <c r="R44" s="705" t="s">
        <v>14</v>
      </c>
      <c r="S44" s="706">
        <f t="shared" si="12"/>
        <v>100</v>
      </c>
      <c r="T44" s="705" t="s">
        <v>14</v>
      </c>
      <c r="U44" s="706">
        <f t="shared" si="13"/>
        <v>100</v>
      </c>
      <c r="V44" s="705" t="s">
        <v>14</v>
      </c>
      <c r="W44" s="706">
        <f t="shared" si="14"/>
        <v>100</v>
      </c>
      <c r="X44" s="1350"/>
      <c r="Y44" s="3805"/>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3"/>
      <c r="Q45" s="1338">
        <f t="shared" si="11"/>
        <v>111</v>
      </c>
      <c r="R45" s="701" t="s">
        <v>14</v>
      </c>
      <c r="S45" s="702">
        <f t="shared" si="12"/>
        <v>100</v>
      </c>
      <c r="T45" s="701" t="s">
        <v>14</v>
      </c>
      <c r="U45" s="702">
        <f t="shared" si="13"/>
        <v>100</v>
      </c>
      <c r="V45" s="701" t="s">
        <v>14</v>
      </c>
      <c r="W45" s="702">
        <f t="shared" si="14"/>
        <v>100</v>
      </c>
      <c r="X45" s="703"/>
      <c r="Y45" s="3805"/>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3"/>
      <c r="Q46" s="1347">
        <f t="shared" si="11"/>
        <v>111</v>
      </c>
      <c r="R46" s="705" t="s">
        <v>14</v>
      </c>
      <c r="S46" s="706">
        <f t="shared" si="12"/>
        <v>100</v>
      </c>
      <c r="T46" s="705" t="s">
        <v>14</v>
      </c>
      <c r="U46" s="706">
        <f t="shared" si="13"/>
        <v>100</v>
      </c>
      <c r="V46" s="705" t="s">
        <v>14</v>
      </c>
      <c r="W46" s="706">
        <f t="shared" si="14"/>
        <v>100</v>
      </c>
      <c r="X46" s="1350"/>
      <c r="Y46" s="3805"/>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4"/>
      <c r="Q47" s="1347">
        <f t="shared" si="11"/>
        <v>111</v>
      </c>
      <c r="R47" s="705" t="s">
        <v>14</v>
      </c>
      <c r="S47" s="706">
        <f t="shared" si="12"/>
        <v>100</v>
      </c>
      <c r="T47" s="705" t="s">
        <v>14</v>
      </c>
      <c r="U47" s="706">
        <f t="shared" si="13"/>
        <v>100</v>
      </c>
      <c r="V47" s="705" t="s">
        <v>14</v>
      </c>
      <c r="W47" s="706">
        <f t="shared" si="14"/>
        <v>100</v>
      </c>
      <c r="X47" s="1350"/>
      <c r="Y47" s="3806"/>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80" t="str">
        <f>A48</f>
        <v>成交单价（元/平方米）</v>
      </c>
      <c r="Q48" s="3798"/>
      <c r="R48" s="3799">
        <f>E48</f>
        <v>0</v>
      </c>
      <c r="S48" s="3799"/>
      <c r="T48" s="3799">
        <f>G48</f>
        <v>0</v>
      </c>
      <c r="U48" s="3799"/>
      <c r="V48" s="3799">
        <f>I48</f>
        <v>0</v>
      </c>
      <c r="W48" s="3799"/>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80" t="str">
        <f>A49</f>
        <v>比较价值（元/平方米）</v>
      </c>
      <c r="Q49" s="3798"/>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78855.130000000063</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908"/>
      <c r="M4" s="909"/>
      <c r="N4" s="909"/>
      <c r="O4" s="909"/>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908"/>
      <c r="M5" s="909"/>
      <c r="N5" s="909"/>
      <c r="O5" s="909"/>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908"/>
      <c r="M6" s="909"/>
      <c r="N6" s="909"/>
      <c r="O6" s="909"/>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45477</v>
      </c>
      <c r="D7" s="365">
        <v>100</v>
      </c>
      <c r="E7" s="366"/>
      <c r="F7" s="367">
        <f>SUMIF(52:52,YEAR(E7)&amp;"-"&amp;MONTH(E7),53:53)</f>
        <v>0</v>
      </c>
      <c r="G7" s="366"/>
      <c r="H7" s="365">
        <f>SUMIF(52:52,YEAR(G7)&amp;"-"&amp;MONTH(G7),53:53)</f>
        <v>0</v>
      </c>
      <c r="I7" s="366"/>
      <c r="J7" s="365">
        <f>SUMIF(52:52,YEAR(I7)&amp;"-"&amp;MONTH(I7),53:53)</f>
        <v>0</v>
      </c>
      <c r="K7" s="560"/>
      <c r="L7" s="910"/>
      <c r="M7" s="911"/>
      <c r="N7" s="911"/>
      <c r="O7" s="911"/>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66" t="s">
        <v>1683</v>
      </c>
      <c r="Q8" s="3767"/>
      <c r="R8" s="701" t="s">
        <v>14</v>
      </c>
      <c r="S8" s="702">
        <f t="shared" si="0"/>
        <v>100</v>
      </c>
      <c r="T8" s="701" t="s">
        <v>14</v>
      </c>
      <c r="U8" s="702">
        <f t="shared" si="1"/>
        <v>100</v>
      </c>
      <c r="V8" s="701" t="s">
        <v>14</v>
      </c>
      <c r="W8" s="702">
        <f t="shared" si="2"/>
        <v>100</v>
      </c>
      <c r="X8" s="703"/>
      <c r="Y8" s="3766" t="s">
        <v>1683</v>
      </c>
      <c r="Z8" s="37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98"/>
      <c r="Q11" s="1338"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00" t="s">
        <v>1691</v>
      </c>
      <c r="Q15" s="1347" t="str">
        <f t="shared" si="6"/>
        <v>产业集聚程度</v>
      </c>
      <c r="R15" s="705" t="s">
        <v>14</v>
      </c>
      <c r="S15" s="706">
        <f t="shared" si="0"/>
        <v>100</v>
      </c>
      <c r="T15" s="705" t="s">
        <v>14</v>
      </c>
      <c r="U15" s="706">
        <f t="shared" si="1"/>
        <v>100</v>
      </c>
      <c r="V15" s="705" t="s">
        <v>14</v>
      </c>
      <c r="W15" s="706">
        <f t="shared" si="2"/>
        <v>100</v>
      </c>
      <c r="X15" s="1350"/>
      <c r="Y15" s="3800"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801"/>
      <c r="Q16" s="1347"/>
      <c r="R16" s="705"/>
      <c r="S16" s="706"/>
      <c r="T16" s="705"/>
      <c r="U16" s="706"/>
      <c r="V16" s="705"/>
      <c r="W16" s="706"/>
      <c r="X16" s="1350"/>
      <c r="Y16" s="3801"/>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01"/>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801"/>
      <c r="Q18" s="1347"/>
      <c r="R18" s="705"/>
      <c r="S18" s="706"/>
      <c r="T18" s="705"/>
      <c r="U18" s="706"/>
      <c r="V18" s="705"/>
      <c r="W18" s="706"/>
      <c r="X18" s="1350"/>
      <c r="Y18" s="3801"/>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01"/>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801"/>
      <c r="Q20" s="1347"/>
      <c r="R20" s="705"/>
      <c r="S20" s="706"/>
      <c r="T20" s="705"/>
      <c r="U20" s="706"/>
      <c r="V20" s="705"/>
      <c r="W20" s="706"/>
      <c r="X20" s="1350"/>
      <c r="Y20" s="3801"/>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01"/>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801"/>
      <c r="Q22" s="1347"/>
      <c r="R22" s="705"/>
      <c r="S22" s="706"/>
      <c r="T22" s="705"/>
      <c r="U22" s="706"/>
      <c r="V22" s="705"/>
      <c r="W22" s="706"/>
      <c r="X22" s="1350"/>
      <c r="Y22" s="3801"/>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01"/>
      <c r="Q23" s="1347" t="str">
        <f>B23</f>
        <v>环境质量</v>
      </c>
      <c r="R23" s="705" t="s">
        <v>14</v>
      </c>
      <c r="S23" s="706">
        <f>F23</f>
        <v>100</v>
      </c>
      <c r="T23" s="705" t="s">
        <v>14</v>
      </c>
      <c r="U23" s="706">
        <f>H23</f>
        <v>100</v>
      </c>
      <c r="V23" s="705" t="s">
        <v>14</v>
      </c>
      <c r="W23" s="706">
        <f>J23</f>
        <v>100</v>
      </c>
      <c r="X23" s="1350"/>
      <c r="Y23" s="3801"/>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801"/>
      <c r="Q24" s="1347"/>
      <c r="R24" s="705"/>
      <c r="S24" s="706"/>
      <c r="T24" s="705"/>
      <c r="U24" s="706"/>
      <c r="V24" s="705"/>
      <c r="W24" s="706"/>
      <c r="X24" s="1350"/>
      <c r="Y24" s="3801"/>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01"/>
      <c r="Q25" s="1347">
        <f>B25</f>
        <v>111</v>
      </c>
      <c r="R25" s="705" t="s">
        <v>14</v>
      </c>
      <c r="S25" s="706">
        <f>F25</f>
        <v>100</v>
      </c>
      <c r="T25" s="705" t="s">
        <v>14</v>
      </c>
      <c r="U25" s="706">
        <f>H25</f>
        <v>100</v>
      </c>
      <c r="V25" s="705" t="s">
        <v>14</v>
      </c>
      <c r="W25" s="706">
        <f>J25</f>
        <v>100</v>
      </c>
      <c r="X25" s="1350"/>
      <c r="Y25" s="3801"/>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01"/>
      <c r="Q26" s="1347">
        <f t="shared" ref="Q26:Q40" si="11">B26</f>
        <v>111</v>
      </c>
      <c r="R26" s="705" t="s">
        <v>14</v>
      </c>
      <c r="S26" s="706">
        <f>F26</f>
        <v>100</v>
      </c>
      <c r="T26" s="705" t="s">
        <v>14</v>
      </c>
      <c r="U26" s="706">
        <f>H26</f>
        <v>100</v>
      </c>
      <c r="V26" s="705" t="s">
        <v>14</v>
      </c>
      <c r="W26" s="706">
        <f>J26</f>
        <v>100</v>
      </c>
      <c r="X26" s="1350"/>
      <c r="Y26" s="3801"/>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01"/>
      <c r="Q27" s="1338">
        <f t="shared" si="11"/>
        <v>111</v>
      </c>
      <c r="R27" s="701" t="s">
        <v>14</v>
      </c>
      <c r="S27" s="702">
        <f>F27</f>
        <v>100</v>
      </c>
      <c r="T27" s="701" t="s">
        <v>14</v>
      </c>
      <c r="U27" s="702">
        <f>H27</f>
        <v>100</v>
      </c>
      <c r="V27" s="701" t="s">
        <v>14</v>
      </c>
      <c r="W27" s="702">
        <f>J27</f>
        <v>100</v>
      </c>
      <c r="X27" s="703"/>
      <c r="Y27" s="3801"/>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01"/>
      <c r="Q28" s="1347">
        <f t="shared" si="11"/>
        <v>111</v>
      </c>
      <c r="R28" s="705" t="s">
        <v>14</v>
      </c>
      <c r="S28" s="706">
        <f t="shared" ref="S28:S40" si="12">F28</f>
        <v>100</v>
      </c>
      <c r="T28" s="705" t="s">
        <v>14</v>
      </c>
      <c r="U28" s="706">
        <f t="shared" ref="U28:U40" si="13">H28</f>
        <v>100</v>
      </c>
      <c r="V28" s="705" t="s">
        <v>14</v>
      </c>
      <c r="W28" s="706">
        <f t="shared" ref="W28:W40" si="14">J28</f>
        <v>100</v>
      </c>
      <c r="X28" s="1350"/>
      <c r="Y28" s="3801"/>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24" t="s">
        <v>1696</v>
      </c>
      <c r="Q29" s="1347" t="str">
        <f t="shared" si="11"/>
        <v>建筑类型</v>
      </c>
      <c r="R29" s="705" t="s">
        <v>14</v>
      </c>
      <c r="S29" s="706">
        <f t="shared" si="12"/>
        <v>100</v>
      </c>
      <c r="T29" s="705" t="s">
        <v>14</v>
      </c>
      <c r="U29" s="706">
        <f t="shared" si="13"/>
        <v>100</v>
      </c>
      <c r="V29" s="705" t="s">
        <v>14</v>
      </c>
      <c r="W29" s="706">
        <f t="shared" si="14"/>
        <v>100</v>
      </c>
      <c r="X29" s="1350"/>
      <c r="Y29" s="3805"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05"/>
      <c r="Q30" s="707" t="str">
        <f t="shared" si="11"/>
        <v>项目建筑规模</v>
      </c>
      <c r="R30" s="708" t="s">
        <v>14</v>
      </c>
      <c r="S30" s="709" t="e">
        <f t="shared" si="12"/>
        <v>#N/A</v>
      </c>
      <c r="T30" s="708" t="s">
        <v>14</v>
      </c>
      <c r="U30" s="709" t="e">
        <f t="shared" si="13"/>
        <v>#N/A</v>
      </c>
      <c r="V30" s="708" t="s">
        <v>14</v>
      </c>
      <c r="W30" s="709" t="e">
        <f t="shared" si="14"/>
        <v>#N/A</v>
      </c>
      <c r="X30" s="710"/>
      <c r="Y30" s="3805"/>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05"/>
      <c r="Q31" s="1347" t="str">
        <f t="shared" si="11"/>
        <v>建筑结构</v>
      </c>
      <c r="R31" s="705" t="s">
        <v>14</v>
      </c>
      <c r="S31" s="706">
        <f t="shared" si="12"/>
        <v>100</v>
      </c>
      <c r="T31" s="705" t="s">
        <v>14</v>
      </c>
      <c r="U31" s="706">
        <f t="shared" si="13"/>
        <v>100</v>
      </c>
      <c r="V31" s="705" t="s">
        <v>14</v>
      </c>
      <c r="W31" s="706">
        <f t="shared" si="14"/>
        <v>100</v>
      </c>
      <c r="X31" s="1350"/>
      <c r="Y31" s="3805"/>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05"/>
      <c r="Q32" s="1347" t="str">
        <f t="shared" si="11"/>
        <v>公共部分装修</v>
      </c>
      <c r="R32" s="705" t="s">
        <v>14</v>
      </c>
      <c r="S32" s="706">
        <f t="shared" si="12"/>
        <v>100</v>
      </c>
      <c r="T32" s="705" t="s">
        <v>14</v>
      </c>
      <c r="U32" s="706">
        <f t="shared" si="13"/>
        <v>100</v>
      </c>
      <c r="V32" s="705" t="s">
        <v>14</v>
      </c>
      <c r="W32" s="706">
        <f t="shared" si="14"/>
        <v>100</v>
      </c>
      <c r="X32" s="1350"/>
      <c r="Y32" s="3805"/>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05"/>
      <c r="Q33" s="1347" t="str">
        <f t="shared" si="11"/>
        <v>成新度</v>
      </c>
      <c r="R33" s="705" t="s">
        <v>14</v>
      </c>
      <c r="S33" s="706" t="e">
        <f t="shared" si="12"/>
        <v>#N/A</v>
      </c>
      <c r="T33" s="705" t="s">
        <v>14</v>
      </c>
      <c r="U33" s="706" t="e">
        <f t="shared" si="13"/>
        <v>#N/A</v>
      </c>
      <c r="V33" s="705" t="s">
        <v>14</v>
      </c>
      <c r="W33" s="706" t="e">
        <f t="shared" si="14"/>
        <v>#N/A</v>
      </c>
      <c r="X33" s="1350"/>
      <c r="Y33" s="3805"/>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05"/>
      <c r="Q34" s="1338" t="str">
        <f t="shared" si="11"/>
        <v>物业管理</v>
      </c>
      <c r="R34" s="701" t="s">
        <v>14</v>
      </c>
      <c r="S34" s="702">
        <f t="shared" si="12"/>
        <v>100</v>
      </c>
      <c r="T34" s="701" t="s">
        <v>14</v>
      </c>
      <c r="U34" s="702">
        <f t="shared" si="13"/>
        <v>100</v>
      </c>
      <c r="V34" s="701" t="s">
        <v>14</v>
      </c>
      <c r="W34" s="702">
        <f t="shared" si="14"/>
        <v>100</v>
      </c>
      <c r="X34" s="703"/>
      <c r="Y34" s="38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05" t="s">
        <v>1696</v>
      </c>
      <c r="Q35" s="1347" t="str">
        <f t="shared" si="11"/>
        <v>市政基础设施</v>
      </c>
      <c r="R35" s="705" t="s">
        <v>14</v>
      </c>
      <c r="S35" s="706">
        <f t="shared" si="12"/>
        <v>100</v>
      </c>
      <c r="T35" s="705" t="s">
        <v>14</v>
      </c>
      <c r="U35" s="706">
        <f t="shared" si="13"/>
        <v>100</v>
      </c>
      <c r="V35" s="705" t="s">
        <v>14</v>
      </c>
      <c r="W35" s="706">
        <f t="shared" si="14"/>
        <v>100</v>
      </c>
      <c r="X35" s="1350"/>
      <c r="Y35" s="3805"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05"/>
      <c r="Q36" s="1347" t="str">
        <f t="shared" si="11"/>
        <v>内部装修</v>
      </c>
      <c r="R36" s="705" t="s">
        <v>14</v>
      </c>
      <c r="S36" s="706">
        <f t="shared" si="12"/>
        <v>100</v>
      </c>
      <c r="T36" s="705" t="s">
        <v>14</v>
      </c>
      <c r="U36" s="706">
        <f t="shared" si="13"/>
        <v>100</v>
      </c>
      <c r="V36" s="705" t="s">
        <v>14</v>
      </c>
      <c r="W36" s="706">
        <f t="shared" si="14"/>
        <v>100</v>
      </c>
      <c r="X36" s="1350"/>
      <c r="Y36" s="3805"/>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05"/>
      <c r="Q37" s="1347" t="str">
        <f t="shared" si="11"/>
        <v>内部装修状况</v>
      </c>
      <c r="R37" s="705" t="s">
        <v>14</v>
      </c>
      <c r="S37" s="706">
        <f t="shared" si="12"/>
        <v>100</v>
      </c>
      <c r="T37" s="705" t="s">
        <v>14</v>
      </c>
      <c r="U37" s="706">
        <f t="shared" si="13"/>
        <v>100</v>
      </c>
      <c r="V37" s="705" t="s">
        <v>14</v>
      </c>
      <c r="W37" s="706">
        <f t="shared" si="14"/>
        <v>100</v>
      </c>
      <c r="X37" s="1350"/>
      <c r="Y37" s="3805"/>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05"/>
      <c r="Q38" s="707">
        <f t="shared" si="11"/>
        <v>111</v>
      </c>
      <c r="R38" s="708" t="s">
        <v>14</v>
      </c>
      <c r="S38" s="709">
        <f t="shared" si="12"/>
        <v>100</v>
      </c>
      <c r="T38" s="708" t="s">
        <v>14</v>
      </c>
      <c r="U38" s="709">
        <f t="shared" si="13"/>
        <v>100</v>
      </c>
      <c r="V38" s="708" t="s">
        <v>14</v>
      </c>
      <c r="W38" s="709">
        <f t="shared" si="14"/>
        <v>100</v>
      </c>
      <c r="X38" s="710"/>
      <c r="Y38" s="3805"/>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05"/>
      <c r="Q39" s="1347">
        <f t="shared" si="11"/>
        <v>111</v>
      </c>
      <c r="R39" s="705" t="s">
        <v>14</v>
      </c>
      <c r="S39" s="706">
        <f t="shared" si="12"/>
        <v>100</v>
      </c>
      <c r="T39" s="705" t="s">
        <v>14</v>
      </c>
      <c r="U39" s="706">
        <f t="shared" si="13"/>
        <v>100</v>
      </c>
      <c r="V39" s="705" t="s">
        <v>14</v>
      </c>
      <c r="W39" s="706">
        <f t="shared" si="14"/>
        <v>100</v>
      </c>
      <c r="X39" s="1350"/>
      <c r="Y39" s="3805"/>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06"/>
      <c r="Q40" s="1347">
        <f t="shared" si="11"/>
        <v>111</v>
      </c>
      <c r="R40" s="705" t="s">
        <v>14</v>
      </c>
      <c r="S40" s="706">
        <f t="shared" si="12"/>
        <v>100</v>
      </c>
      <c r="T40" s="705" t="s">
        <v>14</v>
      </c>
      <c r="U40" s="706">
        <f t="shared" si="13"/>
        <v>100</v>
      </c>
      <c r="V40" s="705" t="s">
        <v>14</v>
      </c>
      <c r="W40" s="706">
        <f t="shared" si="14"/>
        <v>100</v>
      </c>
      <c r="X40" s="1350"/>
      <c r="Y40" s="3806"/>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798" t="str">
        <f>A41</f>
        <v>成交单价（元/平方米）</v>
      </c>
      <c r="Q41" s="3798"/>
      <c r="R41" s="3799">
        <f>E41</f>
        <v>0</v>
      </c>
      <c r="S41" s="3799"/>
      <c r="T41" s="3799">
        <f>G41</f>
        <v>0</v>
      </c>
      <c r="U41" s="3799"/>
      <c r="V41" s="3799">
        <f>I41</f>
        <v>0</v>
      </c>
      <c r="W41" s="3799"/>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95" t="str">
        <f>A43</f>
        <v>估价对象XX用房的比较价值（楼面单价，元/平方米）</v>
      </c>
      <c r="Q43" s="3796"/>
      <c r="R43" s="3797" t="e">
        <f>IF(F1="售价",ROUND(IF(D42="简单平均",AVERAGE(R42:V42),R42*F42+T42*H42+V42*J42),0),ROUND(IF(D42="简单平均",AVERAGE(R42:V42),R42*F42+T42*H42+V42*J42),1))</f>
        <v>#DIV/0!</v>
      </c>
      <c r="S43" s="3797"/>
      <c r="T43" s="3797"/>
      <c r="U43" s="3797"/>
      <c r="V43" s="3797"/>
      <c r="W43" s="3797"/>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45477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66" t="s">
        <v>1680</v>
      </c>
      <c r="Q7" s="3794"/>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98" t="s">
        <v>1686</v>
      </c>
      <c r="Q9" s="1338" t="str">
        <f t="shared" ref="Q9:Q14" si="6">B9</f>
        <v>用途</v>
      </c>
      <c r="R9" s="701" t="s">
        <v>14</v>
      </c>
      <c r="S9" s="702">
        <f t="shared" si="0"/>
        <v>100</v>
      </c>
      <c r="T9" s="701" t="s">
        <v>14</v>
      </c>
      <c r="U9" s="702">
        <f t="shared" si="1"/>
        <v>100</v>
      </c>
      <c r="V9" s="701" t="s">
        <v>14</v>
      </c>
      <c r="W9" s="702">
        <f t="shared" si="2"/>
        <v>100</v>
      </c>
      <c r="X9" s="703"/>
      <c r="Y9" s="3691"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98"/>
      <c r="Q11" s="1338">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00" t="s">
        <v>1691</v>
      </c>
      <c r="Q14" s="1347" t="str">
        <f t="shared" si="6"/>
        <v>交通便捷度</v>
      </c>
      <c r="R14" s="705" t="s">
        <v>14</v>
      </c>
      <c r="S14" s="706">
        <f t="shared" si="0"/>
        <v>100</v>
      </c>
      <c r="T14" s="705" t="s">
        <v>14</v>
      </c>
      <c r="U14" s="706">
        <f t="shared" si="1"/>
        <v>100</v>
      </c>
      <c r="V14" s="705" t="s">
        <v>14</v>
      </c>
      <c r="W14" s="706">
        <f t="shared" si="2"/>
        <v>100</v>
      </c>
      <c r="X14" s="1350"/>
      <c r="Y14" s="3800"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801"/>
      <c r="Q15" s="1347"/>
      <c r="R15" s="705"/>
      <c r="S15" s="706"/>
      <c r="T15" s="705"/>
      <c r="U15" s="706"/>
      <c r="V15" s="705"/>
      <c r="W15" s="706"/>
      <c r="X15" s="1350"/>
      <c r="Y15" s="3801"/>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01"/>
      <c r="Q16" s="1347" t="str">
        <f>B16</f>
        <v>公共配套设施</v>
      </c>
      <c r="R16" s="705" t="s">
        <v>14</v>
      </c>
      <c r="S16" s="706">
        <f>F16</f>
        <v>100</v>
      </c>
      <c r="T16" s="705" t="s">
        <v>14</v>
      </c>
      <c r="U16" s="706">
        <f>H16</f>
        <v>100</v>
      </c>
      <c r="V16" s="705" t="s">
        <v>14</v>
      </c>
      <c r="W16" s="706">
        <f>J16</f>
        <v>100</v>
      </c>
      <c r="X16" s="1350"/>
      <c r="Y16" s="3801"/>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801"/>
      <c r="Q17" s="1347"/>
      <c r="R17" s="705"/>
      <c r="S17" s="706"/>
      <c r="T17" s="705"/>
      <c r="U17" s="706"/>
      <c r="V17" s="705"/>
      <c r="W17" s="706"/>
      <c r="X17" s="1350"/>
      <c r="Y17" s="3801"/>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01"/>
      <c r="Q18" s="1347" t="str">
        <f>B18</f>
        <v>基础设施水平</v>
      </c>
      <c r="R18" s="705" t="s">
        <v>14</v>
      </c>
      <c r="S18" s="706">
        <f>F18</f>
        <v>100</v>
      </c>
      <c r="T18" s="705" t="s">
        <v>14</v>
      </c>
      <c r="U18" s="706">
        <f>H18</f>
        <v>100</v>
      </c>
      <c r="V18" s="705" t="s">
        <v>14</v>
      </c>
      <c r="W18" s="706">
        <f>J18</f>
        <v>100</v>
      </c>
      <c r="X18" s="1350"/>
      <c r="Y18" s="3801"/>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801"/>
      <c r="Q19" s="1347"/>
      <c r="R19" s="705"/>
      <c r="S19" s="706"/>
      <c r="T19" s="705"/>
      <c r="U19" s="706"/>
      <c r="V19" s="705"/>
      <c r="W19" s="706"/>
      <c r="X19" s="1350"/>
      <c r="Y19" s="3801"/>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01"/>
      <c r="Q20" s="1347" t="str">
        <f>B20</f>
        <v>自然及人文环境</v>
      </c>
      <c r="R20" s="705" t="s">
        <v>14</v>
      </c>
      <c r="S20" s="706">
        <f>F20</f>
        <v>100</v>
      </c>
      <c r="T20" s="705" t="s">
        <v>14</v>
      </c>
      <c r="U20" s="706">
        <f>H20</f>
        <v>100</v>
      </c>
      <c r="V20" s="705" t="s">
        <v>14</v>
      </c>
      <c r="W20" s="706">
        <f>J20</f>
        <v>100</v>
      </c>
      <c r="X20" s="1350"/>
      <c r="Y20" s="3801"/>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801"/>
      <c r="Q21" s="1347"/>
      <c r="R21" s="705"/>
      <c r="S21" s="706"/>
      <c r="T21" s="705"/>
      <c r="U21" s="706"/>
      <c r="V21" s="705"/>
      <c r="W21" s="706"/>
      <c r="X21" s="1350"/>
      <c r="Y21" s="3801"/>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01"/>
      <c r="Q22" s="1347" t="str">
        <f>B22</f>
        <v>楼层</v>
      </c>
      <c r="R22" s="705" t="s">
        <v>14</v>
      </c>
      <c r="S22" s="706">
        <f>F22</f>
        <v>100</v>
      </c>
      <c r="T22" s="705" t="s">
        <v>14</v>
      </c>
      <c r="U22" s="706">
        <f>H22</f>
        <v>100</v>
      </c>
      <c r="V22" s="705" t="s">
        <v>14</v>
      </c>
      <c r="W22" s="706">
        <f>J22</f>
        <v>100</v>
      </c>
      <c r="X22" s="1350"/>
      <c r="Y22" s="3801"/>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01"/>
      <c r="Q23" s="1347">
        <f>B23</f>
        <v>111</v>
      </c>
      <c r="R23" s="705" t="s">
        <v>14</v>
      </c>
      <c r="S23" s="706">
        <f>F23</f>
        <v>100</v>
      </c>
      <c r="T23" s="705" t="s">
        <v>14</v>
      </c>
      <c r="U23" s="706">
        <f>H23</f>
        <v>100</v>
      </c>
      <c r="V23" s="705" t="s">
        <v>14</v>
      </c>
      <c r="W23" s="706">
        <f>J23</f>
        <v>100</v>
      </c>
      <c r="X23" s="1350"/>
      <c r="Y23" s="3801"/>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01"/>
      <c r="Q24" s="1347">
        <f t="shared" ref="Q24:Q36" si="11">B24</f>
        <v>111</v>
      </c>
      <c r="R24" s="705" t="s">
        <v>14</v>
      </c>
      <c r="S24" s="706">
        <f>F24</f>
        <v>100</v>
      </c>
      <c r="T24" s="705" t="s">
        <v>14</v>
      </c>
      <c r="U24" s="706">
        <f>H24</f>
        <v>100</v>
      </c>
      <c r="V24" s="705" t="s">
        <v>14</v>
      </c>
      <c r="W24" s="706">
        <f>J24</f>
        <v>100</v>
      </c>
      <c r="X24" s="1350"/>
      <c r="Y24" s="3801"/>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01"/>
      <c r="Q25" s="1338">
        <f t="shared" si="11"/>
        <v>111</v>
      </c>
      <c r="R25" s="701" t="s">
        <v>14</v>
      </c>
      <c r="S25" s="702">
        <f>F25</f>
        <v>100</v>
      </c>
      <c r="T25" s="701" t="s">
        <v>14</v>
      </c>
      <c r="U25" s="702">
        <f>H25</f>
        <v>100</v>
      </c>
      <c r="V25" s="701" t="s">
        <v>14</v>
      </c>
      <c r="W25" s="702">
        <f>J25</f>
        <v>100</v>
      </c>
      <c r="X25" s="703"/>
      <c r="Y25" s="3801"/>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24"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805"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05"/>
      <c r="Q27" s="707" t="str">
        <f t="shared" si="11"/>
        <v>项目停车位配比</v>
      </c>
      <c r="R27" s="708" t="s">
        <v>14</v>
      </c>
      <c r="S27" s="709">
        <f t="shared" si="12"/>
        <v>100</v>
      </c>
      <c r="T27" s="708" t="s">
        <v>14</v>
      </c>
      <c r="U27" s="709">
        <f t="shared" si="13"/>
        <v>100</v>
      </c>
      <c r="V27" s="708" t="s">
        <v>14</v>
      </c>
      <c r="W27" s="709">
        <f t="shared" si="14"/>
        <v>100</v>
      </c>
      <c r="X27" s="710"/>
      <c r="Y27" s="3805"/>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05"/>
      <c r="Q28" s="1347" t="str">
        <f t="shared" si="11"/>
        <v>公共部分装修</v>
      </c>
      <c r="R28" s="705" t="s">
        <v>14</v>
      </c>
      <c r="S28" s="706">
        <f t="shared" si="12"/>
        <v>100</v>
      </c>
      <c r="T28" s="705" t="s">
        <v>14</v>
      </c>
      <c r="U28" s="706">
        <f t="shared" si="13"/>
        <v>100</v>
      </c>
      <c r="V28" s="705" t="s">
        <v>14</v>
      </c>
      <c r="W28" s="706">
        <f t="shared" si="14"/>
        <v>100</v>
      </c>
      <c r="X28" s="1350"/>
      <c r="Y28" s="3805"/>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05"/>
      <c r="Q29" s="1347" t="str">
        <f t="shared" si="11"/>
        <v>成新率</v>
      </c>
      <c r="R29" s="705" t="s">
        <v>14</v>
      </c>
      <c r="S29" s="706" t="e">
        <f t="shared" si="12"/>
        <v>#N/A</v>
      </c>
      <c r="T29" s="705" t="s">
        <v>14</v>
      </c>
      <c r="U29" s="706" t="e">
        <f t="shared" si="13"/>
        <v>#N/A</v>
      </c>
      <c r="V29" s="705" t="s">
        <v>14</v>
      </c>
      <c r="W29" s="706" t="e">
        <f t="shared" si="14"/>
        <v>#N/A</v>
      </c>
      <c r="X29" s="1350"/>
      <c r="Y29" s="3805"/>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05"/>
      <c r="Q30" s="1347" t="str">
        <f t="shared" si="11"/>
        <v>物业等级</v>
      </c>
      <c r="R30" s="705" t="s">
        <v>14</v>
      </c>
      <c r="S30" s="706">
        <f t="shared" si="12"/>
        <v>100</v>
      </c>
      <c r="T30" s="705" t="s">
        <v>14</v>
      </c>
      <c r="U30" s="706">
        <f t="shared" si="13"/>
        <v>100</v>
      </c>
      <c r="V30" s="705" t="s">
        <v>14</v>
      </c>
      <c r="W30" s="706">
        <f t="shared" si="14"/>
        <v>100</v>
      </c>
      <c r="X30" s="1350"/>
      <c r="Y30" s="3805"/>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05"/>
      <c r="Q31" s="1338" t="str">
        <f t="shared" si="11"/>
        <v>停车位面积</v>
      </c>
      <c r="R31" s="701" t="s">
        <v>14</v>
      </c>
      <c r="S31" s="702" t="e">
        <f t="shared" si="12"/>
        <v>#N/A</v>
      </c>
      <c r="T31" s="701" t="s">
        <v>14</v>
      </c>
      <c r="U31" s="702" t="e">
        <f t="shared" si="13"/>
        <v>#N/A</v>
      </c>
      <c r="V31" s="701" t="s">
        <v>14</v>
      </c>
      <c r="W31" s="702" t="e">
        <f t="shared" si="14"/>
        <v>#N/A</v>
      </c>
      <c r="X31" s="703"/>
      <c r="Y31" s="38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05" t="s">
        <v>1696</v>
      </c>
      <c r="Q32" s="1347" t="str">
        <f t="shared" si="11"/>
        <v>车位类型</v>
      </c>
      <c r="R32" s="705" t="s">
        <v>14</v>
      </c>
      <c r="S32" s="706">
        <f t="shared" si="12"/>
        <v>100</v>
      </c>
      <c r="T32" s="705" t="s">
        <v>14</v>
      </c>
      <c r="U32" s="706">
        <f t="shared" si="13"/>
        <v>100</v>
      </c>
      <c r="V32" s="705" t="s">
        <v>14</v>
      </c>
      <c r="W32" s="706">
        <f t="shared" si="14"/>
        <v>100</v>
      </c>
      <c r="X32" s="1350"/>
      <c r="Y32" s="3805"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05"/>
      <c r="Q33" s="1347" t="str">
        <f t="shared" si="11"/>
        <v>是否直接入户</v>
      </c>
      <c r="R33" s="705" t="s">
        <v>14</v>
      </c>
      <c r="S33" s="706">
        <f t="shared" si="12"/>
        <v>100</v>
      </c>
      <c r="T33" s="705" t="s">
        <v>14</v>
      </c>
      <c r="U33" s="706">
        <f t="shared" si="13"/>
        <v>100</v>
      </c>
      <c r="V33" s="705" t="s">
        <v>14</v>
      </c>
      <c r="W33" s="706">
        <f t="shared" si="14"/>
        <v>100</v>
      </c>
      <c r="X33" s="1350"/>
      <c r="Y33" s="3805"/>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05"/>
      <c r="Q34" s="1347">
        <f t="shared" si="11"/>
        <v>111</v>
      </c>
      <c r="R34" s="705" t="s">
        <v>14</v>
      </c>
      <c r="S34" s="706">
        <f t="shared" si="12"/>
        <v>100</v>
      </c>
      <c r="T34" s="705" t="s">
        <v>14</v>
      </c>
      <c r="U34" s="706">
        <f t="shared" si="13"/>
        <v>100</v>
      </c>
      <c r="V34" s="705" t="s">
        <v>14</v>
      </c>
      <c r="W34" s="706">
        <f t="shared" si="14"/>
        <v>100</v>
      </c>
      <c r="X34" s="1350"/>
      <c r="Y34" s="3805"/>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05"/>
      <c r="Q35" s="707">
        <f t="shared" si="11"/>
        <v>111</v>
      </c>
      <c r="R35" s="708" t="s">
        <v>14</v>
      </c>
      <c r="S35" s="709">
        <f t="shared" si="12"/>
        <v>100</v>
      </c>
      <c r="T35" s="708" t="s">
        <v>14</v>
      </c>
      <c r="U35" s="709">
        <f t="shared" si="13"/>
        <v>100</v>
      </c>
      <c r="V35" s="708" t="s">
        <v>14</v>
      </c>
      <c r="W35" s="709">
        <f t="shared" si="14"/>
        <v>100</v>
      </c>
      <c r="X35" s="710"/>
      <c r="Y35" s="3805"/>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05"/>
      <c r="Q36" s="1347">
        <f t="shared" si="11"/>
        <v>111</v>
      </c>
      <c r="R36" s="705" t="s">
        <v>14</v>
      </c>
      <c r="S36" s="706">
        <f t="shared" si="12"/>
        <v>100</v>
      </c>
      <c r="T36" s="705" t="s">
        <v>14</v>
      </c>
      <c r="U36" s="706">
        <f t="shared" si="13"/>
        <v>100</v>
      </c>
      <c r="V36" s="705" t="s">
        <v>14</v>
      </c>
      <c r="W36" s="706">
        <f t="shared" si="14"/>
        <v>100</v>
      </c>
      <c r="X36" s="1350"/>
      <c r="Y36" s="3805"/>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798" t="str">
        <f>A37</f>
        <v>成交单价</v>
      </c>
      <c r="Q37" s="3798"/>
      <c r="R37" s="3799">
        <f>E37</f>
        <v>0</v>
      </c>
      <c r="S37" s="3799"/>
      <c r="T37" s="3799">
        <f>G37</f>
        <v>0</v>
      </c>
      <c r="U37" s="3799"/>
      <c r="V37" s="3799">
        <f>I37</f>
        <v>0</v>
      </c>
      <c r="W37" s="3799"/>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795" t="str">
        <f>A39</f>
        <v>估价对象XX用房的比较价值（楼面单价，元/平方米）</v>
      </c>
      <c r="Q39" s="3796"/>
      <c r="R39" s="3825" t="e">
        <f>IF(F1="售价",ROUND(IF(D38="简单平均",AVERAGE(R38:W38),R38*F38+T38*H38+V38*J38),0),ROUND(IF(D38="简单平均",AVERAGE(R38:V38),R38*F38+T38*H38+V38*J38),1))</f>
        <v>#DIV/0!</v>
      </c>
      <c r="S39" s="3825"/>
      <c r="T39" s="3825"/>
      <c r="U39" s="3825"/>
      <c r="V39" s="3825"/>
      <c r="W39" s="3825"/>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45477</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766" t="s">
        <v>1680</v>
      </c>
      <c r="Q7" s="3794"/>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98" t="s">
        <v>1686</v>
      </c>
      <c r="Q9" s="1338" t="str">
        <f t="shared" ref="Q9:Q14" si="6">B9</f>
        <v>用途</v>
      </c>
      <c r="R9" s="701" t="s">
        <v>14</v>
      </c>
      <c r="S9" s="702">
        <f t="shared" si="0"/>
        <v>100</v>
      </c>
      <c r="T9" s="701" t="s">
        <v>14</v>
      </c>
      <c r="U9" s="702">
        <f t="shared" si="1"/>
        <v>100</v>
      </c>
      <c r="V9" s="701" t="s">
        <v>14</v>
      </c>
      <c r="W9" s="702">
        <f t="shared" si="2"/>
        <v>100</v>
      </c>
      <c r="X9" s="703"/>
      <c r="Y9" s="3691"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98"/>
      <c r="Q11" s="1338">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00" t="s">
        <v>1691</v>
      </c>
      <c r="Q14" s="1347" t="str">
        <f t="shared" si="6"/>
        <v>交通便捷度</v>
      </c>
      <c r="R14" s="705" t="s">
        <v>14</v>
      </c>
      <c r="S14" s="706">
        <f t="shared" si="0"/>
        <v>100</v>
      </c>
      <c r="T14" s="705" t="s">
        <v>14</v>
      </c>
      <c r="U14" s="706">
        <f t="shared" si="1"/>
        <v>100</v>
      </c>
      <c r="V14" s="705" t="s">
        <v>14</v>
      </c>
      <c r="W14" s="706">
        <f t="shared" si="2"/>
        <v>100</v>
      </c>
      <c r="X14" s="1350"/>
      <c r="Y14" s="3800"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801"/>
      <c r="Q15" s="1347"/>
      <c r="R15" s="705"/>
      <c r="S15" s="706"/>
      <c r="T15" s="705"/>
      <c r="U15" s="706"/>
      <c r="V15" s="705"/>
      <c r="W15" s="706"/>
      <c r="X15" s="1350"/>
      <c r="Y15" s="3801"/>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01"/>
      <c r="Q16" s="1347" t="str">
        <f>B16</f>
        <v>公共配套设施</v>
      </c>
      <c r="R16" s="705" t="s">
        <v>14</v>
      </c>
      <c r="S16" s="706">
        <f>F16</f>
        <v>100</v>
      </c>
      <c r="T16" s="705" t="s">
        <v>14</v>
      </c>
      <c r="U16" s="706">
        <f>H16</f>
        <v>100</v>
      </c>
      <c r="V16" s="705" t="s">
        <v>14</v>
      </c>
      <c r="W16" s="706">
        <f>J16</f>
        <v>100</v>
      </c>
      <c r="X16" s="1350"/>
      <c r="Y16" s="3801"/>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801"/>
      <c r="Q17" s="1347"/>
      <c r="R17" s="705"/>
      <c r="S17" s="706"/>
      <c r="T17" s="705"/>
      <c r="U17" s="706"/>
      <c r="V17" s="705"/>
      <c r="W17" s="706"/>
      <c r="X17" s="1350"/>
      <c r="Y17" s="3801"/>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01"/>
      <c r="Q18" s="1347" t="str">
        <f>B18</f>
        <v>基础设施水平</v>
      </c>
      <c r="R18" s="705" t="s">
        <v>14</v>
      </c>
      <c r="S18" s="706">
        <f>F18</f>
        <v>100</v>
      </c>
      <c r="T18" s="705" t="s">
        <v>14</v>
      </c>
      <c r="U18" s="706">
        <f>H18</f>
        <v>100</v>
      </c>
      <c r="V18" s="705" t="s">
        <v>14</v>
      </c>
      <c r="W18" s="706">
        <f>J18</f>
        <v>100</v>
      </c>
      <c r="X18" s="1350"/>
      <c r="Y18" s="3801"/>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801"/>
      <c r="Q19" s="1347"/>
      <c r="R19" s="705"/>
      <c r="S19" s="706"/>
      <c r="T19" s="705"/>
      <c r="U19" s="706"/>
      <c r="V19" s="705"/>
      <c r="W19" s="706"/>
      <c r="X19" s="1350"/>
      <c r="Y19" s="3801"/>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01"/>
      <c r="Q20" s="1347" t="str">
        <f>B20</f>
        <v>自然及人文环境</v>
      </c>
      <c r="R20" s="705" t="s">
        <v>14</v>
      </c>
      <c r="S20" s="706">
        <f>F20</f>
        <v>100</v>
      </c>
      <c r="T20" s="705" t="s">
        <v>14</v>
      </c>
      <c r="U20" s="706">
        <f>H20</f>
        <v>100</v>
      </c>
      <c r="V20" s="705" t="s">
        <v>14</v>
      </c>
      <c r="W20" s="706">
        <f>J20</f>
        <v>100</v>
      </c>
      <c r="X20" s="1350"/>
      <c r="Y20" s="3801"/>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801"/>
      <c r="Q21" s="1347"/>
      <c r="R21" s="705"/>
      <c r="S21" s="706"/>
      <c r="T21" s="705"/>
      <c r="U21" s="706"/>
      <c r="V21" s="705"/>
      <c r="W21" s="706"/>
      <c r="X21" s="1350"/>
      <c r="Y21" s="3801"/>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01"/>
      <c r="Q22" s="1347" t="str">
        <f>B22</f>
        <v>楼层</v>
      </c>
      <c r="R22" s="705" t="s">
        <v>14</v>
      </c>
      <c r="S22" s="706">
        <f>F22</f>
        <v>100</v>
      </c>
      <c r="T22" s="705" t="s">
        <v>14</v>
      </c>
      <c r="U22" s="706">
        <f>H22</f>
        <v>100</v>
      </c>
      <c r="V22" s="705" t="s">
        <v>14</v>
      </c>
      <c r="W22" s="706">
        <f>J22</f>
        <v>100</v>
      </c>
      <c r="X22" s="1350"/>
      <c r="Y22" s="3801"/>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01"/>
      <c r="Q23" s="1347">
        <f>B23</f>
        <v>111</v>
      </c>
      <c r="R23" s="705" t="s">
        <v>14</v>
      </c>
      <c r="S23" s="706">
        <f>F23</f>
        <v>100</v>
      </c>
      <c r="T23" s="705" t="s">
        <v>14</v>
      </c>
      <c r="U23" s="706">
        <f>H23</f>
        <v>100</v>
      </c>
      <c r="V23" s="705" t="s">
        <v>14</v>
      </c>
      <c r="W23" s="706">
        <f>J23</f>
        <v>100</v>
      </c>
      <c r="X23" s="1350"/>
      <c r="Y23" s="3801"/>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01"/>
      <c r="Q24" s="1347">
        <f t="shared" ref="Q24:Q34" si="11">B24</f>
        <v>111</v>
      </c>
      <c r="R24" s="705" t="s">
        <v>14</v>
      </c>
      <c r="S24" s="706">
        <f>F24</f>
        <v>100</v>
      </c>
      <c r="T24" s="705" t="s">
        <v>14</v>
      </c>
      <c r="U24" s="706">
        <f>H24</f>
        <v>100</v>
      </c>
      <c r="V24" s="705" t="s">
        <v>14</v>
      </c>
      <c r="W24" s="706">
        <f>J24</f>
        <v>100</v>
      </c>
      <c r="X24" s="1350"/>
      <c r="Y24" s="3801"/>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801"/>
      <c r="Q25" s="1338">
        <f t="shared" si="11"/>
        <v>111</v>
      </c>
      <c r="R25" s="701" t="s">
        <v>14</v>
      </c>
      <c r="S25" s="702">
        <f>F25</f>
        <v>100</v>
      </c>
      <c r="T25" s="701" t="s">
        <v>14</v>
      </c>
      <c r="U25" s="702">
        <f>H25</f>
        <v>100</v>
      </c>
      <c r="V25" s="701" t="s">
        <v>14</v>
      </c>
      <c r="W25" s="702">
        <f>J25</f>
        <v>100</v>
      </c>
      <c r="X25" s="703"/>
      <c r="Y25" s="3801"/>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24"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805"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05"/>
      <c r="Q27" s="707" t="str">
        <f t="shared" si="11"/>
        <v>成新率</v>
      </c>
      <c r="R27" s="708" t="s">
        <v>14</v>
      </c>
      <c r="S27" s="709" t="e">
        <f t="shared" si="12"/>
        <v>#N/A</v>
      </c>
      <c r="T27" s="708" t="s">
        <v>14</v>
      </c>
      <c r="U27" s="709" t="e">
        <f t="shared" si="13"/>
        <v>#N/A</v>
      </c>
      <c r="V27" s="708" t="s">
        <v>14</v>
      </c>
      <c r="W27" s="709" t="e">
        <f t="shared" si="14"/>
        <v>#N/A</v>
      </c>
      <c r="X27" s="710"/>
      <c r="Y27" s="3805"/>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05"/>
      <c r="Q28" s="1347" t="str">
        <f t="shared" si="11"/>
        <v>物业等级</v>
      </c>
      <c r="R28" s="705" t="s">
        <v>14</v>
      </c>
      <c r="S28" s="706">
        <f t="shared" si="12"/>
        <v>100</v>
      </c>
      <c r="T28" s="705" t="s">
        <v>14</v>
      </c>
      <c r="U28" s="706">
        <f t="shared" si="13"/>
        <v>100</v>
      </c>
      <c r="V28" s="705" t="s">
        <v>14</v>
      </c>
      <c r="W28" s="706">
        <f t="shared" si="14"/>
        <v>100</v>
      </c>
      <c r="X28" s="1350"/>
      <c r="Y28" s="3805"/>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05"/>
      <c r="Q29" s="1347" t="str">
        <f t="shared" si="11"/>
        <v>有无电梯</v>
      </c>
      <c r="R29" s="705" t="s">
        <v>14</v>
      </c>
      <c r="S29" s="706">
        <f t="shared" si="12"/>
        <v>100</v>
      </c>
      <c r="T29" s="705" t="s">
        <v>14</v>
      </c>
      <c r="U29" s="706">
        <f t="shared" si="13"/>
        <v>100</v>
      </c>
      <c r="V29" s="705" t="s">
        <v>14</v>
      </c>
      <c r="W29" s="706">
        <f t="shared" si="14"/>
        <v>100</v>
      </c>
      <c r="X29" s="1350"/>
      <c r="Y29" s="3805"/>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05"/>
      <c r="Q30" s="1347" t="str">
        <f t="shared" si="11"/>
        <v>建筑面积</v>
      </c>
      <c r="R30" s="705" t="s">
        <v>14</v>
      </c>
      <c r="S30" s="706" t="e">
        <f t="shared" si="12"/>
        <v>#N/A</v>
      </c>
      <c r="T30" s="705" t="s">
        <v>14</v>
      </c>
      <c r="U30" s="706" t="e">
        <f t="shared" si="13"/>
        <v>#N/A</v>
      </c>
      <c r="V30" s="705" t="s">
        <v>14</v>
      </c>
      <c r="W30" s="706" t="e">
        <f t="shared" si="14"/>
        <v>#N/A</v>
      </c>
      <c r="X30" s="1350"/>
      <c r="Y30" s="3805"/>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05"/>
      <c r="Q31" s="1338" t="str">
        <f t="shared" si="11"/>
        <v>是否封闭</v>
      </c>
      <c r="R31" s="701" t="s">
        <v>14</v>
      </c>
      <c r="S31" s="702">
        <f t="shared" si="12"/>
        <v>100</v>
      </c>
      <c r="T31" s="701" t="s">
        <v>14</v>
      </c>
      <c r="U31" s="702">
        <f t="shared" si="13"/>
        <v>100</v>
      </c>
      <c r="V31" s="701" t="s">
        <v>14</v>
      </c>
      <c r="W31" s="702">
        <f t="shared" si="14"/>
        <v>100</v>
      </c>
      <c r="X31" s="703"/>
      <c r="Y31" s="3805"/>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05" t="s">
        <v>1696</v>
      </c>
      <c r="Q32" s="1347">
        <f t="shared" si="11"/>
        <v>111</v>
      </c>
      <c r="R32" s="705" t="s">
        <v>14</v>
      </c>
      <c r="S32" s="706">
        <f t="shared" si="12"/>
        <v>100</v>
      </c>
      <c r="T32" s="705" t="s">
        <v>14</v>
      </c>
      <c r="U32" s="706">
        <f t="shared" si="13"/>
        <v>100</v>
      </c>
      <c r="V32" s="705" t="s">
        <v>14</v>
      </c>
      <c r="W32" s="706">
        <f t="shared" si="14"/>
        <v>100</v>
      </c>
      <c r="X32" s="1350"/>
      <c r="Y32" s="3805"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05"/>
      <c r="Q33" s="1347">
        <f t="shared" si="11"/>
        <v>111</v>
      </c>
      <c r="R33" s="705" t="s">
        <v>14</v>
      </c>
      <c r="S33" s="706">
        <f t="shared" si="12"/>
        <v>100</v>
      </c>
      <c r="T33" s="705" t="s">
        <v>14</v>
      </c>
      <c r="U33" s="706">
        <f t="shared" si="13"/>
        <v>100</v>
      </c>
      <c r="V33" s="705" t="s">
        <v>14</v>
      </c>
      <c r="W33" s="706">
        <f t="shared" si="14"/>
        <v>100</v>
      </c>
      <c r="X33" s="1350"/>
      <c r="Y33" s="3805"/>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805"/>
      <c r="Q34" s="1347">
        <f t="shared" si="11"/>
        <v>111</v>
      </c>
      <c r="R34" s="705" t="s">
        <v>14</v>
      </c>
      <c r="S34" s="706">
        <f t="shared" si="12"/>
        <v>100</v>
      </c>
      <c r="T34" s="705" t="s">
        <v>14</v>
      </c>
      <c r="U34" s="706">
        <f t="shared" si="13"/>
        <v>100</v>
      </c>
      <c r="V34" s="705" t="s">
        <v>14</v>
      </c>
      <c r="W34" s="706">
        <f t="shared" si="14"/>
        <v>100</v>
      </c>
      <c r="X34" s="1350"/>
      <c r="Y34" s="3805"/>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798" t="str">
        <f>A35</f>
        <v>成交单价（元/平方米）</v>
      </c>
      <c r="Q35" s="3798"/>
      <c r="R35" s="3799">
        <f>E35</f>
        <v>0</v>
      </c>
      <c r="S35" s="3799"/>
      <c r="T35" s="3799">
        <f>G35</f>
        <v>0</v>
      </c>
      <c r="U35" s="3799"/>
      <c r="V35" s="3799">
        <f>I35</f>
        <v>0</v>
      </c>
      <c r="W35" s="3799"/>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795" t="str">
        <f>A37</f>
        <v>估价对象XX用房的比较价值（楼面单价，元/平方米）</v>
      </c>
      <c r="Q37" s="3796"/>
      <c r="R37" s="3825" t="e">
        <f>IF(F1="售价",ROUND(IF(D36="简单平均",AVERAGE(R36:W36),R36*F36+T36*H36+V36*J36),0),ROUND(IF(D36="简单平均",AVERAGE(R36:V36),R36*F36+T36*H36+V36*J36),1))</f>
        <v>#DIV/0!</v>
      </c>
      <c r="S37" s="3825"/>
      <c r="T37" s="3825"/>
      <c r="U37" s="3825"/>
      <c r="V37" s="3825"/>
      <c r="W37" s="3825"/>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30"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30"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30" s="108" customFormat="1" ht="15.75" thickBot="1">
      <c r="A7" s="362" t="s">
        <v>1679</v>
      </c>
      <c r="B7" s="363"/>
      <c r="C7" s="364">
        <f>'数据-取费表'!B2</f>
        <v>45477</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66" t="s">
        <v>1683</v>
      </c>
      <c r="Q8" s="3767"/>
      <c r="R8" s="701" t="s">
        <v>14</v>
      </c>
      <c r="S8" s="702">
        <f t="shared" si="0"/>
        <v>0</v>
      </c>
      <c r="T8" s="701" t="s">
        <v>14</v>
      </c>
      <c r="U8" s="702">
        <f t="shared" si="1"/>
        <v>0</v>
      </c>
      <c r="V8" s="701" t="s">
        <v>14</v>
      </c>
      <c r="W8" s="702">
        <f t="shared" si="2"/>
        <v>0</v>
      </c>
      <c r="X8" s="703"/>
      <c r="Y8" s="3766" t="s">
        <v>1683</v>
      </c>
      <c r="Z8" s="3767"/>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3"/>
      <c r="M10" s="2714"/>
      <c r="N10" s="2714"/>
      <c r="O10" s="2767"/>
      <c r="P10" s="3798"/>
      <c r="Q10" s="1338" t="str">
        <f t="shared" si="6"/>
        <v>土地使用年限（年）</v>
      </c>
      <c r="R10" s="701" t="s">
        <v>14</v>
      </c>
      <c r="S10" s="702">
        <f t="shared" si="0"/>
        <v>128</v>
      </c>
      <c r="T10" s="701" t="s">
        <v>14</v>
      </c>
      <c r="U10" s="702">
        <f t="shared" si="1"/>
        <v>128</v>
      </c>
      <c r="V10" s="701" t="s">
        <v>14</v>
      </c>
      <c r="W10" s="702">
        <f t="shared" si="2"/>
        <v>128</v>
      </c>
      <c r="X10" s="703"/>
      <c r="Y10" s="3691"/>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98"/>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98"/>
      <c r="Q12" s="1338" t="str">
        <f t="shared" si="6"/>
        <v>配建</v>
      </c>
      <c r="R12" s="701" t="s">
        <v>14</v>
      </c>
      <c r="S12" s="702">
        <f t="shared" si="0"/>
        <v>100</v>
      </c>
      <c r="T12" s="701" t="s">
        <v>14</v>
      </c>
      <c r="U12" s="702">
        <f t="shared" si="1"/>
        <v>100</v>
      </c>
      <c r="V12" s="701" t="s">
        <v>14</v>
      </c>
      <c r="W12" s="702">
        <f t="shared" si="2"/>
        <v>100</v>
      </c>
      <c r="X12" s="703"/>
      <c r="Y12" s="3691"/>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00" t="s">
        <v>1691</v>
      </c>
      <c r="Q15" s="1347" t="str">
        <f t="shared" si="6"/>
        <v>居住社区成熟度</v>
      </c>
      <c r="R15" s="705" t="s">
        <v>14</v>
      </c>
      <c r="S15" s="706">
        <f t="shared" si="0"/>
        <v>100</v>
      </c>
      <c r="T15" s="705" t="s">
        <v>14</v>
      </c>
      <c r="U15" s="706">
        <f t="shared" si="1"/>
        <v>100</v>
      </c>
      <c r="V15" s="705" t="s">
        <v>14</v>
      </c>
      <c r="W15" s="706">
        <f t="shared" si="2"/>
        <v>100</v>
      </c>
      <c r="X15" s="1350"/>
      <c r="Y15" s="3800"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801"/>
      <c r="Q16" s="1347"/>
      <c r="R16" s="705"/>
      <c r="S16" s="706"/>
      <c r="T16" s="705"/>
      <c r="U16" s="706"/>
      <c r="V16" s="705"/>
      <c r="W16" s="706"/>
      <c r="X16" s="1350"/>
      <c r="Y16" s="3801"/>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01"/>
      <c r="Q17" s="1347" t="str">
        <f>B17</f>
        <v>商业繁华度</v>
      </c>
      <c r="R17" s="705" t="s">
        <v>14</v>
      </c>
      <c r="S17" s="706">
        <f>F17</f>
        <v>100</v>
      </c>
      <c r="T17" s="705" t="s">
        <v>14</v>
      </c>
      <c r="U17" s="706">
        <f>H17</f>
        <v>100</v>
      </c>
      <c r="V17" s="705" t="s">
        <v>14</v>
      </c>
      <c r="W17" s="706">
        <f>J17</f>
        <v>100</v>
      </c>
      <c r="X17" s="1350"/>
      <c r="Y17" s="380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801"/>
      <c r="Q18" s="1347"/>
      <c r="R18" s="705"/>
      <c r="S18" s="706"/>
      <c r="T18" s="705"/>
      <c r="U18" s="706"/>
      <c r="V18" s="705"/>
      <c r="W18" s="706"/>
      <c r="X18" s="1350"/>
      <c r="Y18" s="3801"/>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01"/>
      <c r="Q19" s="1347" t="str">
        <f>B19</f>
        <v>办公集聚程度</v>
      </c>
      <c r="R19" s="705" t="s">
        <v>14</v>
      </c>
      <c r="S19" s="706">
        <f>F19</f>
        <v>100</v>
      </c>
      <c r="T19" s="705" t="s">
        <v>14</v>
      </c>
      <c r="U19" s="706">
        <f>H19</f>
        <v>100</v>
      </c>
      <c r="V19" s="705" t="s">
        <v>14</v>
      </c>
      <c r="W19" s="706">
        <f>J19</f>
        <v>100</v>
      </c>
      <c r="X19" s="1350"/>
      <c r="Y19" s="380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801"/>
      <c r="Q20" s="1347"/>
      <c r="R20" s="705"/>
      <c r="S20" s="706"/>
      <c r="T20" s="705"/>
      <c r="U20" s="706"/>
      <c r="V20" s="705"/>
      <c r="W20" s="706"/>
      <c r="X20" s="1350"/>
      <c r="Y20" s="3801"/>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01"/>
      <c r="Q21" s="1347" t="str">
        <f>B21</f>
        <v>交通便捷度</v>
      </c>
      <c r="R21" s="705" t="s">
        <v>14</v>
      </c>
      <c r="S21" s="706">
        <f>F21</f>
        <v>100</v>
      </c>
      <c r="T21" s="705" t="s">
        <v>14</v>
      </c>
      <c r="U21" s="706">
        <f>H21</f>
        <v>100</v>
      </c>
      <c r="V21" s="705" t="s">
        <v>14</v>
      </c>
      <c r="W21" s="706">
        <f>J21</f>
        <v>100</v>
      </c>
      <c r="X21" s="1350"/>
      <c r="Y21" s="3801"/>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801"/>
      <c r="Q22" s="1347"/>
      <c r="R22" s="705"/>
      <c r="S22" s="706"/>
      <c r="T22" s="705"/>
      <c r="U22" s="706"/>
      <c r="V22" s="705"/>
      <c r="W22" s="706"/>
      <c r="X22" s="1350"/>
      <c r="Y22" s="3801"/>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01"/>
      <c r="Q23" s="1347" t="str">
        <f t="shared" ref="Q23:Q37" si="8">B23</f>
        <v>区域土地利用方向</v>
      </c>
      <c r="R23" s="705" t="s">
        <v>14</v>
      </c>
      <c r="S23" s="706">
        <f>F23</f>
        <v>100</v>
      </c>
      <c r="T23" s="705" t="s">
        <v>14</v>
      </c>
      <c r="U23" s="706">
        <f>H23</f>
        <v>100</v>
      </c>
      <c r="V23" s="705" t="s">
        <v>14</v>
      </c>
      <c r="W23" s="706">
        <f>J23</f>
        <v>100</v>
      </c>
      <c r="X23" s="1350"/>
      <c r="Y23" s="3801"/>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801"/>
      <c r="Q24" s="1347"/>
      <c r="R24" s="705"/>
      <c r="S24" s="706"/>
      <c r="T24" s="705"/>
      <c r="U24" s="706"/>
      <c r="V24" s="705"/>
      <c r="W24" s="706"/>
      <c r="X24" s="1350"/>
      <c r="Y24" s="3801"/>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01"/>
      <c r="Q25" s="1347" t="str">
        <f t="shared" si="8"/>
        <v>自然及人文环境状况</v>
      </c>
      <c r="R25" s="705" t="s">
        <v>14</v>
      </c>
      <c r="S25" s="706">
        <f>F25</f>
        <v>100</v>
      </c>
      <c r="T25" s="705" t="s">
        <v>14</v>
      </c>
      <c r="U25" s="706">
        <f>H25</f>
        <v>100</v>
      </c>
      <c r="V25" s="705" t="s">
        <v>14</v>
      </c>
      <c r="W25" s="706">
        <f>J25</f>
        <v>100</v>
      </c>
      <c r="X25" s="1350"/>
      <c r="Y25" s="380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801"/>
      <c r="Q26" s="1347"/>
      <c r="R26" s="705"/>
      <c r="S26" s="706"/>
      <c r="T26" s="705"/>
      <c r="U26" s="706"/>
      <c r="V26" s="705"/>
      <c r="W26" s="706"/>
      <c r="X26" s="1350"/>
      <c r="Y26" s="3801"/>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01"/>
      <c r="Q27" s="1338" t="str">
        <f t="shared" si="8"/>
        <v>公共配套设施</v>
      </c>
      <c r="R27" s="701" t="s">
        <v>14</v>
      </c>
      <c r="S27" s="702">
        <f>F27</f>
        <v>100</v>
      </c>
      <c r="T27" s="701" t="s">
        <v>14</v>
      </c>
      <c r="U27" s="702">
        <f>H27</f>
        <v>100</v>
      </c>
      <c r="V27" s="701" t="s">
        <v>14</v>
      </c>
      <c r="W27" s="702">
        <f>J27</f>
        <v>100</v>
      </c>
      <c r="X27" s="703"/>
      <c r="Y27" s="3801"/>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801"/>
      <c r="Q28" s="1338"/>
      <c r="R28" s="701"/>
      <c r="S28" s="702"/>
      <c r="T28" s="701"/>
      <c r="U28" s="702"/>
      <c r="V28" s="701"/>
      <c r="W28" s="702"/>
      <c r="X28" s="703"/>
      <c r="Y28" s="3801"/>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01"/>
      <c r="Q29" s="1338" t="str">
        <f t="shared" ref="Q29" si="9">B29</f>
        <v>基础设施水平</v>
      </c>
      <c r="R29" s="701" t="s">
        <v>14</v>
      </c>
      <c r="S29" s="702">
        <f>F29</f>
        <v>100</v>
      </c>
      <c r="T29" s="701" t="s">
        <v>14</v>
      </c>
      <c r="U29" s="702">
        <f>H29</f>
        <v>100</v>
      </c>
      <c r="V29" s="701" t="s">
        <v>14</v>
      </c>
      <c r="W29" s="702">
        <f>J29</f>
        <v>100</v>
      </c>
      <c r="X29" s="703"/>
      <c r="Y29" s="3801"/>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801"/>
      <c r="Q30" s="1338"/>
      <c r="R30" s="701"/>
      <c r="S30" s="702"/>
      <c r="T30" s="701"/>
      <c r="U30" s="702"/>
      <c r="V30" s="701"/>
      <c r="W30" s="702"/>
      <c r="X30" s="703"/>
      <c r="Y30" s="3801"/>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01"/>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801"/>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01"/>
      <c r="Q32" s="1347" t="str">
        <f t="shared" si="8"/>
        <v>毗邻道路的类型与等级</v>
      </c>
      <c r="R32" s="705" t="s">
        <v>14</v>
      </c>
      <c r="S32" s="706">
        <f t="shared" si="10"/>
        <v>100</v>
      </c>
      <c r="T32" s="705" t="s">
        <v>14</v>
      </c>
      <c r="U32" s="706">
        <f t="shared" si="11"/>
        <v>100</v>
      </c>
      <c r="V32" s="705" t="s">
        <v>14</v>
      </c>
      <c r="W32" s="706">
        <f t="shared" si="12"/>
        <v>100</v>
      </c>
      <c r="X32" s="1350"/>
      <c r="Y32" s="380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801"/>
      <c r="Q33" s="1347"/>
      <c r="R33" s="705"/>
      <c r="S33" s="706"/>
      <c r="T33" s="705"/>
      <c r="U33" s="706"/>
      <c r="V33" s="705"/>
      <c r="W33" s="706"/>
      <c r="X33" s="1350"/>
      <c r="Y33" s="3801"/>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01"/>
      <c r="Q34" s="1347" t="str">
        <f t="shared" si="8"/>
        <v>土地级别</v>
      </c>
      <c r="R34" s="705" t="s">
        <v>14</v>
      </c>
      <c r="S34" s="706">
        <f t="shared" si="10"/>
        <v>100</v>
      </c>
      <c r="T34" s="705" t="s">
        <v>14</v>
      </c>
      <c r="U34" s="706">
        <f t="shared" si="11"/>
        <v>100</v>
      </c>
      <c r="V34" s="705" t="s">
        <v>14</v>
      </c>
      <c r="W34" s="706">
        <f t="shared" si="12"/>
        <v>100</v>
      </c>
      <c r="X34" s="1350"/>
      <c r="Y34" s="3801"/>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01"/>
      <c r="Q35" s="1347">
        <f t="shared" si="8"/>
        <v>111</v>
      </c>
      <c r="R35" s="705" t="s">
        <v>14</v>
      </c>
      <c r="S35" s="706">
        <f t="shared" si="10"/>
        <v>100</v>
      </c>
      <c r="T35" s="705" t="s">
        <v>14</v>
      </c>
      <c r="U35" s="706">
        <f t="shared" si="11"/>
        <v>100</v>
      </c>
      <c r="V35" s="705" t="s">
        <v>14</v>
      </c>
      <c r="W35" s="706">
        <f t="shared" si="12"/>
        <v>100</v>
      </c>
      <c r="X35" s="1350"/>
      <c r="Y35" s="3801"/>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24" t="s">
        <v>1696</v>
      </c>
      <c r="Q36" s="1347">
        <f t="shared" si="8"/>
        <v>111</v>
      </c>
      <c r="R36" s="705" t="s">
        <v>14</v>
      </c>
      <c r="S36" s="706">
        <f t="shared" si="10"/>
        <v>100</v>
      </c>
      <c r="T36" s="705" t="s">
        <v>14</v>
      </c>
      <c r="U36" s="706">
        <f t="shared" si="11"/>
        <v>100</v>
      </c>
      <c r="V36" s="705" t="s">
        <v>14</v>
      </c>
      <c r="W36" s="706">
        <f t="shared" si="12"/>
        <v>100</v>
      </c>
      <c r="X36" s="1350"/>
      <c r="Y36" s="3805"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05"/>
      <c r="Q37" s="1347">
        <f t="shared" si="8"/>
        <v>111</v>
      </c>
      <c r="R37" s="708" t="s">
        <v>14</v>
      </c>
      <c r="S37" s="709">
        <f t="shared" si="10"/>
        <v>100</v>
      </c>
      <c r="T37" s="708" t="s">
        <v>14</v>
      </c>
      <c r="U37" s="709">
        <f t="shared" si="11"/>
        <v>100</v>
      </c>
      <c r="V37" s="708" t="s">
        <v>14</v>
      </c>
      <c r="W37" s="709">
        <f t="shared" si="12"/>
        <v>100</v>
      </c>
      <c r="X37" s="710"/>
      <c r="Y37" s="3805"/>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05"/>
      <c r="Q38" s="1347" t="str">
        <f>B38</f>
        <v>宗地面积</v>
      </c>
      <c r="R38" s="705" t="s">
        <v>14</v>
      </c>
      <c r="S38" s="706" t="e">
        <f t="shared" si="10"/>
        <v>#N/A</v>
      </c>
      <c r="T38" s="705" t="s">
        <v>14</v>
      </c>
      <c r="U38" s="706" t="e">
        <f t="shared" si="11"/>
        <v>#N/A</v>
      </c>
      <c r="V38" s="705" t="s">
        <v>14</v>
      </c>
      <c r="W38" s="706" t="e">
        <f t="shared" si="12"/>
        <v>#N/A</v>
      </c>
      <c r="X38" s="1350"/>
      <c r="Y38" s="3805"/>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805"/>
      <c r="Q39" s="1347" t="str">
        <f t="shared" ref="Q39:Q45" si="14">B39</f>
        <v>宗地形状</v>
      </c>
      <c r="R39" s="705" t="s">
        <v>14</v>
      </c>
      <c r="S39" s="706">
        <f t="shared" si="10"/>
        <v>100</v>
      </c>
      <c r="T39" s="705" t="s">
        <v>14</v>
      </c>
      <c r="U39" s="706">
        <f t="shared" si="11"/>
        <v>100</v>
      </c>
      <c r="V39" s="705" t="s">
        <v>14</v>
      </c>
      <c r="W39" s="706">
        <f t="shared" si="12"/>
        <v>100</v>
      </c>
      <c r="X39" s="1350"/>
      <c r="Y39" s="3805"/>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805"/>
      <c r="Q40" s="1347" t="str">
        <f t="shared" si="14"/>
        <v>临街宽度及深度</v>
      </c>
      <c r="R40" s="705" t="s">
        <v>14</v>
      </c>
      <c r="S40" s="706">
        <f t="shared" si="10"/>
        <v>100</v>
      </c>
      <c r="T40" s="705" t="s">
        <v>14</v>
      </c>
      <c r="U40" s="706">
        <f t="shared" si="11"/>
        <v>100</v>
      </c>
      <c r="V40" s="705" t="s">
        <v>14</v>
      </c>
      <c r="W40" s="706">
        <f t="shared" si="12"/>
        <v>100</v>
      </c>
      <c r="X40" s="1350"/>
      <c r="Y40" s="3805"/>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805"/>
      <c r="Q41" s="1347" t="str">
        <f t="shared" si="14"/>
        <v>宗地开发程度</v>
      </c>
      <c r="R41" s="701" t="s">
        <v>14</v>
      </c>
      <c r="S41" s="702">
        <f t="shared" si="10"/>
        <v>100</v>
      </c>
      <c r="T41" s="701" t="s">
        <v>14</v>
      </c>
      <c r="U41" s="702">
        <f t="shared" si="11"/>
        <v>100</v>
      </c>
      <c r="V41" s="701" t="s">
        <v>14</v>
      </c>
      <c r="W41" s="702">
        <f t="shared" si="12"/>
        <v>100</v>
      </c>
      <c r="X41" s="703"/>
      <c r="Y41" s="3805"/>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805" t="s">
        <v>1696</v>
      </c>
      <c r="Q42" s="1347" t="str">
        <f t="shared" si="14"/>
        <v>工程地质条件</v>
      </c>
      <c r="R42" s="705" t="s">
        <v>14</v>
      </c>
      <c r="S42" s="706">
        <f t="shared" si="10"/>
        <v>100</v>
      </c>
      <c r="T42" s="705" t="s">
        <v>14</v>
      </c>
      <c r="U42" s="706">
        <f t="shared" si="11"/>
        <v>100</v>
      </c>
      <c r="V42" s="705" t="s">
        <v>14</v>
      </c>
      <c r="W42" s="706">
        <f t="shared" si="12"/>
        <v>100</v>
      </c>
      <c r="X42" s="1350"/>
      <c r="Y42" s="3805"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05"/>
      <c r="Q43" s="1347">
        <f t="shared" si="14"/>
        <v>111</v>
      </c>
      <c r="R43" s="705" t="s">
        <v>14</v>
      </c>
      <c r="S43" s="706">
        <f t="shared" si="10"/>
        <v>100</v>
      </c>
      <c r="T43" s="705" t="s">
        <v>14</v>
      </c>
      <c r="U43" s="706">
        <f t="shared" si="11"/>
        <v>100</v>
      </c>
      <c r="V43" s="705" t="s">
        <v>14</v>
      </c>
      <c r="W43" s="706">
        <f t="shared" si="12"/>
        <v>100</v>
      </c>
      <c r="X43" s="1350"/>
      <c r="Y43" s="3805"/>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05"/>
      <c r="Q44" s="1347">
        <f t="shared" si="14"/>
        <v>111</v>
      </c>
      <c r="R44" s="705" t="s">
        <v>14</v>
      </c>
      <c r="S44" s="706">
        <f t="shared" si="10"/>
        <v>100</v>
      </c>
      <c r="T44" s="705" t="s">
        <v>14</v>
      </c>
      <c r="U44" s="706">
        <f t="shared" si="11"/>
        <v>100</v>
      </c>
      <c r="V44" s="705" t="s">
        <v>14</v>
      </c>
      <c r="W44" s="706">
        <f t="shared" si="12"/>
        <v>100</v>
      </c>
      <c r="X44" s="1350"/>
      <c r="Y44" s="3805"/>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05"/>
      <c r="Q45" s="1347">
        <f t="shared" si="14"/>
        <v>111</v>
      </c>
      <c r="R45" s="708" t="s">
        <v>14</v>
      </c>
      <c r="S45" s="709">
        <f t="shared" si="10"/>
        <v>100</v>
      </c>
      <c r="T45" s="708" t="s">
        <v>14</v>
      </c>
      <c r="U45" s="709">
        <f t="shared" si="11"/>
        <v>100</v>
      </c>
      <c r="V45" s="708" t="s">
        <v>14</v>
      </c>
      <c r="W45" s="709">
        <f t="shared" si="12"/>
        <v>100</v>
      </c>
      <c r="X45" s="710"/>
      <c r="Y45" s="3805"/>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798" t="str">
        <f>A46</f>
        <v>成交单价</v>
      </c>
      <c r="Q46" s="3798"/>
      <c r="R46" s="3793">
        <f>E46</f>
        <v>0</v>
      </c>
      <c r="S46" s="3793"/>
      <c r="T46" s="3793">
        <f>G46</f>
        <v>0</v>
      </c>
      <c r="U46" s="3793"/>
      <c r="V46" s="3793">
        <f>I46</f>
        <v>0</v>
      </c>
      <c r="W46" s="3793"/>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98" t="str">
        <f>A47</f>
        <v>比较价值（元/平方米）</v>
      </c>
      <c r="Q47" s="3798"/>
      <c r="R47" s="3826" t="e">
        <f>ROUND(PRODUCT(R46,AA7:AA45),0)</f>
        <v>#DIV/0!</v>
      </c>
      <c r="S47" s="3826"/>
      <c r="T47" s="3826" t="e">
        <f>ROUND(PRODUCT(T46,AB7:AB45),0)</f>
        <v>#DIV/0!</v>
      </c>
      <c r="U47" s="3826"/>
      <c r="V47" s="3826" t="e">
        <f>ROUND(PRODUCT(V46,AC7:AC45),0)</f>
        <v>#DIV/0!</v>
      </c>
      <c r="W47" s="38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95" t="str">
        <f>A48</f>
        <v>估价对象XX用房的比较价值（楼面单价，元/平方米）</v>
      </c>
      <c r="Q48" s="3796"/>
      <c r="R48" s="3827" t="e">
        <f>ROUND(IF(D47="简单平均",AVERAGE(R47:W47),R47*F47+T47*H47+V47*J47),0)</f>
        <v>#DIV/0!</v>
      </c>
      <c r="S48" s="3827"/>
      <c r="T48" s="3827"/>
      <c r="U48" s="3827"/>
      <c r="V48" s="3827"/>
      <c r="W48" s="3827"/>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81" t="s">
        <v>1887</v>
      </c>
      <c r="H55" s="3828"/>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41194.69</v>
      </c>
      <c r="F56" s="881" t="e">
        <f t="shared" ref="F56:F64" si="15">ROUND(B56*E56/10000,0)</f>
        <v>#DIV/0!</v>
      </c>
      <c r="G56" s="3780"/>
      <c r="H56" s="3798"/>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二级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二级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二级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二级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二级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33365.060000000063</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二级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二级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74559.750000000058</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88"/>
      <c r="B4" s="3532" t="s">
        <v>917</v>
      </c>
      <c r="C4" s="3532"/>
      <c r="D4" s="3532"/>
      <c r="E4" s="1488"/>
    </row>
    <row r="5" spans="1:5" ht="16.5" thickTop="1">
      <c r="A5" s="1486"/>
      <c r="B5" s="3530" t="s">
        <v>909</v>
      </c>
      <c r="C5" s="1489" t="s">
        <v>910</v>
      </c>
      <c r="D5" s="845">
        <f ca="1">结果表!H101</f>
        <v>235323</v>
      </c>
      <c r="E5" s="1486"/>
    </row>
    <row r="6" spans="1:5" ht="15.75">
      <c r="A6" s="1486"/>
      <c r="B6" s="3530"/>
      <c r="C6" s="1489" t="s">
        <v>911</v>
      </c>
      <c r="D6" s="845" t="str">
        <f ca="1">NUMBERSTRING(INT(D5*10000),2)&amp;"元整"</f>
        <v>贰拾叁亿伍仟叁佰贰拾叁万元整</v>
      </c>
      <c r="E6" s="1486"/>
    </row>
    <row r="7" spans="1:5" ht="15.75">
      <c r="A7" s="1486"/>
      <c r="B7" s="3535"/>
      <c r="C7" s="1490" t="s">
        <v>912</v>
      </c>
      <c r="D7" s="846">
        <f ca="1">结果表!H102</f>
        <v>29842</v>
      </c>
      <c r="E7" s="1486"/>
    </row>
    <row r="8" spans="1:5" ht="15.75">
      <c r="A8" s="1486"/>
      <c r="B8" s="3536" t="str">
        <f>结果表!E103</f>
        <v>2.估价师知悉的法定优先受偿款</v>
      </c>
      <c r="C8" s="1491" t="s">
        <v>913</v>
      </c>
      <c r="D8" s="846">
        <f>结果表!H103</f>
        <v>0</v>
      </c>
      <c r="E8" s="1486"/>
    </row>
    <row r="9" spans="1:5" ht="15.75">
      <c r="A9" s="1486"/>
      <c r="B9" s="3538"/>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29" t="str">
        <f>结果表!E107</f>
        <v>——</v>
      </c>
      <c r="C13" s="1494" t="s">
        <v>910</v>
      </c>
      <c r="D13" s="848" t="str">
        <f>结果表!H107</f>
        <v>——</v>
      </c>
      <c r="E13" s="1486"/>
    </row>
    <row r="14" spans="1:5" ht="15.75">
      <c r="A14" s="1486"/>
      <c r="B14" s="3530"/>
      <c r="C14" s="1489" t="s">
        <v>911</v>
      </c>
      <c r="D14" s="845" t="e">
        <f>NUMBERSTRING(INT(D13*10000),2)&amp;"元整"</f>
        <v>#VALUE!</v>
      </c>
      <c r="E14" s="1486"/>
    </row>
    <row r="15" spans="1:5" ht="15">
      <c r="A15" s="1486"/>
      <c r="B15" s="3535"/>
      <c r="C15" s="1490" t="s">
        <v>921</v>
      </c>
      <c r="D15" s="854" t="e">
        <f ca="1">结果表!H108</f>
        <v>#VALUE!</v>
      </c>
      <c r="E15" s="1486"/>
    </row>
    <row r="16" spans="1:5" ht="15">
      <c r="A16" s="1486"/>
      <c r="B16" s="3536" t="str">
        <f>结果表!E109</f>
        <v>3.抵押担保权已注销时的房地产抵押价值</v>
      </c>
      <c r="C16" s="1494" t="s">
        <v>922</v>
      </c>
      <c r="D16" s="1495">
        <f ca="1">结果表!H109</f>
        <v>235323</v>
      </c>
      <c r="E16" s="1486"/>
    </row>
    <row r="17" spans="1:5" ht="15.75">
      <c r="A17" s="1486"/>
      <c r="B17" s="3537"/>
      <c r="C17" s="1489" t="s">
        <v>923</v>
      </c>
      <c r="D17" s="845" t="str">
        <f ca="1">NUMBERSTRING(INT(D16*10000),2)&amp;"元整"</f>
        <v>贰拾叁亿伍仟叁佰贰拾叁万元整</v>
      </c>
      <c r="E17" s="1486"/>
    </row>
    <row r="18" spans="1:5" ht="15">
      <c r="A18" s="1486"/>
      <c r="B18" s="3538"/>
      <c r="C18" s="1490" t="s">
        <v>912</v>
      </c>
      <c r="D18" s="854">
        <f ca="1">结果表!H110</f>
        <v>29842</v>
      </c>
      <c r="E18" s="1486"/>
    </row>
    <row r="19" spans="1:5" ht="15.75">
      <c r="A19" s="1486"/>
      <c r="B19" s="3529" t="str">
        <f>结果表!E111</f>
        <v>——</v>
      </c>
      <c r="C19" s="1494" t="s">
        <v>910</v>
      </c>
      <c r="D19" s="846" t="str">
        <f>结果表!H111</f>
        <v>——</v>
      </c>
      <c r="E19" s="1486"/>
    </row>
    <row r="20" spans="1:5" ht="15.75">
      <c r="A20" s="1486"/>
      <c r="B20" s="3530"/>
      <c r="C20" s="1489" t="s">
        <v>923</v>
      </c>
      <c r="D20" s="845" t="e">
        <f>NUMBERSTRING(INT(D19*10000),2)&amp;"元整"</f>
        <v>#VALUE!</v>
      </c>
      <c r="E20" s="1486"/>
    </row>
    <row r="21" spans="1:5" ht="15.75" thickBot="1">
      <c r="A21" s="1486"/>
      <c r="B21" s="3531"/>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829" t="s">
        <v>1919</v>
      </c>
      <c r="D6" s="3830"/>
      <c r="E6" s="3831" t="s">
        <v>1919</v>
      </c>
      <c r="F6" s="3832"/>
      <c r="G6" s="3829" t="s">
        <v>1919</v>
      </c>
      <c r="H6" s="3830"/>
      <c r="I6" s="3829" t="s">
        <v>1919</v>
      </c>
      <c r="J6" s="3830"/>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45477</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66" t="s">
        <v>1683</v>
      </c>
      <c r="Q8" s="3767"/>
      <c r="R8" s="701" t="s">
        <v>14</v>
      </c>
      <c r="S8" s="702">
        <f t="shared" si="0"/>
        <v>0</v>
      </c>
      <c r="T8" s="701" t="s">
        <v>14</v>
      </c>
      <c r="U8" s="702">
        <f t="shared" si="1"/>
        <v>0</v>
      </c>
      <c r="V8" s="701" t="s">
        <v>14</v>
      </c>
      <c r="W8" s="702">
        <f t="shared" si="2"/>
        <v>0</v>
      </c>
      <c r="X8" s="703"/>
      <c r="Y8" s="3766" t="s">
        <v>1683</v>
      </c>
      <c r="Z8" s="3767"/>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3"/>
      <c r="M10" s="2714"/>
      <c r="N10" s="2714"/>
      <c r="O10" s="2767"/>
      <c r="P10" s="3798"/>
      <c r="Q10" s="1338" t="str">
        <f t="shared" si="6"/>
        <v>土地使用年限（年）</v>
      </c>
      <c r="R10" s="701" t="s">
        <v>14</v>
      </c>
      <c r="S10" s="702">
        <f t="shared" si="0"/>
        <v>128</v>
      </c>
      <c r="T10" s="701" t="s">
        <v>14</v>
      </c>
      <c r="U10" s="702">
        <f t="shared" si="1"/>
        <v>128</v>
      </c>
      <c r="V10" s="701" t="s">
        <v>14</v>
      </c>
      <c r="W10" s="702">
        <f t="shared" si="2"/>
        <v>128</v>
      </c>
      <c r="X10" s="703"/>
      <c r="Y10" s="3691"/>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98"/>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00" t="s">
        <v>1691</v>
      </c>
      <c r="Q15" s="1347" t="str">
        <f t="shared" si="6"/>
        <v>产业集聚程度</v>
      </c>
      <c r="R15" s="705" t="s">
        <v>14</v>
      </c>
      <c r="S15" s="706">
        <f t="shared" si="0"/>
        <v>100</v>
      </c>
      <c r="T15" s="705" t="s">
        <v>14</v>
      </c>
      <c r="U15" s="706">
        <f t="shared" si="1"/>
        <v>100</v>
      </c>
      <c r="V15" s="705" t="s">
        <v>14</v>
      </c>
      <c r="W15" s="706">
        <f t="shared" si="2"/>
        <v>100</v>
      </c>
      <c r="X15" s="1350"/>
      <c r="Y15" s="3800"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801"/>
      <c r="Q16" s="1347"/>
      <c r="R16" s="705"/>
      <c r="S16" s="706"/>
      <c r="T16" s="705"/>
      <c r="U16" s="706"/>
      <c r="V16" s="705"/>
      <c r="W16" s="706"/>
      <c r="X16" s="1350"/>
      <c r="Y16" s="3801"/>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01"/>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801"/>
      <c r="Q18" s="1347"/>
      <c r="R18" s="705"/>
      <c r="S18" s="706"/>
      <c r="T18" s="705"/>
      <c r="U18" s="706"/>
      <c r="V18" s="705"/>
      <c r="W18" s="706"/>
      <c r="X18" s="1350"/>
      <c r="Y18" s="3801"/>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01"/>
      <c r="Q19" s="1347" t="str">
        <f t="shared" ref="Q19:Q33" si="8">B19</f>
        <v>区域土地利用方向</v>
      </c>
      <c r="R19" s="705" t="s">
        <v>14</v>
      </c>
      <c r="S19" s="706">
        <f>F19</f>
        <v>100</v>
      </c>
      <c r="T19" s="705" t="s">
        <v>14</v>
      </c>
      <c r="U19" s="706">
        <f>H19</f>
        <v>100</v>
      </c>
      <c r="V19" s="705" t="s">
        <v>14</v>
      </c>
      <c r="W19" s="706">
        <f>J19</f>
        <v>100</v>
      </c>
      <c r="X19" s="1350"/>
      <c r="Y19" s="3801"/>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801"/>
      <c r="Q20" s="1347"/>
      <c r="R20" s="705"/>
      <c r="S20" s="706"/>
      <c r="T20" s="705"/>
      <c r="U20" s="706"/>
      <c r="V20" s="705"/>
      <c r="W20" s="706"/>
      <c r="X20" s="1350"/>
      <c r="Y20" s="3801"/>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01"/>
      <c r="Q21" s="1347" t="str">
        <f t="shared" si="8"/>
        <v>环境状况</v>
      </c>
      <c r="R21" s="705" t="s">
        <v>14</v>
      </c>
      <c r="S21" s="706">
        <f>F21</f>
        <v>100</v>
      </c>
      <c r="T21" s="705" t="s">
        <v>14</v>
      </c>
      <c r="U21" s="706">
        <f>H21</f>
        <v>100</v>
      </c>
      <c r="V21" s="705" t="s">
        <v>14</v>
      </c>
      <c r="W21" s="706">
        <f>J21</f>
        <v>100</v>
      </c>
      <c r="X21" s="1350"/>
      <c r="Y21" s="3801"/>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801"/>
      <c r="Q22" s="1347"/>
      <c r="R22" s="705"/>
      <c r="S22" s="706"/>
      <c r="T22" s="705"/>
      <c r="U22" s="706"/>
      <c r="V22" s="705"/>
      <c r="W22" s="706"/>
      <c r="X22" s="1350"/>
      <c r="Y22" s="3801"/>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01"/>
      <c r="Q23" s="1338" t="str">
        <f t="shared" si="8"/>
        <v>公共配套设施</v>
      </c>
      <c r="R23" s="701" t="s">
        <v>14</v>
      </c>
      <c r="S23" s="702">
        <f>F23</f>
        <v>100</v>
      </c>
      <c r="T23" s="701" t="s">
        <v>14</v>
      </c>
      <c r="U23" s="702">
        <f>H23</f>
        <v>100</v>
      </c>
      <c r="V23" s="701" t="s">
        <v>14</v>
      </c>
      <c r="W23" s="702">
        <f>J23</f>
        <v>100</v>
      </c>
      <c r="X23" s="703"/>
      <c r="Y23" s="3801"/>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801"/>
      <c r="Q24" s="1338"/>
      <c r="R24" s="701"/>
      <c r="S24" s="702"/>
      <c r="T24" s="701"/>
      <c r="U24" s="702"/>
      <c r="V24" s="701"/>
      <c r="W24" s="702"/>
      <c r="X24" s="703"/>
      <c r="Y24" s="3801"/>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01"/>
      <c r="Q25" s="1338" t="str">
        <f t="shared" ref="Q25" si="9">B25</f>
        <v>基础设施水平</v>
      </c>
      <c r="R25" s="701" t="s">
        <v>14</v>
      </c>
      <c r="S25" s="702">
        <f>F25</f>
        <v>100</v>
      </c>
      <c r="T25" s="701" t="s">
        <v>14</v>
      </c>
      <c r="U25" s="702">
        <f>H25</f>
        <v>100</v>
      </c>
      <c r="V25" s="701" t="s">
        <v>14</v>
      </c>
      <c r="W25" s="702">
        <f>J25</f>
        <v>100</v>
      </c>
      <c r="X25" s="703"/>
      <c r="Y25" s="3801"/>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801"/>
      <c r="Q26" s="1338"/>
      <c r="R26" s="701"/>
      <c r="S26" s="702"/>
      <c r="T26" s="701"/>
      <c r="U26" s="702"/>
      <c r="V26" s="701"/>
      <c r="W26" s="702"/>
      <c r="X26" s="703"/>
      <c r="Y26" s="38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01"/>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801"/>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01"/>
      <c r="Q28" s="1347" t="str">
        <f t="shared" si="8"/>
        <v>毗邻道路的类型与等级</v>
      </c>
      <c r="R28" s="705" t="s">
        <v>14</v>
      </c>
      <c r="S28" s="706">
        <f t="shared" si="10"/>
        <v>100</v>
      </c>
      <c r="T28" s="705" t="s">
        <v>14</v>
      </c>
      <c r="U28" s="706">
        <f t="shared" si="11"/>
        <v>100</v>
      </c>
      <c r="V28" s="705" t="s">
        <v>14</v>
      </c>
      <c r="W28" s="706">
        <f t="shared" si="12"/>
        <v>100</v>
      </c>
      <c r="X28" s="1350"/>
      <c r="Y28" s="3801"/>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801"/>
      <c r="Q29" s="1347"/>
      <c r="R29" s="705"/>
      <c r="S29" s="706"/>
      <c r="T29" s="705"/>
      <c r="U29" s="706"/>
      <c r="V29" s="705"/>
      <c r="W29" s="706"/>
      <c r="X29" s="1350"/>
      <c r="Y29" s="3801"/>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01"/>
      <c r="Q30" s="1347" t="str">
        <f t="shared" si="8"/>
        <v>土地级别</v>
      </c>
      <c r="R30" s="705" t="s">
        <v>14</v>
      </c>
      <c r="S30" s="706">
        <f t="shared" si="10"/>
        <v>100</v>
      </c>
      <c r="T30" s="705" t="s">
        <v>14</v>
      </c>
      <c r="U30" s="706">
        <f t="shared" si="11"/>
        <v>100</v>
      </c>
      <c r="V30" s="705" t="s">
        <v>14</v>
      </c>
      <c r="W30" s="706">
        <f t="shared" si="12"/>
        <v>100</v>
      </c>
      <c r="X30" s="1350"/>
      <c r="Y30" s="3801"/>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01"/>
      <c r="Q31" s="1347">
        <f t="shared" si="8"/>
        <v>111</v>
      </c>
      <c r="R31" s="705" t="s">
        <v>14</v>
      </c>
      <c r="S31" s="706">
        <f t="shared" si="10"/>
        <v>100</v>
      </c>
      <c r="T31" s="705" t="s">
        <v>14</v>
      </c>
      <c r="U31" s="706">
        <f t="shared" si="11"/>
        <v>100</v>
      </c>
      <c r="V31" s="705" t="s">
        <v>14</v>
      </c>
      <c r="W31" s="706">
        <f t="shared" si="12"/>
        <v>100</v>
      </c>
      <c r="X31" s="1350"/>
      <c r="Y31" s="3801"/>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24" t="s">
        <v>1696</v>
      </c>
      <c r="Q32" s="1347">
        <f t="shared" si="8"/>
        <v>111</v>
      </c>
      <c r="R32" s="705" t="s">
        <v>14</v>
      </c>
      <c r="S32" s="706">
        <f t="shared" si="10"/>
        <v>100</v>
      </c>
      <c r="T32" s="705" t="s">
        <v>14</v>
      </c>
      <c r="U32" s="706">
        <f t="shared" si="11"/>
        <v>100</v>
      </c>
      <c r="V32" s="705" t="s">
        <v>14</v>
      </c>
      <c r="W32" s="706">
        <f t="shared" si="12"/>
        <v>100</v>
      </c>
      <c r="X32" s="1350"/>
      <c r="Y32" s="3805"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05"/>
      <c r="Q33" s="1347">
        <f t="shared" si="8"/>
        <v>111</v>
      </c>
      <c r="R33" s="708" t="s">
        <v>14</v>
      </c>
      <c r="S33" s="709">
        <f t="shared" si="10"/>
        <v>100</v>
      </c>
      <c r="T33" s="708" t="s">
        <v>14</v>
      </c>
      <c r="U33" s="709">
        <f t="shared" si="11"/>
        <v>100</v>
      </c>
      <c r="V33" s="708" t="s">
        <v>14</v>
      </c>
      <c r="W33" s="709">
        <f t="shared" si="12"/>
        <v>100</v>
      </c>
      <c r="X33" s="710"/>
      <c r="Y33" s="3805"/>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05"/>
      <c r="Q34" s="1347" t="str">
        <f>B34</f>
        <v>宗地面积</v>
      </c>
      <c r="R34" s="705" t="s">
        <v>14</v>
      </c>
      <c r="S34" s="706" t="e">
        <f t="shared" si="10"/>
        <v>#N/A</v>
      </c>
      <c r="T34" s="705" t="s">
        <v>14</v>
      </c>
      <c r="U34" s="706" t="e">
        <f t="shared" si="11"/>
        <v>#N/A</v>
      </c>
      <c r="V34" s="705" t="s">
        <v>14</v>
      </c>
      <c r="W34" s="706" t="e">
        <f t="shared" si="12"/>
        <v>#N/A</v>
      </c>
      <c r="X34" s="1350"/>
      <c r="Y34" s="3805"/>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805"/>
      <c r="Q35" s="1347" t="str">
        <f t="shared" ref="Q35:Q40" si="14">B35</f>
        <v>宗地形状</v>
      </c>
      <c r="R35" s="705" t="s">
        <v>14</v>
      </c>
      <c r="S35" s="706">
        <f t="shared" si="10"/>
        <v>100</v>
      </c>
      <c r="T35" s="705" t="s">
        <v>14</v>
      </c>
      <c r="U35" s="706">
        <f t="shared" si="11"/>
        <v>100</v>
      </c>
      <c r="V35" s="705" t="s">
        <v>14</v>
      </c>
      <c r="W35" s="706">
        <f t="shared" si="12"/>
        <v>100</v>
      </c>
      <c r="X35" s="1350"/>
      <c r="Y35" s="3805"/>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805"/>
      <c r="Q36" s="1347" t="str">
        <f t="shared" si="14"/>
        <v>宗地开发程度</v>
      </c>
      <c r="R36" s="701" t="s">
        <v>14</v>
      </c>
      <c r="S36" s="702">
        <f t="shared" si="10"/>
        <v>100</v>
      </c>
      <c r="T36" s="701" t="s">
        <v>14</v>
      </c>
      <c r="U36" s="702">
        <f t="shared" si="11"/>
        <v>100</v>
      </c>
      <c r="V36" s="701" t="s">
        <v>14</v>
      </c>
      <c r="W36" s="702">
        <f t="shared" si="12"/>
        <v>100</v>
      </c>
      <c r="X36" s="703"/>
      <c r="Y36" s="3805"/>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805" t="s">
        <v>1696</v>
      </c>
      <c r="Q37" s="1347" t="str">
        <f t="shared" si="14"/>
        <v>工程地质条件</v>
      </c>
      <c r="R37" s="705" t="s">
        <v>14</v>
      </c>
      <c r="S37" s="706">
        <f t="shared" si="10"/>
        <v>100</v>
      </c>
      <c r="T37" s="705" t="s">
        <v>14</v>
      </c>
      <c r="U37" s="706">
        <f t="shared" si="11"/>
        <v>100</v>
      </c>
      <c r="V37" s="705" t="s">
        <v>14</v>
      </c>
      <c r="W37" s="706">
        <f t="shared" si="12"/>
        <v>100</v>
      </c>
      <c r="X37" s="1350"/>
      <c r="Y37" s="3805"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05"/>
      <c r="Q38" s="1347">
        <f t="shared" si="14"/>
        <v>111</v>
      </c>
      <c r="R38" s="705" t="s">
        <v>14</v>
      </c>
      <c r="S38" s="706">
        <f t="shared" si="10"/>
        <v>100</v>
      </c>
      <c r="T38" s="705" t="s">
        <v>14</v>
      </c>
      <c r="U38" s="706">
        <f t="shared" si="11"/>
        <v>100</v>
      </c>
      <c r="V38" s="705" t="s">
        <v>14</v>
      </c>
      <c r="W38" s="706">
        <f t="shared" si="12"/>
        <v>100</v>
      </c>
      <c r="X38" s="1350"/>
      <c r="Y38" s="3805"/>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05"/>
      <c r="Q39" s="1347">
        <f t="shared" si="14"/>
        <v>111</v>
      </c>
      <c r="R39" s="705" t="s">
        <v>14</v>
      </c>
      <c r="S39" s="706">
        <f t="shared" si="10"/>
        <v>100</v>
      </c>
      <c r="T39" s="705" t="s">
        <v>14</v>
      </c>
      <c r="U39" s="706">
        <f t="shared" si="11"/>
        <v>100</v>
      </c>
      <c r="V39" s="705" t="s">
        <v>14</v>
      </c>
      <c r="W39" s="706">
        <f t="shared" si="12"/>
        <v>100</v>
      </c>
      <c r="X39" s="1350"/>
      <c r="Y39" s="3805"/>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05"/>
      <c r="Q40" s="1347">
        <f t="shared" si="14"/>
        <v>111</v>
      </c>
      <c r="R40" s="708" t="s">
        <v>14</v>
      </c>
      <c r="S40" s="709">
        <f t="shared" si="10"/>
        <v>100</v>
      </c>
      <c r="T40" s="708" t="s">
        <v>14</v>
      </c>
      <c r="U40" s="709">
        <f t="shared" si="11"/>
        <v>100</v>
      </c>
      <c r="V40" s="708" t="s">
        <v>14</v>
      </c>
      <c r="W40" s="709">
        <f t="shared" si="12"/>
        <v>100</v>
      </c>
      <c r="X40" s="710"/>
      <c r="Y40" s="3805"/>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798" t="str">
        <f>A41</f>
        <v>成交单价</v>
      </c>
      <c r="Q41" s="3798"/>
      <c r="R41" s="3793">
        <f>E41</f>
        <v>0</v>
      </c>
      <c r="S41" s="3793"/>
      <c r="T41" s="3793">
        <f>G41</f>
        <v>0</v>
      </c>
      <c r="U41" s="3793"/>
      <c r="V41" s="3793">
        <f>I41</f>
        <v>0</v>
      </c>
      <c r="W41" s="3793"/>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98" t="str">
        <f>A42</f>
        <v>比较价值（元/平方米）</v>
      </c>
      <c r="Q42" s="3798"/>
      <c r="R42" s="3826" t="e">
        <f>ROUND(PRODUCT(R41,AA7:AA40),0)</f>
        <v>#DIV/0!</v>
      </c>
      <c r="S42" s="3826"/>
      <c r="T42" s="3826" t="e">
        <f>ROUND(PRODUCT(T41,AB7:AB40),0)</f>
        <v>#DIV/0!</v>
      </c>
      <c r="U42" s="3826"/>
      <c r="V42" s="3826" t="e">
        <f>ROUND(PRODUCT(V41,AC7:AC40),0)</f>
        <v>#DIV/0!</v>
      </c>
      <c r="W42" s="38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95" t="str">
        <f>A43</f>
        <v>估价对象XX用房的比较价值（楼面单价，元/平方米）</v>
      </c>
      <c r="Q43" s="3796"/>
      <c r="R43" s="3827" t="e">
        <f>ROUND(IF(D42="简单平均",AVERAGE(R42:W42),R42*F42+T42*H42+V42*J42),0)</f>
        <v>#DIV/0!</v>
      </c>
      <c r="S43" s="3827"/>
      <c r="T43" s="3827"/>
      <c r="U43" s="3827"/>
      <c r="V43" s="3827"/>
      <c r="W43" s="3827"/>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81" t="s">
        <v>1887</v>
      </c>
      <c r="H50" s="3828"/>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41194.69</v>
      </c>
      <c r="F51" s="639" t="e">
        <f t="shared" ref="F51:F60" si="15">ROUND(B51*E51/10000,0)</f>
        <v>#DIV/0!</v>
      </c>
      <c r="G51" s="3780"/>
      <c r="H51" s="3798"/>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二级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二级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二级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二级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二级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33365.060000000063</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二级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二级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10858.85</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36" t="s">
        <v>2084</v>
      </c>
      <c r="D1" s="3837"/>
      <c r="E1" s="3837"/>
      <c r="F1" s="3837"/>
      <c r="G1" s="3837"/>
      <c r="H1" s="3837"/>
      <c r="I1" s="3837"/>
      <c r="J1" s="3837"/>
      <c r="K1" s="3837"/>
      <c r="L1" s="3837"/>
      <c r="M1" s="3837"/>
      <c r="N1" s="3837"/>
      <c r="O1" s="3837"/>
      <c r="P1" s="3837"/>
      <c r="Q1" s="3837"/>
      <c r="R1" s="3837"/>
      <c r="S1" s="3838"/>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33" t="s">
        <v>27</v>
      </c>
      <c r="D22" s="3834"/>
      <c r="E22" s="3834"/>
      <c r="F22" s="3834"/>
      <c r="G22" s="3834"/>
      <c r="H22" s="3834"/>
      <c r="I22" s="3834"/>
      <c r="J22" s="3834"/>
      <c r="K22" s="3834"/>
      <c r="L22" s="3834"/>
      <c r="M22" s="3834"/>
      <c r="N22" s="3834"/>
      <c r="O22" s="3834"/>
      <c r="P22" s="3834"/>
      <c r="Q22" s="38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46" t="s">
        <v>2607</v>
      </c>
      <c r="B20" s="3839" t="s">
        <v>2628</v>
      </c>
      <c r="C20" s="3097" t="s">
        <v>2439</v>
      </c>
      <c r="D20" s="3098"/>
      <c r="E20" s="3099">
        <v>1</v>
      </c>
      <c r="F20" s="3100" t="s">
        <v>2440</v>
      </c>
      <c r="G20" s="3100"/>
    </row>
    <row r="21" spans="1:13" ht="19.5" customHeight="1">
      <c r="A21" s="3847"/>
      <c r="B21" s="3840"/>
      <c r="C21" s="3101" t="s">
        <v>2441</v>
      </c>
      <c r="D21" s="3102"/>
      <c r="E21" s="3103">
        <v>1</v>
      </c>
      <c r="F21" s="3100" t="s">
        <v>2442</v>
      </c>
      <c r="G21" s="3100"/>
    </row>
    <row r="22" spans="1:13" ht="19.5" customHeight="1">
      <c r="A22" s="3847"/>
      <c r="B22" s="3840"/>
      <c r="C22" s="3101" t="s">
        <v>2443</v>
      </c>
      <c r="D22" s="3102"/>
      <c r="E22" s="3103">
        <v>0.9</v>
      </c>
      <c r="F22" s="3100" t="s">
        <v>2444</v>
      </c>
      <c r="G22" s="3100"/>
    </row>
    <row r="23" spans="1:13" ht="19.5" customHeight="1">
      <c r="A23" s="3847"/>
      <c r="B23" s="3840"/>
      <c r="C23" s="3101" t="s">
        <v>2445</v>
      </c>
      <c r="D23" s="3102"/>
      <c r="E23" s="3103">
        <v>0.9</v>
      </c>
      <c r="F23" s="3100" t="s">
        <v>2446</v>
      </c>
      <c r="G23" s="3100"/>
    </row>
    <row r="24" spans="1:13" ht="19.5" customHeight="1">
      <c r="A24" s="3847"/>
      <c r="B24" s="3840"/>
      <c r="C24" s="3101" t="s">
        <v>2447</v>
      </c>
      <c r="D24" s="3102"/>
      <c r="E24" s="3103">
        <v>0.8</v>
      </c>
      <c r="F24" s="3100" t="s">
        <v>2448</v>
      </c>
      <c r="G24" s="3100"/>
    </row>
    <row r="25" spans="1:13" ht="19.5" customHeight="1" thickBot="1">
      <c r="A25" s="3848"/>
      <c r="B25" s="3841"/>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42" t="s">
        <v>2631</v>
      </c>
      <c r="B27" s="3839" t="s">
        <v>2612</v>
      </c>
      <c r="C27" s="3097" t="s">
        <v>2452</v>
      </c>
      <c r="D27" s="3098"/>
      <c r="E27" s="3099">
        <v>1</v>
      </c>
      <c r="F27" s="3100" t="s">
        <v>2453</v>
      </c>
      <c r="G27" s="3100"/>
    </row>
    <row r="28" spans="1:13" ht="19.5" customHeight="1">
      <c r="A28" s="3843"/>
      <c r="B28" s="3840"/>
      <c r="C28" s="3101" t="s">
        <v>2454</v>
      </c>
      <c r="D28" s="3102"/>
      <c r="E28" s="3103">
        <v>1</v>
      </c>
      <c r="F28" s="3100" t="s">
        <v>2455</v>
      </c>
      <c r="G28" s="3100"/>
    </row>
    <row r="29" spans="1:13" ht="19.5" customHeight="1">
      <c r="A29" s="3843"/>
      <c r="B29" s="3840"/>
      <c r="C29" s="3101" t="s">
        <v>2456</v>
      </c>
      <c r="D29" s="3102"/>
      <c r="E29" s="3103">
        <v>0.8</v>
      </c>
      <c r="F29" s="3100" t="s">
        <v>2457</v>
      </c>
      <c r="G29" s="3100"/>
    </row>
    <row r="30" spans="1:13" ht="19.5" customHeight="1">
      <c r="A30" s="3843"/>
      <c r="B30" s="3840"/>
      <c r="C30" s="3101" t="s">
        <v>2458</v>
      </c>
      <c r="D30" s="3102"/>
      <c r="E30" s="3103">
        <v>0.8</v>
      </c>
      <c r="F30" s="3100" t="s">
        <v>2459</v>
      </c>
      <c r="G30" s="3100"/>
    </row>
    <row r="31" spans="1:13" ht="19.5" customHeight="1">
      <c r="A31" s="3843"/>
      <c r="B31" s="3840"/>
      <c r="C31" s="3101" t="s">
        <v>2460</v>
      </c>
      <c r="D31" s="3102"/>
      <c r="E31" s="3103">
        <v>0.8</v>
      </c>
      <c r="F31" s="3100" t="s">
        <v>2461</v>
      </c>
      <c r="G31" s="3100"/>
    </row>
    <row r="32" spans="1:13" ht="19.5" customHeight="1">
      <c r="A32" s="3843"/>
      <c r="B32" s="3840"/>
      <c r="C32" s="3101" t="s">
        <v>2462</v>
      </c>
      <c r="D32" s="3102"/>
      <c r="E32" s="3103">
        <v>0.7</v>
      </c>
      <c r="F32" s="3100" t="s">
        <v>2463</v>
      </c>
      <c r="G32" s="3100"/>
    </row>
    <row r="33" spans="1:7" ht="19.5" customHeight="1">
      <c r="A33" s="3843"/>
      <c r="B33" s="3840"/>
      <c r="C33" s="3101" t="s">
        <v>2464</v>
      </c>
      <c r="D33" s="3102"/>
      <c r="E33" s="3103">
        <v>0.8</v>
      </c>
      <c r="F33" s="3100" t="s">
        <v>2465</v>
      </c>
      <c r="G33" s="3100"/>
    </row>
    <row r="34" spans="1:7" ht="19.5" customHeight="1">
      <c r="A34" s="3843"/>
      <c r="B34" s="3840"/>
      <c r="C34" s="3101" t="s">
        <v>2466</v>
      </c>
      <c r="D34" s="3102"/>
      <c r="E34" s="3103">
        <v>0.6</v>
      </c>
      <c r="F34" s="3100" t="s">
        <v>2467</v>
      </c>
      <c r="G34" s="3100"/>
    </row>
    <row r="35" spans="1:7" ht="19.5" customHeight="1">
      <c r="A35" s="3843"/>
      <c r="B35" s="3840"/>
      <c r="C35" s="3101" t="s">
        <v>2468</v>
      </c>
      <c r="D35" s="3102"/>
      <c r="E35" s="3103">
        <v>0.2</v>
      </c>
      <c r="F35" s="3100" t="s">
        <v>2469</v>
      </c>
      <c r="G35" s="3100"/>
    </row>
    <row r="36" spans="1:7" ht="19.5" customHeight="1">
      <c r="A36" s="3843"/>
      <c r="B36" s="3840"/>
      <c r="C36" s="3101" t="s">
        <v>2470</v>
      </c>
      <c r="D36" s="3102"/>
      <c r="E36" s="3103">
        <v>0.2</v>
      </c>
      <c r="F36" s="3100" t="s">
        <v>2471</v>
      </c>
      <c r="G36" s="3100"/>
    </row>
    <row r="37" spans="1:7" ht="19.5" customHeight="1">
      <c r="A37" s="3843"/>
      <c r="B37" s="3845" t="s">
        <v>2632</v>
      </c>
      <c r="C37" s="3101" t="s">
        <v>2472</v>
      </c>
      <c r="D37" s="3102"/>
      <c r="E37" s="3103">
        <v>0.6</v>
      </c>
      <c r="F37" s="3100" t="s">
        <v>2473</v>
      </c>
      <c r="G37" s="3100"/>
    </row>
    <row r="38" spans="1:7" ht="19.5" customHeight="1">
      <c r="A38" s="3843"/>
      <c r="B38" s="3840"/>
      <c r="C38" s="3101" t="s">
        <v>2474</v>
      </c>
      <c r="D38" s="3102"/>
      <c r="E38" s="3103">
        <v>0.6</v>
      </c>
      <c r="F38" s="3100" t="s">
        <v>2475</v>
      </c>
      <c r="G38" s="3100"/>
    </row>
    <row r="39" spans="1:7" ht="19.5" customHeight="1" thickBot="1">
      <c r="A39" s="3844"/>
      <c r="B39" s="3841"/>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46" t="s">
        <v>2610</v>
      </c>
      <c r="B41" s="3839" t="s">
        <v>2634</v>
      </c>
      <c r="C41" s="3097" t="s">
        <v>2479</v>
      </c>
      <c r="D41" s="3098"/>
      <c r="E41" s="3099">
        <v>1</v>
      </c>
      <c r="F41" s="3100" t="s">
        <v>2480</v>
      </c>
      <c r="G41" s="3100"/>
    </row>
    <row r="42" spans="1:7" ht="19.5" customHeight="1">
      <c r="A42" s="3847"/>
      <c r="B42" s="3840"/>
      <c r="C42" s="3101" t="s">
        <v>2481</v>
      </c>
      <c r="D42" s="3102"/>
      <c r="E42" s="3103">
        <v>1</v>
      </c>
      <c r="F42" s="3100" t="s">
        <v>2482</v>
      </c>
      <c r="G42" s="3100"/>
    </row>
    <row r="43" spans="1:7" ht="19.5" customHeight="1">
      <c r="A43" s="3847"/>
      <c r="B43" s="3849"/>
      <c r="C43" s="3101" t="s">
        <v>2483</v>
      </c>
      <c r="D43" s="3102"/>
      <c r="E43" s="3103">
        <v>1.5</v>
      </c>
      <c r="F43" s="3100" t="s">
        <v>2484</v>
      </c>
      <c r="G43" s="3100"/>
    </row>
    <row r="44" spans="1:7" ht="19.5" customHeight="1">
      <c r="A44" s="3847"/>
      <c r="B44" s="3112" t="s">
        <v>2635</v>
      </c>
      <c r="C44" s="3101" t="s">
        <v>2636</v>
      </c>
      <c r="D44" s="3102"/>
      <c r="E44" s="3103">
        <v>2</v>
      </c>
      <c r="F44" s="3100" t="s">
        <v>2485</v>
      </c>
      <c r="G44" s="3100"/>
    </row>
    <row r="45" spans="1:7" ht="19.5" customHeight="1">
      <c r="A45" s="3847"/>
      <c r="B45" s="3845" t="s">
        <v>2637</v>
      </c>
      <c r="C45" s="3101" t="s">
        <v>2486</v>
      </c>
      <c r="D45" s="3102"/>
      <c r="E45" s="3103">
        <v>1</v>
      </c>
      <c r="F45" s="3100" t="s">
        <v>2487</v>
      </c>
      <c r="G45" s="3100"/>
    </row>
    <row r="46" spans="1:7" ht="19.5" customHeight="1">
      <c r="A46" s="3847"/>
      <c r="B46" s="3840"/>
      <c r="C46" s="3101" t="s">
        <v>2488</v>
      </c>
      <c r="D46" s="3102"/>
      <c r="E46" s="3103">
        <v>1</v>
      </c>
      <c r="F46" s="3100" t="s">
        <v>2489</v>
      </c>
      <c r="G46" s="3100"/>
    </row>
    <row r="47" spans="1:7" ht="19.5" customHeight="1">
      <c r="A47" s="3847"/>
      <c r="B47" s="3840"/>
      <c r="C47" s="3101" t="s">
        <v>2490</v>
      </c>
      <c r="D47" s="3102"/>
      <c r="E47" s="3103">
        <v>1</v>
      </c>
      <c r="F47" s="3100" t="s">
        <v>2491</v>
      </c>
      <c r="G47" s="3100"/>
    </row>
    <row r="48" spans="1:7" ht="19.5" customHeight="1">
      <c r="A48" s="3847"/>
      <c r="B48" s="3840"/>
      <c r="C48" s="3101" t="s">
        <v>2492</v>
      </c>
      <c r="D48" s="3102"/>
      <c r="E48" s="3103">
        <v>1</v>
      </c>
      <c r="F48" s="3100" t="s">
        <v>2493</v>
      </c>
      <c r="G48" s="3100"/>
    </row>
    <row r="49" spans="1:7" ht="19.5" customHeight="1">
      <c r="A49" s="3847"/>
      <c r="B49" s="3840"/>
      <c r="C49" s="3101" t="s">
        <v>2494</v>
      </c>
      <c r="D49" s="3102"/>
      <c r="E49" s="3103">
        <v>1</v>
      </c>
      <c r="F49" s="3100" t="s">
        <v>2495</v>
      </c>
      <c r="G49" s="3100"/>
    </row>
    <row r="50" spans="1:7" ht="19.5" customHeight="1">
      <c r="A50" s="3847"/>
      <c r="B50" s="3840"/>
      <c r="C50" s="3101" t="s">
        <v>2496</v>
      </c>
      <c r="D50" s="3102"/>
      <c r="E50" s="3103">
        <v>1</v>
      </c>
      <c r="F50" s="3100" t="s">
        <v>2497</v>
      </c>
      <c r="G50" s="3100"/>
    </row>
    <row r="51" spans="1:7" ht="19.5" customHeight="1" thickBot="1">
      <c r="A51" s="3848"/>
      <c r="B51" s="3841"/>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45" t="s">
        <v>2651</v>
      </c>
      <c r="C73" s="3086" t="s">
        <v>2652</v>
      </c>
      <c r="D73" s="3086" t="s">
        <v>2653</v>
      </c>
      <c r="E73" s="3112">
        <v>0.2</v>
      </c>
      <c r="F73" s="3112">
        <v>25</v>
      </c>
    </row>
    <row r="74" spans="1:7" ht="24">
      <c r="A74" s="3112">
        <v>2</v>
      </c>
      <c r="B74" s="3840"/>
      <c r="C74" s="3086" t="s">
        <v>2654</v>
      </c>
      <c r="D74" s="3086" t="s">
        <v>2655</v>
      </c>
      <c r="E74" s="3112">
        <v>0.2</v>
      </c>
      <c r="F74" s="3112">
        <v>25</v>
      </c>
    </row>
    <row r="75" spans="1:7" ht="24">
      <c r="A75" s="3112">
        <v>3</v>
      </c>
      <c r="B75" s="3840"/>
      <c r="C75" s="3086" t="s">
        <v>2656</v>
      </c>
      <c r="D75" s="3086" t="s">
        <v>2657</v>
      </c>
      <c r="E75" s="3112">
        <v>0.2</v>
      </c>
      <c r="F75" s="3112">
        <v>25</v>
      </c>
    </row>
    <row r="76" spans="1:7" ht="13.5">
      <c r="A76" s="3112">
        <v>4</v>
      </c>
      <c r="B76" s="3840"/>
      <c r="C76" s="3086" t="s">
        <v>2658</v>
      </c>
      <c r="D76" s="3086" t="s">
        <v>2659</v>
      </c>
      <c r="E76" s="3112">
        <v>0.15</v>
      </c>
      <c r="F76" s="3112">
        <v>20</v>
      </c>
    </row>
    <row r="77" spans="1:7" ht="24">
      <c r="A77" s="3112">
        <v>5</v>
      </c>
      <c r="B77" s="3840"/>
      <c r="C77" s="3086" t="s">
        <v>2660</v>
      </c>
      <c r="D77" s="3086" t="s">
        <v>2661</v>
      </c>
      <c r="E77" s="3112">
        <v>0.15</v>
      </c>
      <c r="F77" s="3112">
        <v>20</v>
      </c>
    </row>
    <row r="78" spans="1:7" ht="24">
      <c r="A78" s="3112">
        <v>6</v>
      </c>
      <c r="B78" s="3840"/>
      <c r="C78" s="3086" t="s">
        <v>2662</v>
      </c>
      <c r="D78" s="3086" t="s">
        <v>2663</v>
      </c>
      <c r="E78" s="3112">
        <v>0.15</v>
      </c>
      <c r="F78" s="3112">
        <v>20</v>
      </c>
    </row>
    <row r="79" spans="1:7" ht="24">
      <c r="A79" s="3112">
        <v>7</v>
      </c>
      <c r="B79" s="3840"/>
      <c r="C79" s="3086" t="s">
        <v>2664</v>
      </c>
      <c r="D79" s="3086" t="s">
        <v>2665</v>
      </c>
      <c r="E79" s="3112">
        <v>0.15</v>
      </c>
      <c r="F79" s="3112">
        <v>20</v>
      </c>
    </row>
    <row r="80" spans="1:7" ht="24">
      <c r="A80" s="3112">
        <v>8</v>
      </c>
      <c r="B80" s="3840"/>
      <c r="C80" s="3086" t="s">
        <v>2666</v>
      </c>
      <c r="D80" s="3086" t="s">
        <v>2667</v>
      </c>
      <c r="E80" s="3112">
        <v>0.1</v>
      </c>
      <c r="F80" s="3112">
        <v>15</v>
      </c>
    </row>
    <row r="81" spans="1:6" ht="24">
      <c r="A81" s="3112">
        <v>9</v>
      </c>
      <c r="B81" s="3840"/>
      <c r="C81" s="3086" t="s">
        <v>2668</v>
      </c>
      <c r="D81" s="3086" t="s">
        <v>2669</v>
      </c>
      <c r="E81" s="3112">
        <v>0.1</v>
      </c>
      <c r="F81" s="3112">
        <v>15</v>
      </c>
    </row>
    <row r="82" spans="1:6" ht="24">
      <c r="A82" s="3112">
        <v>10</v>
      </c>
      <c r="B82" s="3840"/>
      <c r="C82" s="3086" t="s">
        <v>2670</v>
      </c>
      <c r="D82" s="3086" t="s">
        <v>2671</v>
      </c>
      <c r="E82" s="3112">
        <v>0.1</v>
      </c>
      <c r="F82" s="3112">
        <v>15</v>
      </c>
    </row>
    <row r="83" spans="1:6" ht="24">
      <c r="A83" s="3112">
        <v>11</v>
      </c>
      <c r="B83" s="3840"/>
      <c r="C83" s="3086" t="s">
        <v>2672</v>
      </c>
      <c r="D83" s="3086" t="s">
        <v>2673</v>
      </c>
      <c r="E83" s="3112">
        <v>0.1</v>
      </c>
      <c r="F83" s="3112">
        <v>15</v>
      </c>
    </row>
    <row r="84" spans="1:6" ht="24">
      <c r="A84" s="3112">
        <v>12</v>
      </c>
      <c r="B84" s="3840"/>
      <c r="C84" s="3086" t="s">
        <v>2674</v>
      </c>
      <c r="D84" s="3086" t="s">
        <v>2675</v>
      </c>
      <c r="E84" s="3112">
        <v>0.1</v>
      </c>
      <c r="F84" s="3112">
        <v>15</v>
      </c>
    </row>
    <row r="85" spans="1:6" ht="13.5">
      <c r="A85" s="3112">
        <v>13</v>
      </c>
      <c r="B85" s="3840"/>
      <c r="C85" s="3086" t="s">
        <v>2676</v>
      </c>
      <c r="D85" s="3086" t="s">
        <v>2677</v>
      </c>
      <c r="E85" s="3112">
        <v>0.1</v>
      </c>
      <c r="F85" s="3112">
        <v>15</v>
      </c>
    </row>
    <row r="86" spans="1:6" ht="13.5">
      <c r="A86" s="3112">
        <v>14</v>
      </c>
      <c r="B86" s="3840"/>
      <c r="C86" s="3086" t="s">
        <v>2678</v>
      </c>
      <c r="D86" s="3086" t="s">
        <v>2679</v>
      </c>
      <c r="E86" s="3112">
        <v>0.1</v>
      </c>
      <c r="F86" s="3112">
        <v>15</v>
      </c>
    </row>
    <row r="87" spans="1:6" ht="13.5">
      <c r="A87" s="3112">
        <v>15</v>
      </c>
      <c r="B87" s="3840"/>
      <c r="C87" s="3086" t="s">
        <v>2680</v>
      </c>
      <c r="D87" s="3086" t="s">
        <v>2681</v>
      </c>
      <c r="E87" s="3112">
        <v>0.1</v>
      </c>
      <c r="F87" s="3112">
        <v>15</v>
      </c>
    </row>
    <row r="88" spans="1:6" ht="24">
      <c r="A88" s="3112">
        <v>16</v>
      </c>
      <c r="B88" s="3840"/>
      <c r="C88" s="3086" t="s">
        <v>2682</v>
      </c>
      <c r="D88" s="3086" t="s">
        <v>2683</v>
      </c>
      <c r="E88" s="3112">
        <v>0.1</v>
      </c>
      <c r="F88" s="3112">
        <v>15</v>
      </c>
    </row>
    <row r="89" spans="1:6" ht="24">
      <c r="A89" s="3112">
        <v>17</v>
      </c>
      <c r="B89" s="3849"/>
      <c r="C89" s="3086" t="s">
        <v>2684</v>
      </c>
      <c r="D89" s="3086" t="s">
        <v>2685</v>
      </c>
      <c r="E89" s="3112">
        <v>0.1</v>
      </c>
      <c r="F89" s="3112">
        <v>15</v>
      </c>
    </row>
    <row r="90" spans="1:6" ht="13.5">
      <c r="A90" s="3112">
        <v>18</v>
      </c>
      <c r="B90" s="3845" t="s">
        <v>2686</v>
      </c>
      <c r="C90" s="3086" t="s">
        <v>2687</v>
      </c>
      <c r="D90" s="3086" t="s">
        <v>2688</v>
      </c>
      <c r="E90" s="3112">
        <v>0.2</v>
      </c>
      <c r="F90" s="3112">
        <v>25</v>
      </c>
    </row>
    <row r="91" spans="1:6" ht="24">
      <c r="A91" s="3112">
        <v>19</v>
      </c>
      <c r="B91" s="3840"/>
      <c r="C91" s="3086" t="s">
        <v>2689</v>
      </c>
      <c r="D91" s="3086" t="s">
        <v>2690</v>
      </c>
      <c r="E91" s="3112">
        <v>0.2</v>
      </c>
      <c r="F91" s="3112">
        <v>25</v>
      </c>
    </row>
    <row r="92" spans="1:6" ht="13.5">
      <c r="A92" s="3112">
        <v>20</v>
      </c>
      <c r="B92" s="3840"/>
      <c r="C92" s="3086" t="s">
        <v>2691</v>
      </c>
      <c r="D92" s="3086" t="s">
        <v>2692</v>
      </c>
      <c r="E92" s="3112">
        <v>0.15</v>
      </c>
      <c r="F92" s="3112">
        <v>20</v>
      </c>
    </row>
    <row r="93" spans="1:6" ht="13.5">
      <c r="A93" s="3112">
        <v>21</v>
      </c>
      <c r="B93" s="3840"/>
      <c r="C93" s="3086" t="s">
        <v>2693</v>
      </c>
      <c r="D93" s="3086" t="s">
        <v>2694</v>
      </c>
      <c r="E93" s="3112">
        <v>0.15</v>
      </c>
      <c r="F93" s="3112">
        <v>20</v>
      </c>
    </row>
    <row r="94" spans="1:6" ht="13.5">
      <c r="A94" s="3112">
        <v>22</v>
      </c>
      <c r="B94" s="3840"/>
      <c r="C94" s="3086" t="s">
        <v>2695</v>
      </c>
      <c r="D94" s="3086" t="s">
        <v>2696</v>
      </c>
      <c r="E94" s="3112">
        <v>0.15</v>
      </c>
      <c r="F94" s="3112">
        <v>20</v>
      </c>
    </row>
    <row r="95" spans="1:6" ht="36">
      <c r="A95" s="3112">
        <v>23</v>
      </c>
      <c r="B95" s="3840"/>
      <c r="C95" s="3086" t="s">
        <v>2697</v>
      </c>
      <c r="D95" s="3086" t="s">
        <v>2698</v>
      </c>
      <c r="E95" s="3112">
        <v>0.15</v>
      </c>
      <c r="F95" s="3112">
        <v>20</v>
      </c>
    </row>
    <row r="96" spans="1:6" ht="13.5">
      <c r="A96" s="3112">
        <v>24</v>
      </c>
      <c r="B96" s="3840"/>
      <c r="C96" s="3086" t="s">
        <v>2699</v>
      </c>
      <c r="D96" s="3086" t="s">
        <v>2700</v>
      </c>
      <c r="E96" s="3112">
        <v>0.1</v>
      </c>
      <c r="F96" s="3112">
        <v>15</v>
      </c>
    </row>
    <row r="97" spans="1:6" ht="13.5">
      <c r="A97" s="3112">
        <v>25</v>
      </c>
      <c r="B97" s="3840"/>
      <c r="C97" s="3086" t="s">
        <v>2701</v>
      </c>
      <c r="D97" s="3086" t="s">
        <v>2702</v>
      </c>
      <c r="E97" s="3112">
        <v>0.1</v>
      </c>
      <c r="F97" s="3112">
        <v>15</v>
      </c>
    </row>
    <row r="98" spans="1:6" ht="24">
      <c r="A98" s="3112">
        <v>26</v>
      </c>
      <c r="B98" s="3840"/>
      <c r="C98" s="3086" t="s">
        <v>2703</v>
      </c>
      <c r="D98" s="3086" t="s">
        <v>2704</v>
      </c>
      <c r="E98" s="3112">
        <v>0.1</v>
      </c>
      <c r="F98" s="3112">
        <v>15</v>
      </c>
    </row>
    <row r="99" spans="1:6" ht="24">
      <c r="A99" s="3112">
        <v>27</v>
      </c>
      <c r="B99" s="3840"/>
      <c r="C99" s="3086" t="s">
        <v>2705</v>
      </c>
      <c r="D99" s="3086" t="s">
        <v>2706</v>
      </c>
      <c r="E99" s="3112">
        <v>0.1</v>
      </c>
      <c r="F99" s="3112">
        <v>15</v>
      </c>
    </row>
    <row r="100" spans="1:6" ht="13.5">
      <c r="A100" s="3112">
        <v>28</v>
      </c>
      <c r="B100" s="3840"/>
      <c r="C100" s="3086" t="s">
        <v>2707</v>
      </c>
      <c r="D100" s="3086" t="s">
        <v>2708</v>
      </c>
      <c r="E100" s="3112">
        <v>0.1</v>
      </c>
      <c r="F100" s="3112">
        <v>15</v>
      </c>
    </row>
    <row r="101" spans="1:6" ht="13.5">
      <c r="A101" s="3112">
        <v>29</v>
      </c>
      <c r="B101" s="3840"/>
      <c r="C101" s="3086" t="s">
        <v>2709</v>
      </c>
      <c r="D101" s="3086" t="s">
        <v>2710</v>
      </c>
      <c r="E101" s="3112">
        <v>0.1</v>
      </c>
      <c r="F101" s="3112">
        <v>15</v>
      </c>
    </row>
    <row r="102" spans="1:6" ht="13.5">
      <c r="A102" s="3112">
        <v>30</v>
      </c>
      <c r="B102" s="3840"/>
      <c r="C102" s="3086" t="s">
        <v>2711</v>
      </c>
      <c r="D102" s="3086" t="s">
        <v>2712</v>
      </c>
      <c r="E102" s="3112">
        <v>0.1</v>
      </c>
      <c r="F102" s="3112">
        <v>15</v>
      </c>
    </row>
    <row r="103" spans="1:6" ht="24">
      <c r="A103" s="3112">
        <v>31</v>
      </c>
      <c r="B103" s="3840"/>
      <c r="C103" s="3086" t="s">
        <v>2713</v>
      </c>
      <c r="D103" s="3086" t="s">
        <v>2714</v>
      </c>
      <c r="E103" s="3112">
        <v>0.1</v>
      </c>
      <c r="F103" s="3112">
        <v>15</v>
      </c>
    </row>
    <row r="104" spans="1:6" ht="24">
      <c r="A104" s="3112">
        <v>32</v>
      </c>
      <c r="B104" s="3840"/>
      <c r="C104" s="3086" t="s">
        <v>2715</v>
      </c>
      <c r="D104" s="3086" t="s">
        <v>2716</v>
      </c>
      <c r="E104" s="3112">
        <v>0.1</v>
      </c>
      <c r="F104" s="3112">
        <v>15</v>
      </c>
    </row>
    <row r="105" spans="1:6" ht="24">
      <c r="A105" s="3112">
        <v>33</v>
      </c>
      <c r="B105" s="3840"/>
      <c r="C105" s="3086" t="s">
        <v>2717</v>
      </c>
      <c r="D105" s="3086" t="s">
        <v>2718</v>
      </c>
      <c r="E105" s="3112">
        <v>0.1</v>
      </c>
      <c r="F105" s="3112">
        <v>15</v>
      </c>
    </row>
    <row r="106" spans="1:6" ht="24">
      <c r="A106" s="3112">
        <v>34</v>
      </c>
      <c r="B106" s="3849"/>
      <c r="C106" s="3086" t="s">
        <v>2719</v>
      </c>
      <c r="D106" s="3086" t="s">
        <v>2720</v>
      </c>
      <c r="E106" s="3112">
        <v>0.1</v>
      </c>
      <c r="F106" s="3112">
        <v>15</v>
      </c>
    </row>
    <row r="107" spans="1:6" ht="24">
      <c r="A107" s="3112">
        <v>35</v>
      </c>
      <c r="B107" s="3845" t="s">
        <v>2721</v>
      </c>
      <c r="C107" s="3112" t="s">
        <v>2722</v>
      </c>
      <c r="D107" s="3086" t="s">
        <v>2723</v>
      </c>
      <c r="E107" s="3112">
        <v>0.15</v>
      </c>
      <c r="F107" s="3112">
        <v>20</v>
      </c>
    </row>
    <row r="108" spans="1:6" ht="13.5">
      <c r="A108" s="3112">
        <v>36</v>
      </c>
      <c r="B108" s="3840"/>
      <c r="C108" s="3112" t="s">
        <v>2724</v>
      </c>
      <c r="D108" s="3086" t="s">
        <v>2725</v>
      </c>
      <c r="E108" s="3112">
        <v>0.15</v>
      </c>
      <c r="F108" s="3112">
        <v>20</v>
      </c>
    </row>
    <row r="109" spans="1:6" ht="13.5">
      <c r="A109" s="3112">
        <v>37</v>
      </c>
      <c r="B109" s="3840"/>
      <c r="C109" s="3112" t="s">
        <v>2726</v>
      </c>
      <c r="D109" s="3086" t="s">
        <v>2727</v>
      </c>
      <c r="E109" s="3112">
        <v>0.15</v>
      </c>
      <c r="F109" s="3112">
        <v>20</v>
      </c>
    </row>
    <row r="110" spans="1:6" ht="13.5">
      <c r="A110" s="3112">
        <v>38</v>
      </c>
      <c r="B110" s="3840"/>
      <c r="C110" s="3112" t="s">
        <v>2728</v>
      </c>
      <c r="D110" s="3086" t="s">
        <v>2729</v>
      </c>
      <c r="E110" s="3112">
        <v>0.1</v>
      </c>
      <c r="F110" s="3112">
        <v>15</v>
      </c>
    </row>
    <row r="111" spans="1:6" ht="24">
      <c r="A111" s="3112">
        <v>39</v>
      </c>
      <c r="B111" s="3840"/>
      <c r="C111" s="3112" t="s">
        <v>2730</v>
      </c>
      <c r="D111" s="3086" t="s">
        <v>2731</v>
      </c>
      <c r="E111" s="3112">
        <v>0.1</v>
      </c>
      <c r="F111" s="3112">
        <v>15</v>
      </c>
    </row>
    <row r="112" spans="1:6" ht="24">
      <c r="A112" s="3112">
        <v>40</v>
      </c>
      <c r="B112" s="3849"/>
      <c r="C112" s="3112" t="s">
        <v>2732</v>
      </c>
      <c r="D112" s="3086" t="s">
        <v>2733</v>
      </c>
      <c r="E112" s="3112">
        <v>0.1</v>
      </c>
      <c r="F112" s="3112">
        <v>15</v>
      </c>
    </row>
    <row r="113" spans="1:6" ht="13.5">
      <c r="A113" s="3112">
        <v>41</v>
      </c>
      <c r="B113" s="3850" t="s">
        <v>2734</v>
      </c>
      <c r="C113" s="3112" t="s">
        <v>2735</v>
      </c>
      <c r="D113" s="3086" t="s">
        <v>2736</v>
      </c>
      <c r="E113" s="3112">
        <v>0.1</v>
      </c>
      <c r="F113" s="3112">
        <v>15</v>
      </c>
    </row>
    <row r="114" spans="1:6" ht="13.5">
      <c r="A114" s="3112">
        <v>42</v>
      </c>
      <c r="B114" s="3850"/>
      <c r="C114" s="3112" t="s">
        <v>2737</v>
      </c>
      <c r="D114" s="3086" t="s">
        <v>2738</v>
      </c>
      <c r="E114" s="3112">
        <v>0.1</v>
      </c>
      <c r="F114" s="3112">
        <v>15</v>
      </c>
    </row>
    <row r="115" spans="1:6" ht="24">
      <c r="A115" s="3112">
        <v>43</v>
      </c>
      <c r="B115" s="3850"/>
      <c r="C115" s="3112" t="s">
        <v>2739</v>
      </c>
      <c r="D115" s="3086" t="s">
        <v>2740</v>
      </c>
      <c r="E115" s="3112">
        <v>0.1</v>
      </c>
      <c r="F115" s="3112">
        <v>15</v>
      </c>
    </row>
    <row r="116" spans="1:6" ht="13.5">
      <c r="A116" s="3112">
        <v>44</v>
      </c>
      <c r="B116" s="3845" t="s">
        <v>2741</v>
      </c>
      <c r="C116" s="3112" t="s">
        <v>2742</v>
      </c>
      <c r="D116" s="3086" t="s">
        <v>2743</v>
      </c>
      <c r="E116" s="3112">
        <v>0.1</v>
      </c>
      <c r="F116" s="3112">
        <v>15</v>
      </c>
    </row>
    <row r="117" spans="1:6" ht="24">
      <c r="A117" s="3112">
        <v>45</v>
      </c>
      <c r="B117" s="3849"/>
      <c r="C117" s="3086" t="s">
        <v>2744</v>
      </c>
      <c r="D117" s="3086" t="s">
        <v>2745</v>
      </c>
      <c r="E117" s="3112">
        <v>0.1</v>
      </c>
      <c r="F117" s="3112">
        <v>15</v>
      </c>
    </row>
    <row r="118" spans="1:6" ht="24">
      <c r="A118" s="3112">
        <v>46</v>
      </c>
      <c r="B118" s="3845" t="s">
        <v>2746</v>
      </c>
      <c r="C118" s="3112" t="s">
        <v>2747</v>
      </c>
      <c r="D118" s="3086" t="s">
        <v>2748</v>
      </c>
      <c r="E118" s="3112">
        <v>0.1</v>
      </c>
      <c r="F118" s="3112">
        <v>15</v>
      </c>
    </row>
    <row r="119" spans="1:6" ht="24">
      <c r="A119" s="3112">
        <v>47</v>
      </c>
      <c r="B119" s="3849"/>
      <c r="C119" s="3112" t="s">
        <v>2749</v>
      </c>
      <c r="D119" s="3086" t="s">
        <v>2750</v>
      </c>
      <c r="E119" s="3112">
        <v>0.1</v>
      </c>
      <c r="F119" s="3112">
        <v>15</v>
      </c>
    </row>
    <row r="120" spans="1:6" ht="13.5">
      <c r="A120" s="3112">
        <v>48</v>
      </c>
      <c r="B120" s="3845" t="s">
        <v>2751</v>
      </c>
      <c r="C120" s="3112" t="s">
        <v>2752</v>
      </c>
      <c r="D120" s="3086" t="s">
        <v>2753</v>
      </c>
      <c r="E120" s="3112">
        <v>0.1</v>
      </c>
      <c r="F120" s="3112">
        <v>15</v>
      </c>
    </row>
    <row r="121" spans="1:6" ht="13.5">
      <c r="A121" s="3112">
        <v>49</v>
      </c>
      <c r="B121" s="3849"/>
      <c r="C121" s="3112" t="s">
        <v>2754</v>
      </c>
      <c r="D121" s="3086" t="s">
        <v>2755</v>
      </c>
      <c r="E121" s="3112">
        <v>0.1</v>
      </c>
      <c r="F121" s="3112">
        <v>15</v>
      </c>
    </row>
    <row r="122" spans="1:6" ht="24">
      <c r="A122" s="3112">
        <v>50</v>
      </c>
      <c r="B122" s="3850" t="s">
        <v>2756</v>
      </c>
      <c r="C122" s="3112" t="s">
        <v>2757</v>
      </c>
      <c r="D122" s="3086" t="s">
        <v>2758</v>
      </c>
      <c r="E122" s="3112">
        <v>0.1</v>
      </c>
      <c r="F122" s="3112">
        <v>15</v>
      </c>
    </row>
    <row r="123" spans="1:6" ht="24">
      <c r="A123" s="3112">
        <v>51</v>
      </c>
      <c r="B123" s="3850"/>
      <c r="C123" s="3112" t="s">
        <v>2759</v>
      </c>
      <c r="D123" s="3086" t="s">
        <v>2760</v>
      </c>
      <c r="E123" s="3112">
        <v>0.1</v>
      </c>
      <c r="F123" s="3112">
        <v>15</v>
      </c>
    </row>
    <row r="124" spans="1:6" ht="24">
      <c r="A124" s="3112">
        <v>52</v>
      </c>
      <c r="B124" s="3850" t="s">
        <v>2761</v>
      </c>
      <c r="C124" s="3112" t="s">
        <v>2762</v>
      </c>
      <c r="D124" s="3086" t="s">
        <v>2763</v>
      </c>
      <c r="E124" s="3112">
        <v>0.1</v>
      </c>
      <c r="F124" s="3112">
        <v>15</v>
      </c>
    </row>
    <row r="125" spans="1:6" ht="24">
      <c r="A125" s="3112">
        <v>53</v>
      </c>
      <c r="B125" s="3850"/>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50" t="s">
        <v>2769</v>
      </c>
      <c r="C127" s="3112" t="s">
        <v>2770</v>
      </c>
      <c r="D127" s="3086" t="s">
        <v>2771</v>
      </c>
      <c r="E127" s="3112">
        <v>0.1</v>
      </c>
      <c r="F127" s="3112">
        <v>15</v>
      </c>
    </row>
    <row r="128" spans="1:6" ht="13.5">
      <c r="A128" s="3112">
        <v>56</v>
      </c>
      <c r="B128" s="3850"/>
      <c r="C128" s="3112" t="s">
        <v>2772</v>
      </c>
      <c r="D128" s="3086" t="s">
        <v>2773</v>
      </c>
      <c r="E128" s="3112">
        <v>0.1</v>
      </c>
      <c r="F128" s="3112">
        <v>15</v>
      </c>
    </row>
    <row r="129" spans="1:6" ht="24">
      <c r="A129" s="3112">
        <v>57</v>
      </c>
      <c r="B129" s="3850"/>
      <c r="C129" s="3112" t="s">
        <v>2774</v>
      </c>
      <c r="D129" s="3086" t="s">
        <v>2775</v>
      </c>
      <c r="E129" s="3112">
        <v>0.1</v>
      </c>
      <c r="F129" s="3112">
        <v>15</v>
      </c>
    </row>
    <row r="130" spans="1:6" ht="24">
      <c r="A130" s="3112">
        <v>58</v>
      </c>
      <c r="B130" s="3850" t="s">
        <v>2776</v>
      </c>
      <c r="C130" s="3112" t="s">
        <v>2777</v>
      </c>
      <c r="D130" s="3086" t="s">
        <v>2778</v>
      </c>
      <c r="E130" s="3112">
        <v>0.1</v>
      </c>
      <c r="F130" s="3112">
        <v>15</v>
      </c>
    </row>
    <row r="131" spans="1:6" ht="13.5">
      <c r="A131" s="3112">
        <v>59</v>
      </c>
      <c r="B131" s="3850"/>
      <c r="C131" s="3112" t="s">
        <v>2779</v>
      </c>
      <c r="D131" s="3086" t="s">
        <v>2780</v>
      </c>
      <c r="E131" s="3112">
        <v>0.1</v>
      </c>
      <c r="F131" s="3112">
        <v>15</v>
      </c>
    </row>
    <row r="132" spans="1:6" ht="13.5">
      <c r="A132" s="3112">
        <v>60</v>
      </c>
      <c r="B132" s="3845" t="s">
        <v>2781</v>
      </c>
      <c r="C132" s="3112" t="s">
        <v>2782</v>
      </c>
      <c r="D132" s="3086" t="s">
        <v>2783</v>
      </c>
      <c r="E132" s="3112">
        <v>0.1</v>
      </c>
      <c r="F132" s="3112">
        <v>15</v>
      </c>
    </row>
    <row r="133" spans="1:6" ht="13.5">
      <c r="A133" s="3112">
        <v>61</v>
      </c>
      <c r="B133" s="3849"/>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50" t="s">
        <v>2789</v>
      </c>
      <c r="C135" s="3112" t="s">
        <v>2790</v>
      </c>
      <c r="D135" s="3086" t="s">
        <v>2791</v>
      </c>
      <c r="E135" s="3112">
        <v>0.1</v>
      </c>
      <c r="F135" s="3112">
        <v>15</v>
      </c>
    </row>
    <row r="136" spans="1:6" ht="13.5">
      <c r="A136" s="3112">
        <v>64</v>
      </c>
      <c r="B136" s="3850"/>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0.95579999999999998</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0.90529999999999999</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98418</v>
      </c>
      <c r="C2" s="2" t="s">
        <v>106</v>
      </c>
      <c r="D2" s="199"/>
      <c r="E2" s="199"/>
      <c r="F2" s="199"/>
      <c r="G2" s="199"/>
    </row>
    <row r="3" spans="1:7" s="200" customFormat="1" ht="18" customHeight="1" thickBot="1">
      <c r="A3" s="203" t="s">
        <v>58</v>
      </c>
      <c r="B3" s="204">
        <f ca="1">ROUND(B2*10000/'数据-汇总表'!E3,0)</f>
        <v>12481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1577</v>
      </c>
      <c r="D10" s="840">
        <f>'数据-汇总表'!E6</f>
        <v>78855.130000000063</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1577</v>
      </c>
      <c r="D19" s="844">
        <f>'数据-汇总表'!E3</f>
        <v>78855.130000000063</v>
      </c>
      <c r="E19" s="211">
        <f>'数据-取费表'!B31</f>
        <v>200</v>
      </c>
      <c r="F19" s="231"/>
      <c r="G19" s="1" t="s">
        <v>436</v>
      </c>
    </row>
    <row r="20" spans="1:7" s="214" customFormat="1" ht="13.5" customHeight="1">
      <c r="A20" s="772" t="s">
        <v>419</v>
      </c>
      <c r="B20" s="210" t="s">
        <v>77</v>
      </c>
      <c r="C20" s="232">
        <f>ROUND((C5+C19)*F20,0)</f>
        <v>666</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2412</v>
      </c>
      <c r="D22" s="235">
        <f ca="1">C26</f>
        <v>1.6000000000000001E-3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2208</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169</v>
      </c>
      <c r="D24" s="238"/>
      <c r="E24" s="238"/>
      <c r="F24" s="239"/>
      <c r="G24" s="240" t="s">
        <v>82</v>
      </c>
    </row>
    <row r="25" spans="1:7" s="214" customFormat="1" ht="24">
      <c r="A25" s="775" t="s">
        <v>348</v>
      </c>
      <c r="B25" s="215" t="s">
        <v>420</v>
      </c>
      <c r="C25" s="1100">
        <f ca="1">ROUND(IF('数据-取费表'!B22&lt;=1,C20*F22*'数据-取费表'!B23/2,C20*(POWER((1+F22),'数据-取费表'!B23/2)-1)),0)</f>
        <v>35</v>
      </c>
      <c r="D25" s="238"/>
      <c r="E25" s="241"/>
      <c r="F25" s="239"/>
      <c r="G25" s="242" t="s">
        <v>83</v>
      </c>
    </row>
    <row r="26" spans="1:7" s="214" customFormat="1">
      <c r="A26" s="775" t="s">
        <v>350</v>
      </c>
      <c r="B26" s="215" t="s">
        <v>422</v>
      </c>
      <c r="C26" s="238">
        <f ca="1">ROUND(IF('数据-取费表'!B22&lt;=1,F21*F22*'数据-取费表'!B23/2,F21*(POWER((1+F22),'数据-取费表'!B23/2)-1)),4)</f>
        <v>1.6000000000000001E-3</v>
      </c>
      <c r="D26" s="238"/>
      <c r="E26" s="241"/>
      <c r="F26" s="239"/>
      <c r="G26" s="243"/>
    </row>
    <row r="27" spans="1:7" s="214" customFormat="1" ht="24.75">
      <c r="A27" s="772" t="s">
        <v>342</v>
      </c>
      <c r="B27" s="244" t="s">
        <v>85</v>
      </c>
      <c r="C27" s="245">
        <f>C28</f>
        <v>4114</v>
      </c>
      <c r="D27" s="235">
        <f>C29</f>
        <v>5.4000000000000003E-3</v>
      </c>
      <c r="E27" s="236" t="s">
        <v>99</v>
      </c>
      <c r="F27" s="246">
        <f>'数据-取费表'!Q16</f>
        <v>0.18</v>
      </c>
      <c r="G27" s="247" t="s">
        <v>431</v>
      </c>
    </row>
    <row r="28" spans="1:7" s="214" customFormat="1" ht="13.5" customHeight="1">
      <c r="A28" s="775" t="s">
        <v>349</v>
      </c>
      <c r="B28" s="248" t="s">
        <v>424</v>
      </c>
      <c r="C28" s="249">
        <f>ROUND((C5+C19+C20)*F27*'数据-取费表'!B21/'数据-取费表'!B20,0)</f>
        <v>4114</v>
      </c>
      <c r="D28" s="235"/>
      <c r="E28" s="236"/>
      <c r="F28" s="246"/>
      <c r="G28" s="247"/>
    </row>
    <row r="29" spans="1:7" s="214" customFormat="1" ht="13.5" customHeight="1">
      <c r="A29" s="775" t="s">
        <v>347</v>
      </c>
      <c r="B29" s="248" t="s">
        <v>425</v>
      </c>
      <c r="C29" s="238">
        <f>ROUND(C21*F27*'数据-取费表'!B21/'数据-取费表'!B20,4)</f>
        <v>5.4000000000000003E-3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32296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56420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51255</v>
      </c>
      <c r="D34" s="217"/>
      <c r="E34" s="220"/>
      <c r="F34" s="257">
        <f>IF('数据-取费表'!B24=0,1,'数据-取费表'!N16)</f>
        <v>1</v>
      </c>
      <c r="G34" s="219" t="s">
        <v>89</v>
      </c>
    </row>
    <row r="35" spans="1:7" ht="13.5" customHeight="1">
      <c r="A35" s="775" t="s">
        <v>351</v>
      </c>
      <c r="B35" s="215" t="s">
        <v>33</v>
      </c>
      <c r="C35" s="220">
        <f>ROUND(C34*F35,0)</f>
        <v>2563</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1577</v>
      </c>
      <c r="D37" s="217">
        <f>'数据-汇总表'!E3</f>
        <v>78855.130000000063</v>
      </c>
      <c r="E37" s="249">
        <f>'数据-取费表'!B35</f>
        <v>200</v>
      </c>
      <c r="F37" s="259"/>
      <c r="G37" s="261" t="s">
        <v>92</v>
      </c>
    </row>
    <row r="38" spans="1:7" ht="13.5" customHeight="1">
      <c r="A38" s="775" t="s">
        <v>354</v>
      </c>
      <c r="B38" s="215" t="s">
        <v>36</v>
      </c>
      <c r="C38" s="220">
        <f>ROUND(C34*F38,0)</f>
        <v>1025</v>
      </c>
      <c r="D38" s="220"/>
      <c r="E38" s="220"/>
      <c r="F38" s="259">
        <f>'数据-取费表'!B36</f>
        <v>0.02</v>
      </c>
      <c r="G38" s="219" t="s">
        <v>90</v>
      </c>
    </row>
    <row r="39" spans="1:7" s="214" customFormat="1" ht="13.5" customHeight="1">
      <c r="A39" s="772" t="s">
        <v>338</v>
      </c>
      <c r="B39" s="210" t="s">
        <v>77</v>
      </c>
      <c r="C39" s="232">
        <f>ROUND(C33*F20,0)</f>
        <v>1693</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3033</v>
      </c>
      <c r="D41" s="235">
        <f ca="1">C44</f>
        <v>1.6000000000000001E-3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2945</v>
      </c>
      <c r="D42" s="238"/>
      <c r="E42" s="238"/>
      <c r="F42" s="239"/>
      <c r="G42" s="3734" t="s">
        <v>94</v>
      </c>
    </row>
    <row r="43" spans="1:7" ht="13.5" customHeight="1">
      <c r="A43" s="775" t="s">
        <v>347</v>
      </c>
      <c r="B43" s="215" t="s">
        <v>426</v>
      </c>
      <c r="C43" s="238">
        <f ca="1">ROUND(IF('数据-取费表'!B22&lt;=1,C39*F22*'数据-取费表'!B21/2,C39*(POWER((1+F22),'数据-取费表'!B21/2)-1)),0)</f>
        <v>88</v>
      </c>
      <c r="D43" s="238"/>
      <c r="E43" s="238"/>
      <c r="F43" s="239"/>
      <c r="G43" s="3735"/>
    </row>
    <row r="44" spans="1:7" ht="13.5" customHeight="1">
      <c r="A44" s="775" t="s">
        <v>348</v>
      </c>
      <c r="B44" s="215" t="s">
        <v>428</v>
      </c>
      <c r="C44" s="238">
        <f ca="1">ROUND(IF('数据-取费表'!B22&lt;=1,C40*F22*'数据-取费表'!B21/2,C40*(POWER((1+F22),'数据-取费表'!B21/2)-1)),4)</f>
        <v>1.6000000000000001E-3</v>
      </c>
      <c r="D44" s="238"/>
      <c r="E44" s="238"/>
      <c r="F44" s="239"/>
      <c r="G44" s="3736"/>
    </row>
    <row r="45" spans="1:7" s="214" customFormat="1" ht="13.5" customHeight="1">
      <c r="A45" s="772" t="s">
        <v>341</v>
      </c>
      <c r="B45" s="244" t="s">
        <v>85</v>
      </c>
      <c r="C45" s="245">
        <f>C46</f>
        <v>10460</v>
      </c>
      <c r="D45" s="235">
        <f>C47</f>
        <v>5.4000000000000003E-3</v>
      </c>
      <c r="E45" s="236" t="s">
        <v>102</v>
      </c>
      <c r="F45" s="246"/>
      <c r="G45" s="247" t="s">
        <v>434</v>
      </c>
    </row>
    <row r="46" spans="1:7" s="214" customFormat="1" ht="13.5" customHeight="1">
      <c r="A46" s="775" t="s">
        <v>349</v>
      </c>
      <c r="B46" s="248" t="s">
        <v>427</v>
      </c>
      <c r="C46" s="249">
        <f>ROUND((C33+C39)*F27,0)</f>
        <v>10460</v>
      </c>
      <c r="D46" s="263"/>
      <c r="E46" s="236"/>
      <c r="F46" s="246"/>
      <c r="G46" s="247"/>
    </row>
    <row r="47" spans="1:7" s="214" customFormat="1" ht="13.5" customHeight="1">
      <c r="A47" s="775" t="s">
        <v>347</v>
      </c>
      <c r="B47" s="248" t="s">
        <v>429</v>
      </c>
      <c r="C47" s="238">
        <f>ROUND(C40*F27,4)</f>
        <v>5.4000000000000003E-3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78717</v>
      </c>
      <c r="D49" s="232"/>
      <c r="E49" s="232"/>
      <c r="F49" s="264"/>
      <c r="G49" s="234" t="s">
        <v>435</v>
      </c>
    </row>
    <row r="50" spans="1:7" s="258" customFormat="1" ht="24">
      <c r="A50" s="772" t="s">
        <v>344</v>
      </c>
      <c r="B50" s="210" t="s">
        <v>97</v>
      </c>
      <c r="C50" s="232"/>
      <c r="D50" s="232"/>
      <c r="E50" s="232"/>
      <c r="F50" s="264">
        <f>IF('数据-取费表'!B24=0,'数据-取费表'!N16,1)</f>
        <v>0.84</v>
      </c>
      <c r="G50" s="247" t="s">
        <v>98</v>
      </c>
    </row>
    <row r="51" spans="1:7" ht="16.5" customHeight="1">
      <c r="A51" s="772" t="s">
        <v>345</v>
      </c>
      <c r="B51" s="210" t="s">
        <v>105</v>
      </c>
      <c r="C51" s="232">
        <f ca="1">ROUND(C49*F50,0)</f>
        <v>66122</v>
      </c>
      <c r="D51" s="232"/>
      <c r="E51" s="232"/>
      <c r="F51" s="264"/>
      <c r="G51" s="234" t="s">
        <v>37</v>
      </c>
    </row>
    <row r="52" spans="1:7" s="208" customFormat="1" ht="16.5" thickBot="1">
      <c r="A52" s="265" t="s">
        <v>38</v>
      </c>
      <c r="B52" s="266"/>
      <c r="C52" s="267">
        <f ca="1">C31+C51</f>
        <v>98418</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53" t="s">
        <v>2839</v>
      </c>
      <c r="B1" s="3853"/>
      <c r="C1" s="3853"/>
      <c r="D1" s="3853"/>
      <c r="E1" s="3853"/>
      <c r="F1" s="3853"/>
      <c r="G1" s="3854"/>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51"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52"/>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55" t="s">
        <v>3181</v>
      </c>
      <c r="B1" s="3855"/>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6" t="s">
        <v>3232</v>
      </c>
      <c r="B1" s="3856"/>
      <c r="C1" s="3856"/>
      <c r="D1" s="3856"/>
      <c r="E1" s="3856"/>
      <c r="F1" s="3857"/>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45477</v>
      </c>
      <c r="B1" s="3204" t="s">
        <v>3371</v>
      </c>
      <c r="C1" s="3205"/>
      <c r="D1" s="3205"/>
      <c r="E1" s="3205"/>
      <c r="F1" s="3205"/>
      <c r="G1" s="3205"/>
      <c r="H1" s="3205"/>
      <c r="I1" s="3205"/>
      <c r="J1" s="3159"/>
      <c r="K1" s="3205" t="s">
        <v>454</v>
      </c>
      <c r="L1" s="3205"/>
      <c r="M1" s="3205"/>
      <c r="N1" s="3205"/>
      <c r="O1" s="3205"/>
      <c r="P1" s="3205"/>
      <c r="Q1" s="3159"/>
      <c r="R1" s="3858" t="s">
        <v>456</v>
      </c>
      <c r="S1" s="3859"/>
      <c r="T1" s="3859"/>
      <c r="U1" s="3859"/>
      <c r="V1" s="3859"/>
      <c r="W1" s="3859"/>
      <c r="X1" s="3159"/>
      <c r="Y1" s="3858" t="s">
        <v>457</v>
      </c>
      <c r="Z1" s="3859"/>
      <c r="AA1" s="3859"/>
      <c r="AB1" s="3859"/>
      <c r="AC1" s="3859"/>
      <c r="AD1" s="3859"/>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58" t="s">
        <v>2827</v>
      </c>
      <c r="S24" s="3859"/>
      <c r="T24" s="3859"/>
      <c r="U24" s="3859"/>
      <c r="V24" s="3859"/>
      <c r="W24" s="3859"/>
      <c r="X24" s="3159"/>
      <c r="Y24" s="3858" t="s">
        <v>2828</v>
      </c>
      <c r="Z24" s="3859"/>
      <c r="AA24" s="3859"/>
      <c r="AB24" s="3859"/>
      <c r="AC24" s="3859"/>
      <c r="AD24" s="3859"/>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5" t="s">
        <v>452</v>
      </c>
      <c r="C1" s="3865"/>
      <c r="D1" s="3865"/>
      <c r="E1" s="3865"/>
      <c r="F1" s="3865"/>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6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849" t="s">
        <v>925</v>
      </c>
      <c r="E3" s="849" t="s">
        <v>931</v>
      </c>
      <c r="F3" s="849" t="s">
        <v>925</v>
      </c>
      <c r="G3" s="849" t="s">
        <v>926</v>
      </c>
      <c r="H3" s="849" t="s">
        <v>925</v>
      </c>
      <c r="I3" s="849" t="s">
        <v>926</v>
      </c>
    </row>
    <row r="4" spans="1:9" ht="15">
      <c r="A4" s="1500" t="str">
        <f>项目基本情况!S2</f>
        <v>房地产</v>
      </c>
      <c r="B4" s="849">
        <f>项目基本情况!C17</f>
        <v>78855.130000000063</v>
      </c>
      <c r="C4" s="849">
        <f>项目基本情况!C18</f>
        <v>10858.85</v>
      </c>
      <c r="D4" s="849">
        <f ca="1">结果表!D118</f>
        <v>177198</v>
      </c>
      <c r="E4" s="849">
        <f ca="1">结果表!E118</f>
        <v>22471</v>
      </c>
      <c r="F4" s="849">
        <f ca="1">结果表!F118</f>
        <v>58125</v>
      </c>
      <c r="G4" s="849">
        <f ca="1">结果表!G118</f>
        <v>7371</v>
      </c>
      <c r="H4" s="849">
        <f ca="1">结果表!H118</f>
        <v>235323</v>
      </c>
      <c r="I4" s="849">
        <f ca="1">结果表!I118</f>
        <v>29842</v>
      </c>
    </row>
    <row r="5" spans="1:9" ht="30" customHeight="1">
      <c r="A5" s="3541" t="s">
        <v>927</v>
      </c>
      <c r="B5" s="3541"/>
      <c r="C5" s="3541"/>
      <c r="D5" s="3541" t="str">
        <f ca="1">结果表!D119</f>
        <v>壹拾柒亿柒仟壹佰玖拾捌万元整</v>
      </c>
      <c r="E5" s="3541"/>
      <c r="F5" s="3541" t="str">
        <f ca="1">结果表!F119</f>
        <v>伍亿捌仟壹佰贰拾伍万元整</v>
      </c>
      <c r="G5" s="3541"/>
      <c r="H5" s="3541" t="str">
        <f ca="1">结果表!H119</f>
        <v>贰拾叁亿伍仟叁佰贰拾叁万元整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927</v>
      </c>
      <c r="B7" s="3541"/>
      <c r="C7" s="3541"/>
      <c r="D7" s="3543" t="str">
        <f>结果表!D121</f>
        <v>零元整</v>
      </c>
      <c r="E7" s="3544"/>
      <c r="F7" s="3544"/>
      <c r="G7" s="3544"/>
      <c r="H7" s="3544"/>
      <c r="I7" s="3545"/>
    </row>
    <row r="8" spans="1:9" ht="15.75">
      <c r="A8" s="3542" t="str">
        <f>结果表!A122</f>
        <v/>
      </c>
      <c r="B8" s="3542"/>
      <c r="C8" s="3542"/>
      <c r="D8" s="3542" t="str">
        <f>结果表!D122</f>
        <v>——</v>
      </c>
      <c r="E8" s="3542"/>
      <c r="F8" s="3542"/>
      <c r="G8" s="3542"/>
      <c r="H8" s="3542"/>
      <c r="I8" s="3542"/>
    </row>
    <row r="9" spans="1:9" ht="15">
      <c r="A9" s="3541" t="s">
        <v>927</v>
      </c>
      <c r="B9" s="3541"/>
      <c r="C9" s="3541"/>
      <c r="D9" s="3541" t="e">
        <f>结果表!D123</f>
        <v>#VALUE!</v>
      </c>
      <c r="E9" s="3541"/>
      <c r="F9" s="3541"/>
      <c r="G9" s="3541"/>
      <c r="H9" s="3541"/>
      <c r="I9" s="3541"/>
    </row>
    <row r="10" spans="1:9" ht="15.75">
      <c r="A10" s="3542" t="str">
        <f>结果表!A124</f>
        <v>抵押担保权已注销时的房地产抵押价值</v>
      </c>
      <c r="B10" s="3542"/>
      <c r="C10" s="3542"/>
      <c r="D10" s="3542">
        <f ca="1">结果表!D124</f>
        <v>235323</v>
      </c>
      <c r="E10" s="3542"/>
      <c r="F10" s="3542"/>
      <c r="G10" s="3542"/>
      <c r="H10" s="3542"/>
      <c r="I10" s="3542"/>
    </row>
    <row r="11" spans="1:9" ht="15">
      <c r="A11" s="3541" t="s">
        <v>927</v>
      </c>
      <c r="B11" s="3541"/>
      <c r="C11" s="3541"/>
      <c r="D11" s="3541" t="str">
        <f ca="1">结果表!D125</f>
        <v>贰拾叁亿伍仟叁佰贰拾叁万元整</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75" thickBot="1">
      <c r="A13" s="3546" t="s">
        <v>927</v>
      </c>
      <c r="B13" s="3546"/>
      <c r="C13" s="3546"/>
      <c r="D13" s="3546" t="e">
        <f>结果表!D127</f>
        <v>#VALUE!</v>
      </c>
      <c r="E13" s="3546"/>
      <c r="F13" s="3546"/>
      <c r="G13" s="3546"/>
      <c r="H13" s="3546"/>
      <c r="I13" s="3546"/>
    </row>
    <row r="14" spans="1:9" ht="15" thickTop="1">
      <c r="A14" s="3547" t="s">
        <v>932</v>
      </c>
      <c r="B14" s="3547"/>
      <c r="C14" s="3547"/>
      <c r="D14" s="3547"/>
      <c r="E14" s="3547"/>
      <c r="F14" s="3547"/>
      <c r="G14" s="3547"/>
      <c r="H14" s="3547"/>
      <c r="I14" s="3547"/>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45477</v>
      </c>
      <c r="D1" s="1297" t="s">
        <v>603</v>
      </c>
      <c r="E1" s="1292">
        <f>'数据-取费表'!B22</f>
        <v>3</v>
      </c>
      <c r="F1" s="1297" t="s">
        <v>604</v>
      </c>
      <c r="G1" s="1293">
        <f ca="1">INDIRECT("d"&amp;$K$1)/100</f>
        <v>3.4500000000000003E-2</v>
      </c>
      <c r="H1" s="1297" t="s">
        <v>634</v>
      </c>
      <c r="I1" s="1293">
        <f ca="1">F4/100</f>
        <v>1.4999999999999999E-2</v>
      </c>
      <c r="J1" s="1298">
        <f>IF(C1&gt;C13,0,MATCH(C1,C$13:C$111,-1))+IF(SUMIF(C13:C111,C1,D13:D111)=0,13,12)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48" t="s">
        <v>949</v>
      </c>
      <c r="B1" s="3548"/>
      <c r="C1" s="3548"/>
      <c r="D1" s="3548"/>
    </row>
    <row r="2" spans="1:4" ht="18">
      <c r="A2" s="3549" t="s">
        <v>933</v>
      </c>
      <c r="B2" s="3549"/>
      <c r="C2" s="3549"/>
      <c r="D2" s="3549"/>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吴薇</v>
      </c>
      <c r="B5" s="1506">
        <f ca="1">项目基本情况!E4</f>
        <v>1419970001</v>
      </c>
      <c r="C5" s="1509"/>
      <c r="D5" s="1508" t="s">
        <v>938</v>
      </c>
    </row>
    <row r="6" spans="1:4" ht="18">
      <c r="A6" s="3549" t="s">
        <v>939</v>
      </c>
      <c r="B6" s="3549"/>
      <c r="C6" s="3549"/>
      <c r="D6" s="3549"/>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50"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943</v>
      </c>
      <c r="B16" s="3554"/>
      <c r="C16" s="3554"/>
      <c r="D16" s="3554"/>
    </row>
    <row r="17" spans="1:4" ht="144" customHeight="1">
      <c r="A17" s="3554" t="s">
        <v>944</v>
      </c>
      <c r="B17" s="3554"/>
      <c r="C17" s="3554"/>
      <c r="D17" s="3554"/>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5"/>
      <c r="C21" s="3555"/>
      <c r="D21" s="3555"/>
    </row>
    <row r="22" spans="1:4" ht="18.75" customHeight="1">
      <c r="A22" s="3556" t="s">
        <v>945</v>
      </c>
      <c r="B22" s="3556"/>
      <c r="C22" s="3556"/>
      <c r="D22" s="355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62" t="s">
        <v>956</v>
      </c>
      <c r="B15" s="3557" t="s">
        <v>109</v>
      </c>
      <c r="C15" s="3558"/>
    </row>
    <row r="16" spans="1:7" ht="13.5">
      <c r="A16" s="3563"/>
      <c r="B16" s="3557" t="s">
        <v>42</v>
      </c>
      <c r="C16" s="3558"/>
    </row>
    <row r="17" spans="1:3" ht="13.5">
      <c r="A17" s="3563"/>
      <c r="B17" s="3560" t="s">
        <v>957</v>
      </c>
      <c r="C17" s="1527" t="s">
        <v>956</v>
      </c>
    </row>
    <row r="18" spans="1:3" ht="13.5">
      <c r="A18" s="3563"/>
      <c r="B18" s="3560"/>
      <c r="C18" s="1527" t="s">
        <v>958</v>
      </c>
    </row>
    <row r="19" spans="1:3" ht="13.5">
      <c r="A19" s="3563"/>
      <c r="B19" s="3560"/>
      <c r="C19" s="1527" t="s">
        <v>959</v>
      </c>
    </row>
    <row r="20" spans="1:3" ht="13.5">
      <c r="A20" s="3564"/>
      <c r="B20" s="3559" t="s">
        <v>960</v>
      </c>
      <c r="C20" s="3558"/>
    </row>
    <row r="21" spans="1:3" ht="13.5">
      <c r="A21" s="1528" t="s">
        <v>961</v>
      </c>
      <c r="B21" s="1529"/>
      <c r="C21" s="1530"/>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27" t="s">
        <v>967</v>
      </c>
    </row>
    <row r="26" spans="1:3" ht="13.5">
      <c r="A26" s="3561"/>
      <c r="B26" s="3560"/>
      <c r="C26" s="1527" t="s">
        <v>968</v>
      </c>
    </row>
    <row r="27" spans="1:3" ht="13.5">
      <c r="A27" s="3561"/>
      <c r="B27" s="3560"/>
      <c r="C27" s="1527" t="s">
        <v>969</v>
      </c>
    </row>
    <row r="28" spans="1:3" ht="13.5">
      <c r="A28" s="3561"/>
      <c r="B28" s="3560"/>
      <c r="C28" s="1527" t="s">
        <v>970</v>
      </c>
    </row>
    <row r="29" spans="1:3" ht="13.5">
      <c r="A29" s="3561"/>
      <c r="B29" s="3560"/>
      <c r="C29" s="1527" t="s">
        <v>971</v>
      </c>
    </row>
    <row r="30" spans="1:3" ht="13.5">
      <c r="A30" s="3561"/>
      <c r="B30" s="3560"/>
      <c r="C30" s="1527" t="s">
        <v>972</v>
      </c>
    </row>
    <row r="31" spans="1:3" ht="13.5">
      <c r="A31" s="3561"/>
      <c r="B31" s="3560"/>
      <c r="C31" s="1527" t="s">
        <v>973</v>
      </c>
    </row>
    <row r="32" spans="1:3" ht="13.5">
      <c r="A32" s="3561"/>
      <c r="B32" s="3560"/>
      <c r="C32" s="1527" t="s">
        <v>974</v>
      </c>
    </row>
    <row r="33" spans="1:3" ht="13.5">
      <c r="A33" s="3561"/>
      <c r="B33" s="3560"/>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45481</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65" t="s">
        <v>2160</v>
      </c>
      <c r="B17" s="3565"/>
      <c r="C17" s="3565"/>
      <c r="D17" s="3565"/>
      <c r="E17" s="3565"/>
      <c r="F17" s="3565"/>
      <c r="G17" s="3565"/>
      <c r="H17" s="3565"/>
    </row>
    <row r="18" spans="1:8" ht="24" customHeight="1">
      <c r="A18" s="3566" t="s">
        <v>2161</v>
      </c>
      <c r="B18" s="3566"/>
      <c r="C18" s="3566"/>
      <c r="D18" s="2338"/>
      <c r="E18" s="3567" t="s">
        <v>2162</v>
      </c>
      <c r="F18" s="3566"/>
      <c r="G18" s="3566"/>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基准地价修正车</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基准地价修正车!Print_Area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基准地价修正车!季度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2024-07-08T05:53:41Z</dcterms:modified>
</cp:coreProperties>
</file>