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3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年期修正系数" sheetId="70" r:id="rId37"/>
    <sheet name="剩余法-待开发" sheetId="12" r:id="rId38"/>
    <sheet name="不动产收益法" sheetId="15" r:id="rId39"/>
    <sheet name="典型户型修正" sheetId="31" r:id="rId40"/>
    <sheet name="存贷款利率" sheetId="65" state="hidden" r:id="rId41"/>
    <sheet name="土地案例" sheetId="69" r:id="rId42"/>
    <sheet name="Sheet1" sheetId="68" r:id="rId43"/>
    <sheet name="Sheet2" sheetId="71"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36">[1]定义!$F$2:$F$4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37" i="71" l="1"/>
  <c r="O36" i="71"/>
  <c r="O35" i="71"/>
  <c r="O34" i="71"/>
  <c r="O33" i="71"/>
  <c r="O32" i="71"/>
  <c r="O31" i="71"/>
  <c r="O30" i="71"/>
  <c r="O29" i="71"/>
  <c r="O28" i="71"/>
  <c r="O27" i="71"/>
  <c r="O26" i="71"/>
  <c r="O25" i="71"/>
  <c r="O24" i="71"/>
  <c r="O23" i="71"/>
  <c r="O16" i="71"/>
  <c r="O15" i="71"/>
  <c r="O14" i="71"/>
  <c r="O13" i="71"/>
  <c r="O12" i="71"/>
  <c r="O11" i="71"/>
  <c r="O10" i="71"/>
  <c r="O9" i="71"/>
  <c r="O8" i="71"/>
  <c r="O7" i="71"/>
  <c r="O6" i="71"/>
  <c r="O5" i="71"/>
  <c r="O4" i="71"/>
  <c r="O3" i="71"/>
  <c r="O2" i="71"/>
  <c r="M3" i="69" l="1"/>
  <c r="M4" i="69"/>
  <c r="M5" i="69"/>
  <c r="M6" i="69"/>
  <c r="M7" i="69"/>
  <c r="M8" i="69"/>
  <c r="M9" i="69"/>
  <c r="M10" i="69"/>
  <c r="M11" i="69"/>
  <c r="M12" i="69"/>
  <c r="M13" i="69"/>
  <c r="M14" i="69"/>
  <c r="M15" i="69"/>
  <c r="M16" i="69"/>
  <c r="M17" i="69"/>
  <c r="M18" i="69"/>
  <c r="M19" i="69"/>
  <c r="M20" i="69"/>
  <c r="M2" i="69"/>
  <c r="C6" i="31"/>
  <c r="F3" i="70"/>
  <c r="F4" i="70"/>
  <c r="E4" i="70"/>
  <c r="E3" i="70"/>
  <c r="B3" i="70"/>
  <c r="B1" i="70"/>
  <c r="C5" i="70" s="1"/>
  <c r="D5" i="70" s="1"/>
  <c r="F10" i="70"/>
  <c r="C16" i="70" s="1"/>
  <c r="F9" i="70"/>
  <c r="B16" i="70" s="1"/>
  <c r="C3" i="70" l="1"/>
  <c r="D3" i="70" s="1"/>
  <c r="C4" i="70"/>
  <c r="D4" i="70" s="1"/>
  <c r="B13" i="70"/>
  <c r="C13" i="70"/>
  <c r="E19" i="4"/>
  <c r="C12" i="39"/>
  <c r="B5" i="31"/>
  <c r="G1" i="15"/>
  <c r="S7" i="1"/>
  <c r="S8" i="1"/>
  <c r="S9" i="1"/>
  <c r="S10" i="1"/>
  <c r="S11" i="1"/>
  <c r="S12" i="1"/>
  <c r="S13" i="1"/>
  <c r="F20" i="15"/>
  <c r="B22" i="1"/>
  <c r="C2" i="65"/>
  <c r="F23" i="15"/>
  <c r="F21" i="15"/>
  <c r="F6" i="1"/>
  <c r="L46" i="15"/>
  <c r="K1" i="12"/>
  <c r="E19" i="12"/>
  <c r="E21" i="12"/>
  <c r="F23" i="12"/>
  <c r="F24" i="12"/>
  <c r="B24" i="1"/>
  <c r="B24" i="31"/>
  <c r="B22" i="31" s="1"/>
  <c r="B43" i="1"/>
  <c r="B41" i="1"/>
  <c r="F32" i="15"/>
  <c r="F28" i="15"/>
  <c r="C28" i="15"/>
  <c r="C40" i="39"/>
  <c r="F11" i="68"/>
  <c r="F12" i="68"/>
  <c r="G2" i="68"/>
  <c r="G3" i="68"/>
  <c r="G4" i="68"/>
  <c r="G5" i="68"/>
  <c r="G6" i="68"/>
  <c r="G7" i="68"/>
  <c r="G8" i="68"/>
  <c r="G9" i="68"/>
  <c r="G10" i="68"/>
  <c r="G11" i="68"/>
  <c r="F19" i="6"/>
  <c r="A3" i="3"/>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C27" i="31"/>
  <c r="C28" i="31"/>
  <c r="C29" i="31"/>
  <c r="C30" i="31"/>
  <c r="C31" i="31"/>
  <c r="C32" i="31"/>
  <c r="R33" i="31"/>
  <c r="R34" i="31"/>
  <c r="S34" i="31" s="1"/>
  <c r="R35" i="31"/>
  <c r="R36" i="31"/>
  <c r="S36" i="31" s="1"/>
  <c r="R37" i="31"/>
  <c r="R38" i="31"/>
  <c r="S38" i="31" s="1"/>
  <c r="R39" i="31"/>
  <c r="S39" i="31" s="1"/>
  <c r="R40" i="31"/>
  <c r="S40" i="31" s="1"/>
  <c r="R41" i="31"/>
  <c r="R42" i="31"/>
  <c r="S42" i="31" s="1"/>
  <c r="R43" i="31"/>
  <c r="R44" i="31"/>
  <c r="S44" i="31" s="1"/>
  <c r="R45" i="31"/>
  <c r="R46" i="31"/>
  <c r="S46" i="31" s="1"/>
  <c r="R47" i="31"/>
  <c r="S47" i="31" s="1"/>
  <c r="R48" i="31"/>
  <c r="S48" i="31" s="1"/>
  <c r="R49" i="31"/>
  <c r="R50" i="31"/>
  <c r="S50" i="31" s="1"/>
  <c r="R51" i="3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R102" i="31"/>
  <c r="S102" i="31" s="1"/>
  <c r="R103" i="31"/>
  <c r="S103" i="31" s="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S443" i="31" s="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R472" i="31"/>
  <c r="S472" i="31" s="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S492" i="31" s="1"/>
  <c r="R493" i="31"/>
  <c r="R494" i="31"/>
  <c r="R495" i="31"/>
  <c r="S495" i="31" s="1"/>
  <c r="R496" i="31"/>
  <c r="R497" i="31"/>
  <c r="R498" i="31"/>
  <c r="S498" i="31" s="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22"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4" i="31"/>
  <c r="S493" i="31"/>
  <c r="S490" i="31"/>
  <c r="S489" i="31"/>
  <c r="S488" i="31"/>
  <c r="S486" i="31"/>
  <c r="S485" i="31"/>
  <c r="S484" i="31"/>
  <c r="S482" i="31"/>
  <c r="S481" i="31"/>
  <c r="S480" i="31"/>
  <c r="S478" i="31"/>
  <c r="S477" i="31"/>
  <c r="S476" i="31"/>
  <c r="S474" i="31"/>
  <c r="S473" i="31"/>
  <c r="S471" i="31"/>
  <c r="S469" i="31"/>
  <c r="S441" i="31"/>
  <c r="S439" i="31"/>
  <c r="S437" i="31"/>
  <c r="S433" i="31"/>
  <c r="S431" i="31"/>
  <c r="S121" i="31"/>
  <c r="S117" i="31"/>
  <c r="S115" i="31"/>
  <c r="S113" i="31"/>
  <c r="S465" i="31"/>
  <c r="S463" i="31"/>
  <c r="S461" i="31"/>
  <c r="S457" i="31"/>
  <c r="S455" i="31"/>
  <c r="S453" i="31"/>
  <c r="S53" i="31"/>
  <c r="S51" i="31"/>
  <c r="S49" i="31"/>
  <c r="S45" i="31"/>
  <c r="S43" i="31"/>
  <c r="S41" i="31"/>
  <c r="S37" i="31"/>
  <c r="S35" i="31"/>
  <c r="S33" i="31"/>
  <c r="S77" i="31"/>
  <c r="S73" i="31"/>
  <c r="S69" i="31"/>
  <c r="S65" i="31"/>
  <c r="S61" i="31"/>
  <c r="S57" i="31"/>
  <c r="S97" i="31"/>
  <c r="S93" i="31"/>
  <c r="S89" i="31"/>
  <c r="S85" i="31"/>
  <c r="S81" i="31"/>
  <c r="S99" i="31"/>
  <c r="S101" i="31"/>
  <c r="S105" i="31"/>
  <c r="S107" i="31"/>
  <c r="S109" i="31"/>
  <c r="S445" i="31"/>
  <c r="S447" i="31"/>
  <c r="S449"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7" i="31"/>
  <c r="S521"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BA16" i="3"/>
  <c r="BA17" i="3"/>
  <c r="AZ17" i="3"/>
  <c r="F3" i="35"/>
  <c r="K1" i="43"/>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O10" i="1" s="1"/>
  <c r="P10" i="1" s="1"/>
  <c r="R11" i="1"/>
  <c r="R13" i="1"/>
  <c r="B6" i="1"/>
  <c r="E6" i="1"/>
  <c r="B10" i="1"/>
  <c r="E10" i="1"/>
  <c r="B8" i="1"/>
  <c r="E8" i="1"/>
  <c r="B12" i="1"/>
  <c r="E12" i="1"/>
  <c r="K6" i="1"/>
  <c r="M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G66" i="36"/>
  <c r="J18" i="36"/>
  <c r="AE8" i="1"/>
  <c r="AE7" i="1"/>
  <c r="W18" i="36"/>
  <c r="AC18" i="36"/>
  <c r="AG6" i="1"/>
  <c r="D12" i="11"/>
  <c r="C12" i="11"/>
  <c r="L20" i="6"/>
  <c r="AZ5" i="3"/>
  <c r="E3" i="6"/>
  <c r="D16" i="43"/>
  <c r="C16" i="43" s="1"/>
  <c r="L19" i="6"/>
  <c r="L27" i="6"/>
  <c r="E6" i="6"/>
  <c r="L38" i="9"/>
  <c r="B14" i="66"/>
  <c r="B1" i="66"/>
  <c r="C45" i="9"/>
  <c r="H14" i="66"/>
  <c r="B7" i="66"/>
  <c r="C7" i="66"/>
  <c r="R9" i="1"/>
  <c r="R7" i="1"/>
  <c r="R8" i="1"/>
  <c r="F9" i="39"/>
  <c r="AA9" i="39"/>
  <c r="G6" i="1"/>
  <c r="K14" i="1"/>
  <c r="M14" i="1" s="1"/>
  <c r="Q16" i="1"/>
  <c r="F24" i="43" s="1"/>
  <c r="C26" i="43" s="1"/>
  <c r="D24" i="43" s="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H1" i="65"/>
  <c r="W7" i="21"/>
  <c r="F31" i="6"/>
  <c r="H51" i="46"/>
  <c r="X7" i="46"/>
  <c r="E17" i="46"/>
  <c r="N17" i="46"/>
  <c r="O17" i="46"/>
  <c r="M17" i="46"/>
  <c r="L17" i="46"/>
  <c r="H22" i="46"/>
  <c r="Y11" i="46"/>
  <c r="Y13" i="46" s="1"/>
  <c r="H101" i="46"/>
  <c r="H102" i="46"/>
  <c r="G22" i="46"/>
  <c r="J22" i="46"/>
  <c r="F101" i="46"/>
  <c r="F106" i="46"/>
  <c r="D101" i="46"/>
  <c r="D106" i="46" s="1"/>
  <c r="D13" i="11"/>
  <c r="C13" i="11"/>
  <c r="E28" i="6"/>
  <c r="E14" i="6"/>
  <c r="E15" i="6"/>
  <c r="E13" i="6"/>
  <c r="E12" i="6"/>
  <c r="E10" i="6"/>
  <c r="E11" i="6"/>
  <c r="AY6" i="3"/>
  <c r="AY82" i="3" s="1"/>
  <c r="AP7" i="1"/>
  <c r="G13" i="1"/>
  <c r="E52" i="37"/>
  <c r="D46" i="36"/>
  <c r="AP16" i="1"/>
  <c r="F22" i="11" s="1"/>
  <c r="E48" i="35"/>
  <c r="D59" i="34"/>
  <c r="H7" i="33"/>
  <c r="F7" i="33"/>
  <c r="H70" i="46"/>
  <c r="H73" i="46"/>
  <c r="H50" i="46"/>
  <c r="H48" i="46"/>
  <c r="F35" i="46"/>
  <c r="I17" i="46"/>
  <c r="G17" i="46" s="1"/>
  <c r="C16" i="46" s="1"/>
  <c r="H63" i="46"/>
  <c r="I101" i="46"/>
  <c r="I109" i="46" s="1"/>
  <c r="I102" i="46"/>
  <c r="M101" i="46"/>
  <c r="M107" i="46" s="1"/>
  <c r="N101" i="46"/>
  <c r="N105" i="46" s="1"/>
  <c r="AC11" i="46"/>
  <c r="AC13" i="46" s="1"/>
  <c r="AD11" i="46"/>
  <c r="AJ11" i="46"/>
  <c r="AJ13" i="46" s="1"/>
  <c r="H64" i="46"/>
  <c r="H66" i="46"/>
  <c r="D100" i="46"/>
  <c r="F104" i="46"/>
  <c r="H62" i="46"/>
  <c r="AF12" i="46"/>
  <c r="K100" i="46"/>
  <c r="AB12" i="46"/>
  <c r="AJ12" i="46"/>
  <c r="C101" i="46"/>
  <c r="C109" i="46" s="1"/>
  <c r="G101" i="46"/>
  <c r="J101" i="46"/>
  <c r="B113" i="46"/>
  <c r="N104" i="45"/>
  <c r="L101" i="46"/>
  <c r="F22" i="46"/>
  <c r="E101" i="46"/>
  <c r="Z7" i="46"/>
  <c r="K101" i="46"/>
  <c r="E22" i="46"/>
  <c r="D22" i="46" s="1"/>
  <c r="AG11" i="46"/>
  <c r="AG13" i="46"/>
  <c r="Z11" i="46"/>
  <c r="Z13" i="46" s="1"/>
  <c r="AH11" i="46"/>
  <c r="AH13" i="46" s="1"/>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C8" i="59"/>
  <c r="C7" i="59"/>
  <c r="T7" i="59"/>
  <c r="E6" i="52"/>
  <c r="P21" i="46"/>
  <c r="B8" i="59"/>
  <c r="B7" i="59"/>
  <c r="S7" i="59"/>
  <c r="D8" i="59"/>
  <c r="P22" i="46"/>
  <c r="P23" i="46"/>
  <c r="P25" i="46"/>
  <c r="B73" i="39"/>
  <c r="P24" i="46"/>
  <c r="B68" i="40"/>
  <c r="E9" i="52"/>
  <c r="E11" i="52"/>
  <c r="F33" i="44"/>
  <c r="F31" i="15"/>
  <c r="F58" i="15"/>
  <c r="M17" i="15"/>
  <c r="M19" i="44"/>
  <c r="E65" i="40"/>
  <c r="D67" i="40"/>
  <c r="F7" i="21"/>
  <c r="E70" i="39"/>
  <c r="D72" i="39"/>
  <c r="AB7" i="21"/>
  <c r="T48" i="21"/>
  <c r="G48" i="21"/>
  <c r="U7" i="21"/>
  <c r="F6" i="59"/>
  <c r="F5" i="59"/>
  <c r="V7" i="59"/>
  <c r="B6" i="59"/>
  <c r="B5" i="59"/>
  <c r="D7" i="59"/>
  <c r="C6" i="59"/>
  <c r="D107" i="46"/>
  <c r="M106" i="46"/>
  <c r="M104" i="46"/>
  <c r="M105" i="46"/>
  <c r="D103" i="46"/>
  <c r="D102" i="46"/>
  <c r="F18" i="11"/>
  <c r="C18" i="11"/>
  <c r="D105" i="46"/>
  <c r="D109" i="46"/>
  <c r="D104" i="46"/>
  <c r="D3" i="6"/>
  <c r="D21" i="6" s="1"/>
  <c r="AY530" i="3"/>
  <c r="AY37" i="3"/>
  <c r="AY97" i="3"/>
  <c r="AY203" i="3"/>
  <c r="AY198" i="3"/>
  <c r="AY95" i="3"/>
  <c r="AY77" i="3"/>
  <c r="AY83" i="3"/>
  <c r="AY73" i="3"/>
  <c r="AY45" i="3"/>
  <c r="AY57" i="3"/>
  <c r="AY277" i="3"/>
  <c r="AY262" i="3"/>
  <c r="AY384" i="3"/>
  <c r="AY349" i="3"/>
  <c r="AY425" i="3"/>
  <c r="AY397" i="3"/>
  <c r="AY202" i="3"/>
  <c r="AY149" i="3"/>
  <c r="AY286" i="3"/>
  <c r="AY379" i="3"/>
  <c r="AY398" i="3"/>
  <c r="AY463" i="3"/>
  <c r="AY169" i="3"/>
  <c r="AY135" i="3"/>
  <c r="AY348" i="3"/>
  <c r="AY372" i="3"/>
  <c r="AY72" i="3"/>
  <c r="AY62" i="3"/>
  <c r="AY241" i="3"/>
  <c r="AY376" i="3"/>
  <c r="AY30" i="3"/>
  <c r="AY155" i="3"/>
  <c r="AY542" i="3"/>
  <c r="AY450" i="3"/>
  <c r="AY382" i="3"/>
  <c r="AY307" i="3"/>
  <c r="AY555" i="3"/>
  <c r="AY412" i="3"/>
  <c r="AY143" i="3"/>
  <c r="AY201" i="3"/>
  <c r="AY308" i="3"/>
  <c r="AY330" i="3"/>
  <c r="AY236" i="3"/>
  <c r="AY449" i="3"/>
  <c r="AY52" i="3"/>
  <c r="AY191" i="3"/>
  <c r="AY246" i="3"/>
  <c r="AY275" i="3"/>
  <c r="AY408" i="3"/>
  <c r="AY414" i="3"/>
  <c r="AY374" i="3"/>
  <c r="AY304" i="3"/>
  <c r="AY183" i="3"/>
  <c r="AY227" i="3"/>
  <c r="AY337" i="3"/>
  <c r="AY558" i="3"/>
  <c r="AY25" i="3"/>
  <c r="AY120" i="3"/>
  <c r="AY341" i="3"/>
  <c r="AY424" i="3"/>
  <c r="AY197" i="3"/>
  <c r="AY266" i="3"/>
  <c r="AY76" i="3"/>
  <c r="AY156" i="3"/>
  <c r="AY321" i="3"/>
  <c r="AY14" i="3"/>
  <c r="AY465" i="3"/>
  <c r="AY378" i="3"/>
  <c r="BH6" i="3"/>
  <c r="AY193" i="3"/>
  <c r="AY86" i="3"/>
  <c r="AY27" i="3"/>
  <c r="AY431" i="3"/>
  <c r="BN6" i="3"/>
  <c r="AY428" i="3"/>
  <c r="BD6" i="3"/>
  <c r="AY526" i="3"/>
  <c r="BL6" i="3"/>
  <c r="AY42" i="3"/>
  <c r="AY160" i="3"/>
  <c r="AY34" i="3"/>
  <c r="AY145" i="3"/>
  <c r="AY218" i="3"/>
  <c r="AY248" i="3"/>
  <c r="AY309" i="3"/>
  <c r="AY472" i="3"/>
  <c r="AY392" i="3"/>
  <c r="AY96" i="3"/>
  <c r="AY176" i="3"/>
  <c r="AY233" i="3"/>
  <c r="AY356" i="3"/>
  <c r="AY329" i="3"/>
  <c r="AY44" i="3"/>
  <c r="AY131" i="3"/>
  <c r="AY288" i="3"/>
  <c r="AY206" i="3"/>
  <c r="AY371" i="3"/>
  <c r="AY318" i="3"/>
  <c r="AY520" i="3"/>
  <c r="BA6" i="3"/>
  <c r="AY147" i="3"/>
  <c r="AY249" i="3"/>
  <c r="AY283" i="3"/>
  <c r="AY561" i="3"/>
  <c r="AY453" i="3"/>
  <c r="AY446" i="3"/>
  <c r="AY162" i="3"/>
  <c r="AY225" i="3"/>
  <c r="AY380" i="3"/>
  <c r="AY22" i="3"/>
  <c r="AY184" i="3"/>
  <c r="AY211" i="3"/>
  <c r="AY562" i="3"/>
  <c r="BQ6" i="3"/>
  <c r="AY396" i="3"/>
  <c r="AY406" i="3"/>
  <c r="AY151" i="3"/>
  <c r="AY221" i="3"/>
  <c r="AY303" i="3"/>
  <c r="AY360" i="3"/>
  <c r="AY245" i="3"/>
  <c r="AY127" i="3"/>
  <c r="AY531" i="3"/>
  <c r="AY32" i="3"/>
  <c r="AY498" i="3"/>
  <c r="AY137" i="3"/>
  <c r="AY239" i="3"/>
  <c r="AY407" i="3"/>
  <c r="AY485" i="3"/>
  <c r="AY500" i="3"/>
  <c r="AY552" i="3"/>
  <c r="AY565" i="3"/>
  <c r="AY107" i="3"/>
  <c r="AY140" i="3"/>
  <c r="AY244" i="3"/>
  <c r="AY458" i="3"/>
  <c r="AY527" i="3"/>
  <c r="BP6" i="3"/>
  <c r="AY152" i="3"/>
  <c r="AY461" i="3"/>
  <c r="AY399" i="3"/>
  <c r="AY489" i="3"/>
  <c r="AY519" i="3"/>
  <c r="AY553" i="3"/>
  <c r="AY546" i="3"/>
  <c r="AY66" i="3"/>
  <c r="AY199" i="3"/>
  <c r="AY242" i="3"/>
  <c r="AY325" i="3"/>
  <c r="AY480" i="3"/>
  <c r="AY417" i="3"/>
  <c r="AY186" i="3"/>
  <c r="AY174" i="3"/>
  <c r="AY287" i="3"/>
  <c r="BF6" i="3"/>
  <c r="AY90" i="3"/>
  <c r="AY163" i="3"/>
  <c r="AY222" i="3"/>
  <c r="AY351" i="3"/>
  <c r="AY385" i="3"/>
  <c r="AY390" i="3"/>
  <c r="AY358" i="3"/>
  <c r="AY492" i="3"/>
  <c r="AY540" i="3"/>
  <c r="AY328" i="3"/>
  <c r="AY15" i="3"/>
  <c r="AY484" i="3"/>
  <c r="AY344" i="3"/>
  <c r="AY355" i="3"/>
  <c r="AY505" i="3"/>
  <c r="AY63" i="3"/>
  <c r="AY220" i="3"/>
  <c r="AY17" i="3"/>
  <c r="AY223" i="3"/>
  <c r="BR6" i="3"/>
  <c r="AY563" i="3"/>
  <c r="AY71" i="3"/>
  <c r="AY497" i="3"/>
  <c r="AY68" i="3"/>
  <c r="AY190" i="3"/>
  <c r="AY285" i="3"/>
  <c r="AY357" i="3"/>
  <c r="AY440" i="3"/>
  <c r="AY404" i="3"/>
  <c r="AY133" i="3"/>
  <c r="AY235" i="3"/>
  <c r="AY327" i="3"/>
  <c r="AY84" i="3"/>
  <c r="AY195" i="3"/>
  <c r="AY567" i="3"/>
  <c r="AY276" i="3"/>
  <c r="AY401" i="3"/>
  <c r="AY538" i="3"/>
  <c r="AY436" i="3"/>
  <c r="AY495" i="3"/>
  <c r="AY534" i="3"/>
  <c r="AY113" i="3"/>
  <c r="AY267" i="3"/>
  <c r="AY557" i="3"/>
  <c r="AY192" i="3"/>
  <c r="AY363" i="3"/>
  <c r="AY478" i="3"/>
  <c r="AY387" i="3"/>
  <c r="AY545" i="3"/>
  <c r="AY418" i="3"/>
  <c r="AY410" i="3"/>
  <c r="AY339" i="3"/>
  <c r="AY434" i="3"/>
  <c r="AY56" i="3"/>
  <c r="AY433" i="3"/>
  <c r="AY289" i="3"/>
  <c r="AY512" i="3"/>
  <c r="AY547" i="3"/>
  <c r="AY93" i="3"/>
  <c r="AY313" i="3"/>
  <c r="AY455" i="3"/>
  <c r="AY130" i="3"/>
  <c r="AY125" i="3"/>
  <c r="AY213" i="3"/>
  <c r="AY334" i="3"/>
  <c r="AY421" i="3"/>
  <c r="AY502" i="3"/>
  <c r="AY331" i="3"/>
  <c r="AY362" i="3"/>
  <c r="AY110" i="3"/>
  <c r="AY270" i="3"/>
  <c r="AY205" i="3"/>
  <c r="AY298" i="3"/>
  <c r="AY487" i="3"/>
  <c r="AY252" i="3"/>
  <c r="AY403" i="3"/>
  <c r="AY571" i="3"/>
  <c r="BM6" i="3"/>
  <c r="AY514" i="3"/>
  <c r="AY509" i="3"/>
  <c r="AY260" i="3"/>
  <c r="AY454" i="3"/>
  <c r="AY554" i="3"/>
  <c r="AY423" i="3"/>
  <c r="AY499" i="3"/>
  <c r="AY539" i="3"/>
  <c r="AY228" i="3"/>
  <c r="AY391" i="3"/>
  <c r="AY532" i="3"/>
  <c r="AY18" i="3"/>
  <c r="AY507" i="3"/>
  <c r="AY564" i="3"/>
  <c r="AY566" i="3"/>
  <c r="AY48" i="3"/>
  <c r="AY212" i="3"/>
  <c r="AY488" i="3"/>
  <c r="AY215" i="3"/>
  <c r="BB6" i="3"/>
  <c r="AY568" i="3"/>
  <c r="AY61" i="3"/>
  <c r="AY251" i="3"/>
  <c r="AY451" i="3"/>
  <c r="AY23" i="3"/>
  <c r="AY296"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K27" i="6" s="1"/>
  <c r="K26" i="6"/>
  <c r="M26" i="6"/>
  <c r="I26" i="6" s="1"/>
  <c r="S26" i="6" s="1"/>
  <c r="K24" i="6"/>
  <c r="M24" i="6" s="1"/>
  <c r="I24" i="6" s="1"/>
  <c r="K22" i="6"/>
  <c r="M22" i="6"/>
  <c r="I22" i="6" s="1"/>
  <c r="S22" i="6" s="1"/>
  <c r="E30" i="6"/>
  <c r="E31" i="6"/>
  <c r="K23" i="6"/>
  <c r="M23" i="6"/>
  <c r="I23" i="6" s="1"/>
  <c r="K25" i="6"/>
  <c r="M25" i="6" s="1"/>
  <c r="I25" i="6" s="1"/>
  <c r="K21" i="6"/>
  <c r="M21" i="6"/>
  <c r="I21" i="6" s="1"/>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c r="K118" i="46" s="1"/>
  <c r="L118" i="46" s="1"/>
  <c r="M118" i="46" s="1"/>
  <c r="B115" i="46"/>
  <c r="D116" i="46"/>
  <c r="E116" i="46" s="1"/>
  <c r="B116" i="46"/>
  <c r="C116" i="46" s="1"/>
  <c r="D117" i="46"/>
  <c r="E117" i="46" s="1"/>
  <c r="F117" i="46" s="1"/>
  <c r="G117" i="46" s="1"/>
  <c r="H117" i="46" s="1"/>
  <c r="D118" i="46"/>
  <c r="E118" i="46" s="1"/>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S5" i="46"/>
  <c r="S2" i="46"/>
  <c r="S3" i="46"/>
  <c r="S7" i="46"/>
  <c r="S6" i="46"/>
  <c r="S4" i="46"/>
  <c r="K16" i="1"/>
  <c r="E63" i="40"/>
  <c r="D19" i="6"/>
  <c r="D25" i="6"/>
  <c r="D13" i="6"/>
  <c r="D23" i="6"/>
  <c r="D28" i="6"/>
  <c r="D8" i="6"/>
  <c r="F45" i="9"/>
  <c r="E68" i="39"/>
  <c r="K38" i="9"/>
  <c r="C14" i="66" s="1"/>
  <c r="B2" i="66" s="1"/>
  <c r="D24" i="6"/>
  <c r="H26" i="6"/>
  <c r="D22" i="6"/>
  <c r="D11" i="6"/>
  <c r="D9" i="6"/>
  <c r="D5" i="6"/>
  <c r="H22" i="6"/>
  <c r="D15" i="6"/>
  <c r="F46" i="9"/>
  <c r="G52" i="37"/>
  <c r="H7" i="34"/>
  <c r="J7" i="34"/>
  <c r="R49" i="33"/>
  <c r="E48" i="33"/>
  <c r="G48" i="35"/>
  <c r="G52" i="33"/>
  <c r="H52" i="33"/>
  <c r="G53" i="33"/>
  <c r="H53" i="33"/>
  <c r="F46" i="36"/>
  <c r="G46" i="36"/>
  <c r="H46" i="36"/>
  <c r="I46" i="36"/>
  <c r="J46" i="36"/>
  <c r="K46" i="36"/>
  <c r="L46" i="36"/>
  <c r="M46" i="36"/>
  <c r="N46" i="36"/>
  <c r="O46" i="36"/>
  <c r="F7" i="34"/>
  <c r="C115" i="46"/>
  <c r="F67" i="40"/>
  <c r="G65" i="40"/>
  <c r="E48" i="21"/>
  <c r="R49" i="21"/>
  <c r="F72" i="39"/>
  <c r="G70" i="39"/>
  <c r="F7" i="36"/>
  <c r="S7" i="36"/>
  <c r="C20" i="46"/>
  <c r="M20" i="46"/>
  <c r="C19" i="46"/>
  <c r="T13" i="1"/>
  <c r="T9" i="1"/>
  <c r="T12" i="1"/>
  <c r="T7"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J9" i="39"/>
  <c r="H9" i="39"/>
  <c r="N65" i="40"/>
  <c r="N67" i="40"/>
  <c r="M67" i="40"/>
  <c r="F9" i="40"/>
  <c r="AA7" i="37"/>
  <c r="R42" i="37"/>
  <c r="S7" i="37"/>
  <c r="E43" i="35"/>
  <c r="F43" i="35"/>
  <c r="E42" i="35"/>
  <c r="F42" i="35"/>
  <c r="I43" i="35"/>
  <c r="J43" i="35"/>
  <c r="C39" i="35"/>
  <c r="B3" i="35"/>
  <c r="B2" i="35" s="1"/>
  <c r="C38" i="35"/>
  <c r="H7" i="37"/>
  <c r="J7" i="37"/>
  <c r="AA9" i="40"/>
  <c r="R44" i="40"/>
  <c r="R45" i="40" s="1"/>
  <c r="S9" i="40"/>
  <c r="AC9" i="39"/>
  <c r="W9" i="39"/>
  <c r="J9" i="40"/>
  <c r="S9" i="39"/>
  <c r="U9" i="39"/>
  <c r="AB9" i="39"/>
  <c r="H9" i="40"/>
  <c r="W7" i="37"/>
  <c r="AC7" i="37"/>
  <c r="V42" i="37"/>
  <c r="I42" i="37"/>
  <c r="AB7" i="37"/>
  <c r="T42" i="37"/>
  <c r="G42" i="37"/>
  <c r="U7" i="37"/>
  <c r="E42" i="37"/>
  <c r="R43" i="37"/>
  <c r="AB9" i="40"/>
  <c r="T44" i="40"/>
  <c r="G44" i="40" s="1"/>
  <c r="G48" i="40" s="1"/>
  <c r="H48" i="40" s="1"/>
  <c r="U9" i="40"/>
  <c r="AC9" i="40"/>
  <c r="V44" i="40"/>
  <c r="I44" i="40" s="1"/>
  <c r="W9" i="40"/>
  <c r="E44" i="40"/>
  <c r="E48" i="40" s="1"/>
  <c r="F48" i="40" s="1"/>
  <c r="C43" i="37"/>
  <c r="B3" i="37"/>
  <c r="B2" i="37"/>
  <c r="C42" i="37"/>
  <c r="I46" i="37"/>
  <c r="J46" i="37"/>
  <c r="I47" i="37"/>
  <c r="J47" i="37"/>
  <c r="E47" i="37"/>
  <c r="F47" i="37"/>
  <c r="E46" i="37"/>
  <c r="F46" i="37"/>
  <c r="G46" i="37"/>
  <c r="H46" i="37"/>
  <c r="G47" i="37"/>
  <c r="H47" i="37"/>
  <c r="G16" i="1"/>
  <c r="F12" i="39" s="1"/>
  <c r="I5" i="65"/>
  <c r="N6" i="65"/>
  <c r="F15" i="44"/>
  <c r="F39" i="44"/>
  <c r="F42" i="15"/>
  <c r="F9" i="15"/>
  <c r="M29" i="44"/>
  <c r="M24" i="15"/>
  <c r="N4" i="65"/>
  <c r="F37" i="15"/>
  <c r="F7" i="15"/>
  <c r="F37" i="44"/>
  <c r="F46" i="44"/>
  <c r="D22" i="12"/>
  <c r="F13" i="15"/>
  <c r="L49" i="44"/>
  <c r="D16" i="12"/>
  <c r="M11" i="44"/>
  <c r="J6" i="65"/>
  <c r="B12" i="67"/>
  <c r="B9" i="67"/>
  <c r="B10" i="67"/>
  <c r="B8" i="67"/>
  <c r="F10" i="67"/>
  <c r="B14" i="67"/>
  <c r="E13" i="67"/>
  <c r="F43" i="44"/>
  <c r="F40" i="15"/>
  <c r="F13" i="67"/>
  <c r="E11" i="67"/>
  <c r="C15" i="12"/>
  <c r="F43" i="15"/>
  <c r="F6" i="15"/>
  <c r="F8" i="67"/>
  <c r="J15" i="15"/>
  <c r="E10" i="67"/>
  <c r="D21" i="12"/>
  <c r="F40" i="44"/>
  <c r="M27" i="15"/>
  <c r="F12" i="67"/>
  <c r="F45" i="44"/>
  <c r="L48" i="44"/>
  <c r="F14" i="67"/>
  <c r="M28" i="44"/>
  <c r="M10" i="44"/>
  <c r="L47" i="15"/>
  <c r="F16" i="15"/>
  <c r="F36" i="15"/>
  <c r="M25" i="44"/>
  <c r="J36" i="15"/>
  <c r="F10" i="44"/>
  <c r="C16" i="44"/>
  <c r="F18" i="44"/>
  <c r="E9" i="67"/>
  <c r="M6" i="15"/>
  <c r="N3" i="65"/>
  <c r="F9" i="44"/>
  <c r="F28" i="44"/>
  <c r="N7" i="65"/>
  <c r="M28" i="15"/>
  <c r="I3" i="65"/>
  <c r="B13" i="67"/>
  <c r="B11" i="67"/>
  <c r="E12" i="67"/>
  <c r="M29" i="15"/>
  <c r="I6" i="65"/>
  <c r="I7" i="65"/>
  <c r="M26" i="15"/>
  <c r="C19" i="44"/>
  <c r="F9" i="67"/>
  <c r="J7" i="65"/>
  <c r="J5" i="65"/>
  <c r="F38" i="44"/>
  <c r="M30" i="44"/>
  <c r="J4" i="65"/>
  <c r="F26" i="15"/>
  <c r="M8" i="44"/>
  <c r="J17" i="44"/>
  <c r="M24" i="44"/>
  <c r="M9" i="15"/>
  <c r="L48" i="15"/>
  <c r="F33" i="12"/>
  <c r="M22" i="15"/>
  <c r="I4" i="65"/>
  <c r="F38" i="15"/>
  <c r="M26" i="44"/>
  <c r="F8" i="15"/>
  <c r="M23" i="15"/>
  <c r="F8" i="44"/>
  <c r="M31" i="44"/>
  <c r="E8" i="67"/>
  <c r="N5" i="65"/>
  <c r="F11" i="67"/>
  <c r="E14" i="67"/>
  <c r="J3" i="65"/>
  <c r="F11" i="44"/>
  <c r="M8" i="15"/>
  <c r="M23" i="44"/>
  <c r="B8" i="52" l="1"/>
  <c r="B9" i="52"/>
  <c r="C44" i="40"/>
  <c r="C45" i="40"/>
  <c r="B55" i="40" s="1"/>
  <c r="F55" i="40" s="1"/>
  <c r="S25" i="6"/>
  <c r="H25" i="6"/>
  <c r="F116" i="46"/>
  <c r="G116" i="46" s="1"/>
  <c r="H116" i="46" s="1"/>
  <c r="D113" i="46"/>
  <c r="D8" i="66"/>
  <c r="D7" i="66"/>
  <c r="AY123" i="3"/>
  <c r="AY117" i="3"/>
  <c r="AY333" i="3"/>
  <c r="AY36" i="3"/>
  <c r="AY516" i="3"/>
  <c r="AY528" i="3"/>
  <c r="AY157" i="3"/>
  <c r="AY188" i="3"/>
  <c r="AY420" i="3"/>
  <c r="AY132" i="3"/>
  <c r="AY230" i="3"/>
  <c r="AY435" i="3"/>
  <c r="AY115" i="3"/>
  <c r="BK6" i="3"/>
  <c r="AY238" i="3"/>
  <c r="AY70" i="3"/>
  <c r="AY364" i="3"/>
  <c r="AY139" i="3"/>
  <c r="AY479" i="3"/>
  <c r="AY467" i="3"/>
  <c r="AY264" i="3"/>
  <c r="AY175" i="3"/>
  <c r="AY182" i="3"/>
  <c r="AY504" i="3"/>
  <c r="AY128" i="3"/>
  <c r="AY41" i="3"/>
  <c r="E45" i="9"/>
  <c r="D14" i="6"/>
  <c r="D10" i="6"/>
  <c r="C22" i="4"/>
  <c r="M20" i="6"/>
  <c r="I20" i="6" s="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F105" i="46"/>
  <c r="F109" i="46"/>
  <c r="F102" i="46"/>
  <c r="H103" i="46"/>
  <c r="H109" i="46"/>
  <c r="H106" i="46"/>
  <c r="H105" i="46"/>
  <c r="H104" i="46"/>
  <c r="E46" i="9"/>
  <c r="D29" i="6"/>
  <c r="D30" i="6" s="1"/>
  <c r="D12" i="6"/>
  <c r="D26" i="6"/>
  <c r="R26" i="6" s="1"/>
  <c r="D20" i="6"/>
  <c r="D27" i="6" s="1"/>
  <c r="D31" i="6" s="1"/>
  <c r="D6" i="6"/>
  <c r="AY38" i="3"/>
  <c r="AY114" i="3"/>
  <c r="AY556" i="3"/>
  <c r="AY274" i="3"/>
  <c r="AY13" i="3"/>
  <c r="AY91" i="3"/>
  <c r="AY543" i="3"/>
  <c r="BC6" i="3"/>
  <c r="AY457" i="3"/>
  <c r="AY122" i="3"/>
  <c r="AY302" i="3"/>
  <c r="AY389" i="3"/>
  <c r="AY269" i="3"/>
  <c r="AY550" i="3"/>
  <c r="AY294" i="3"/>
  <c r="AY178" i="3"/>
  <c r="AY326" i="3"/>
  <c r="AY381" i="3"/>
  <c r="AY49" i="3"/>
  <c r="AY448" i="3"/>
  <c r="AY232" i="3"/>
  <c r="AY136" i="3"/>
  <c r="AY144" i="3"/>
  <c r="AY537" i="3"/>
  <c r="AY142" i="3"/>
  <c r="AY109" i="3"/>
  <c r="AY87" i="3"/>
  <c r="H107" i="46"/>
  <c r="F103" i="46"/>
  <c r="F107" i="46"/>
  <c r="H6" i="3"/>
  <c r="E6" i="3" s="1"/>
  <c r="M102" i="46"/>
  <c r="M109" i="46"/>
  <c r="M103" i="46"/>
  <c r="E16" i="52"/>
  <c r="B11" i="52"/>
  <c r="E10" i="52"/>
  <c r="B14" i="52"/>
  <c r="B22" i="52"/>
  <c r="B7" i="52"/>
  <c r="E78" i="31"/>
  <c r="E76" i="31"/>
  <c r="E74" i="31"/>
  <c r="E72" i="31"/>
  <c r="E70" i="31"/>
  <c r="E68" i="31"/>
  <c r="E66" i="31"/>
  <c r="E64" i="31"/>
  <c r="E62" i="31"/>
  <c r="E60" i="31"/>
  <c r="E58" i="31"/>
  <c r="E56" i="31"/>
  <c r="E54" i="31"/>
  <c r="E52" i="31"/>
  <c r="E50" i="31"/>
  <c r="E48" i="31"/>
  <c r="E46" i="31"/>
  <c r="E44" i="31"/>
  <c r="E42" i="31"/>
  <c r="E40" i="31"/>
  <c r="E38" i="31"/>
  <c r="E36" i="31"/>
  <c r="E34" i="31"/>
  <c r="E32" i="31"/>
  <c r="E30" i="31"/>
  <c r="E21" i="52"/>
  <c r="B13" i="52"/>
  <c r="B16" i="52"/>
  <c r="B5" i="52"/>
  <c r="E8" i="52"/>
  <c r="E15" i="52"/>
  <c r="E17" i="52"/>
  <c r="B4" i="52"/>
  <c r="B10" i="52"/>
  <c r="E22" i="52"/>
  <c r="E5" i="52"/>
  <c r="E4" i="52"/>
  <c r="B6" i="52"/>
  <c r="E7" i="52"/>
  <c r="C4" i="4" s="1"/>
  <c r="B20" i="55" s="1"/>
  <c r="B70" i="63" s="1"/>
  <c r="E13" i="52"/>
  <c r="E4" i="4" s="1"/>
  <c r="B21" i="55" s="1"/>
  <c r="B72" i="63" s="1"/>
  <c r="C5" i="46"/>
  <c r="D5" i="46"/>
  <c r="S12" i="39"/>
  <c r="AA12" i="39"/>
  <c r="R49" i="39" s="1"/>
  <c r="I49" i="40"/>
  <c r="J49" i="40" s="1"/>
  <c r="G49" i="40"/>
  <c r="H49" i="40" s="1"/>
  <c r="I48" i="40"/>
  <c r="J48" i="40" s="1"/>
  <c r="F12" i="40"/>
  <c r="J12" i="40"/>
  <c r="H12" i="40"/>
  <c r="H12" i="39"/>
  <c r="J12" i="39"/>
  <c r="B62" i="40"/>
  <c r="F62" i="40" s="1"/>
  <c r="B54" i="40"/>
  <c r="F54" i="40" s="1"/>
  <c r="B59" i="40"/>
  <c r="F59" i="40" s="1"/>
  <c r="B58" i="40"/>
  <c r="F58" i="40" s="1"/>
  <c r="B61" i="40"/>
  <c r="F61" i="40" s="1"/>
  <c r="B60" i="40"/>
  <c r="F60" i="40" s="1"/>
  <c r="B56" i="40"/>
  <c r="F56" i="40" s="1"/>
  <c r="F63" i="40"/>
  <c r="B2" i="40" s="1"/>
  <c r="B57" i="40"/>
  <c r="F57" i="40" s="1"/>
  <c r="B53" i="40"/>
  <c r="F53" i="40" s="1"/>
  <c r="E49" i="40"/>
  <c r="F49" i="40" s="1"/>
  <c r="R22" i="6"/>
  <c r="H21" i="6"/>
  <c r="R21" i="6" s="1"/>
  <c r="S21" i="6"/>
  <c r="H23" i="6"/>
  <c r="R23" i="6" s="1"/>
  <c r="S23" i="6"/>
  <c r="S24" i="6"/>
  <c r="H24" i="6"/>
  <c r="R24" i="6" s="1"/>
  <c r="H20" i="6"/>
  <c r="S20" i="6"/>
  <c r="O9" i="1"/>
  <c r="P9" i="1"/>
  <c r="O13" i="1"/>
  <c r="P13" i="1"/>
  <c r="D16" i="6"/>
  <c r="R25" i="6"/>
  <c r="T6" i="1"/>
  <c r="T11" i="1"/>
  <c r="T10" i="1"/>
  <c r="T16" i="1"/>
  <c r="O14" i="1"/>
  <c r="P14" i="1" s="1"/>
  <c r="M16" i="1"/>
  <c r="O6" i="1"/>
  <c r="O7" i="1"/>
  <c r="P7" i="1" s="1"/>
  <c r="O11" i="1"/>
  <c r="P11" i="1" s="1"/>
  <c r="O12" i="1"/>
  <c r="P12" i="1" s="1"/>
  <c r="M19" i="6"/>
  <c r="E20" i="46"/>
  <c r="C17" i="44"/>
  <c r="C20" i="44"/>
  <c r="J1" i="65"/>
  <c r="Q73" i="44"/>
  <c r="Q72" i="15"/>
  <c r="M9" i="44"/>
  <c r="J8" i="44" s="1"/>
  <c r="J22" i="44"/>
  <c r="J60" i="44"/>
  <c r="I55" i="44"/>
  <c r="J61" i="44"/>
  <c r="Q50" i="44" s="1"/>
  <c r="J54" i="44"/>
  <c r="J58" i="44"/>
  <c r="J56" i="44" s="1"/>
  <c r="J59" i="44" s="1"/>
  <c r="Q52" i="44" s="1"/>
  <c r="L57" i="44"/>
  <c r="C36" i="44"/>
  <c r="L58" i="15"/>
  <c r="L59" i="15"/>
  <c r="L60" i="44"/>
  <c r="L59" i="44"/>
  <c r="C34" i="12"/>
  <c r="D33" i="12" s="1"/>
  <c r="C22" i="12"/>
  <c r="C16" i="12"/>
  <c r="D19" i="12"/>
  <c r="C19" i="12" s="1"/>
  <c r="F65" i="15"/>
  <c r="F64" i="15"/>
  <c r="F63" i="15"/>
  <c r="C27" i="15"/>
  <c r="I1" i="65"/>
  <c r="F70" i="15"/>
  <c r="C4" i="65"/>
  <c r="B39" i="1" s="1"/>
  <c r="F50" i="15"/>
  <c r="C8" i="44"/>
  <c r="C29" i="44"/>
  <c r="C21" i="12"/>
  <c r="J60" i="15"/>
  <c r="Q49" i="15" s="1"/>
  <c r="J53" i="15"/>
  <c r="I54" i="15"/>
  <c r="L57" i="15"/>
  <c r="J57" i="15"/>
  <c r="J55" i="15" s="1"/>
  <c r="J58" i="15" s="1"/>
  <c r="Q51" i="15" s="1"/>
  <c r="L56" i="15"/>
  <c r="J59" i="15"/>
  <c r="L60" i="15"/>
  <c r="F67" i="15"/>
  <c r="M7" i="15"/>
  <c r="J6" i="15" s="1"/>
  <c r="F49" i="15"/>
  <c r="C6" i="15"/>
  <c r="C17" i="15"/>
  <c r="E3" i="65"/>
  <c r="C16" i="15"/>
  <c r="C14" i="15"/>
  <c r="C18" i="44"/>
  <c r="E2" i="65"/>
  <c r="I6" i="6" l="1"/>
  <c r="I5" i="6"/>
  <c r="R20" i="6"/>
  <c r="A20" i="64"/>
  <c r="A20" i="51"/>
  <c r="B15" i="63" s="1"/>
  <c r="A6" i="51"/>
  <c r="B7" i="63" s="1"/>
  <c r="N5" i="54"/>
  <c r="B43" i="63" s="1"/>
  <c r="A6" i="64"/>
  <c r="O16" i="1"/>
  <c r="L47" i="44"/>
  <c r="C20" i="12"/>
  <c r="C36" i="46"/>
  <c r="C37" i="46"/>
  <c r="C33" i="46"/>
  <c r="C34" i="46"/>
  <c r="C38" i="46"/>
  <c r="C35" i="46"/>
  <c r="C39" i="46"/>
  <c r="T5" i="46"/>
  <c r="V5" i="46" s="1"/>
  <c r="T6" i="46"/>
  <c r="V6" i="46" s="1"/>
  <c r="T3" i="46"/>
  <c r="V3" i="46" s="1"/>
  <c r="T2" i="46"/>
  <c r="V2" i="46" s="1"/>
  <c r="T4" i="46"/>
  <c r="V4" i="46" s="1"/>
  <c r="T8" i="46"/>
  <c r="V8" i="46" s="1"/>
  <c r="C29" i="46"/>
  <c r="T9" i="46"/>
  <c r="V9" i="46" s="1"/>
  <c r="T7" i="46"/>
  <c r="V7" i="46" s="1"/>
  <c r="T12" i="46"/>
  <c r="V12" i="46" s="1"/>
  <c r="T16" i="46"/>
  <c r="V16" i="46" s="1"/>
  <c r="T11" i="46"/>
  <c r="V11" i="46" s="1"/>
  <c r="T15" i="46"/>
  <c r="V15" i="46" s="1"/>
  <c r="T10" i="46"/>
  <c r="V10" i="46" s="1"/>
  <c r="T13" i="46"/>
  <c r="V13" i="46" s="1"/>
  <c r="T14" i="46"/>
  <c r="V14" i="46" s="1"/>
  <c r="C15" i="15"/>
  <c r="C18" i="15"/>
  <c r="L16" i="1"/>
  <c r="N16" i="1"/>
  <c r="C29" i="43" s="1"/>
  <c r="C13" i="43"/>
  <c r="B5" i="40"/>
  <c r="B4" i="40"/>
  <c r="B3" i="40"/>
  <c r="W12" i="39"/>
  <c r="AC12" i="39"/>
  <c r="V49" i="39" s="1"/>
  <c r="I49" i="39" s="1"/>
  <c r="U12" i="40"/>
  <c r="AB12" i="40"/>
  <c r="S12" i="40"/>
  <c r="AA12" i="40"/>
  <c r="M27" i="6"/>
  <c r="I19" i="6"/>
  <c r="P6" i="1"/>
  <c r="AB12" i="39"/>
  <c r="T49" i="39" s="1"/>
  <c r="G49" i="39" s="1"/>
  <c r="U12" i="39"/>
  <c r="AC12" i="40"/>
  <c r="W12" i="40"/>
  <c r="R50" i="39"/>
  <c r="E49" i="39"/>
  <c r="F17" i="11"/>
  <c r="C17" i="11" s="1"/>
  <c r="C19" i="11" s="1"/>
  <c r="C21" i="44"/>
  <c r="B40" i="1"/>
  <c r="J18" i="15"/>
  <c r="C33" i="15"/>
  <c r="C32" i="15"/>
  <c r="Q67" i="15"/>
  <c r="Q58" i="15"/>
  <c r="J20" i="44"/>
  <c r="C34" i="44"/>
  <c r="F11" i="15"/>
  <c r="C52" i="15" s="1"/>
  <c r="M11" i="15"/>
  <c r="J10" i="15" s="1"/>
  <c r="J5" i="15" s="1"/>
  <c r="F13" i="44"/>
  <c r="C12" i="44" s="1"/>
  <c r="C7" i="44" s="1"/>
  <c r="M13" i="44"/>
  <c r="J12" i="44" s="1"/>
  <c r="J7" i="44" s="1"/>
  <c r="Q62" i="44"/>
  <c r="Q75" i="44"/>
  <c r="Q62" i="15"/>
  <c r="Q75" i="15"/>
  <c r="F1" i="15"/>
  <c r="Q53" i="15"/>
  <c r="C48" i="15"/>
  <c r="Q76" i="44"/>
  <c r="Q63" i="44"/>
  <c r="Q61" i="15"/>
  <c r="Q74" i="15"/>
  <c r="Q54" i="44"/>
  <c r="F1" i="44"/>
  <c r="P28" i="46"/>
  <c r="M28" i="46"/>
  <c r="N28" i="46"/>
  <c r="O28" i="46"/>
  <c r="AE6" i="1"/>
  <c r="C13" i="12"/>
  <c r="C19" i="15" l="1"/>
  <c r="C20" i="15" s="1"/>
  <c r="C26" i="15" s="1"/>
  <c r="C30" i="46"/>
  <c r="E30" i="46" s="1"/>
  <c r="C27" i="46" s="1"/>
  <c r="E29" i="46"/>
  <c r="G35" i="46"/>
  <c r="I35" i="46" s="1"/>
  <c r="E35" i="46"/>
  <c r="E34" i="46"/>
  <c r="G34" i="46"/>
  <c r="I34" i="46" s="1"/>
  <c r="E37" i="46"/>
  <c r="G37" i="46"/>
  <c r="I37" i="46" s="1"/>
  <c r="G39" i="46"/>
  <c r="I39" i="46" s="1"/>
  <c r="E39" i="46"/>
  <c r="G38" i="46"/>
  <c r="I38" i="46" s="1"/>
  <c r="E38" i="46"/>
  <c r="E33" i="46"/>
  <c r="G33" i="46"/>
  <c r="I33" i="46" s="1"/>
  <c r="G36" i="46"/>
  <c r="I36" i="46" s="1"/>
  <c r="E36" i="46"/>
  <c r="C47" i="15"/>
  <c r="C65" i="15" s="1"/>
  <c r="C17" i="12"/>
  <c r="C14" i="12"/>
  <c r="E54" i="39"/>
  <c r="F54" i="39" s="1"/>
  <c r="E53" i="39"/>
  <c r="F53" i="39" s="1"/>
  <c r="P16" i="1"/>
  <c r="S19" i="6"/>
  <c r="S27" i="6" s="1"/>
  <c r="I27" i="6"/>
  <c r="H19" i="6"/>
  <c r="I54" i="39"/>
  <c r="J54" i="39" s="1"/>
  <c r="I53" i="39"/>
  <c r="J53" i="39" s="1"/>
  <c r="C50" i="39"/>
  <c r="C49" i="39"/>
  <c r="G53" i="39"/>
  <c r="H53" i="39" s="1"/>
  <c r="G54" i="39"/>
  <c r="H54" i="39" s="1"/>
  <c r="C17" i="43"/>
  <c r="C14" i="43"/>
  <c r="J28" i="44"/>
  <c r="J31" i="44" s="1"/>
  <c r="J26" i="44"/>
  <c r="J26" i="15"/>
  <c r="J24" i="15"/>
  <c r="C40" i="44"/>
  <c r="C22" i="44"/>
  <c r="C28" i="44" s="1"/>
  <c r="C10" i="15"/>
  <c r="C5" i="15" s="1"/>
  <c r="F24" i="15"/>
  <c r="C24" i="15" s="1"/>
  <c r="F26" i="12"/>
  <c r="C27" i="12" s="1"/>
  <c r="D26" i="12" s="1"/>
  <c r="C32" i="12" s="1"/>
  <c r="D30" i="12" s="1"/>
  <c r="F21" i="43"/>
  <c r="F26" i="44"/>
  <c r="C26" i="44" s="1"/>
  <c r="C20" i="11"/>
  <c r="C21" i="11" s="1"/>
  <c r="C22" i="11" s="1"/>
  <c r="C23" i="11" s="1"/>
  <c r="B2" i="11" s="1"/>
  <c r="F7" i="67"/>
  <c r="F41" i="15"/>
  <c r="L52" i="44"/>
  <c r="C59" i="15" l="1"/>
  <c r="F68" i="15"/>
  <c r="J29" i="15"/>
  <c r="C60" i="15"/>
  <c r="E4" i="67"/>
  <c r="C18" i="43"/>
  <c r="C19" i="43" s="1"/>
  <c r="C25" i="43" s="1"/>
  <c r="C24" i="43" s="1"/>
  <c r="C26" i="46"/>
  <c r="C23" i="15"/>
  <c r="C29" i="15" s="1"/>
  <c r="C13" i="15" s="1"/>
  <c r="C18" i="12"/>
  <c r="C23" i="12" s="1"/>
  <c r="B58" i="39"/>
  <c r="F58" i="39" s="1"/>
  <c r="B59" i="39"/>
  <c r="F59" i="39" s="1"/>
  <c r="B60" i="39"/>
  <c r="F60" i="39" s="1"/>
  <c r="B61" i="39"/>
  <c r="F61" i="39" s="1"/>
  <c r="B62" i="39"/>
  <c r="F62" i="39" s="1"/>
  <c r="B63" i="39"/>
  <c r="F63" i="39" s="1"/>
  <c r="B64" i="39"/>
  <c r="F64" i="39" s="1"/>
  <c r="B65" i="39"/>
  <c r="F65" i="39" s="1"/>
  <c r="B66" i="39"/>
  <c r="F66" i="39" s="1"/>
  <c r="B67" i="39"/>
  <c r="F67" i="39" s="1"/>
  <c r="H27" i="6"/>
  <c r="R19" i="6"/>
  <c r="Q69" i="44"/>
  <c r="L58" i="44"/>
  <c r="L61" i="44" s="1"/>
  <c r="B3" i="11"/>
  <c r="B5" i="11"/>
  <c r="B4" i="11"/>
  <c r="C38" i="15"/>
  <c r="C25" i="44"/>
  <c r="C31" i="44" s="1"/>
  <c r="C23" i="43"/>
  <c r="D21" i="43" s="1"/>
  <c r="Q49" i="44"/>
  <c r="Q55" i="44" s="1"/>
  <c r="Q67" i="44"/>
  <c r="Q58" i="44"/>
  <c r="E7" i="67"/>
  <c r="C36" i="15" l="1"/>
  <c r="C22" i="43"/>
  <c r="C21" i="43" s="1"/>
  <c r="C28" i="43" s="1"/>
  <c r="C30" i="43" s="1"/>
  <c r="C32" i="43" s="1"/>
  <c r="B2" i="43" s="1"/>
  <c r="B4" i="43" s="1"/>
  <c r="E3" i="67"/>
  <c r="B2" i="46"/>
  <c r="Q50" i="15"/>
  <c r="J19" i="15"/>
  <c r="J14" i="15"/>
  <c r="J22" i="15" s="1"/>
  <c r="C56" i="15"/>
  <c r="C63" i="15" s="1"/>
  <c r="F68" i="39"/>
  <c r="B2" i="39" s="1"/>
  <c r="R6" i="1"/>
  <c r="R27" i="6"/>
  <c r="C35" i="44"/>
  <c r="C33" i="44" s="1"/>
  <c r="J21" i="44"/>
  <c r="J19" i="44" s="1"/>
  <c r="Q51" i="44"/>
  <c r="C15" i="44"/>
  <c r="C38" i="44"/>
  <c r="J16" i="44"/>
  <c r="C37" i="15"/>
  <c r="C55" i="15"/>
  <c r="C64" i="15" s="1"/>
  <c r="J35" i="15"/>
  <c r="Q71" i="15"/>
  <c r="Q68" i="44"/>
  <c r="Q77" i="44" s="1"/>
  <c r="Q59" i="44"/>
  <c r="Q64" i="44" s="1"/>
  <c r="F35" i="15"/>
  <c r="C19" i="9"/>
  <c r="M21" i="15"/>
  <c r="B7" i="67"/>
  <c r="J13" i="15" l="1"/>
  <c r="J23" i="15" s="1"/>
  <c r="B2" i="67"/>
  <c r="B3" i="43"/>
  <c r="B3" i="46"/>
  <c r="D4" i="46"/>
  <c r="B4" i="46"/>
  <c r="B5" i="43"/>
  <c r="L43" i="9"/>
  <c r="J20" i="15"/>
  <c r="J17" i="15" s="1"/>
  <c r="J16" i="15" s="1"/>
  <c r="J25" i="15" s="1"/>
  <c r="C34" i="15"/>
  <c r="C31" i="15" s="1"/>
  <c r="C30" i="15" s="1"/>
  <c r="C39" i="15" s="1"/>
  <c r="C40" i="15" s="1"/>
  <c r="F62" i="15"/>
  <c r="C61" i="15" s="1"/>
  <c r="C58" i="15" s="1"/>
  <c r="C57" i="15" s="1"/>
  <c r="C66" i="15" s="1"/>
  <c r="C67" i="15" s="1"/>
  <c r="C70" i="15" s="1"/>
  <c r="B4" i="39"/>
  <c r="B5" i="39"/>
  <c r="B3" i="39"/>
  <c r="R16" i="1"/>
  <c r="J24" i="44"/>
  <c r="J15" i="44"/>
  <c r="J25" i="44" s="1"/>
  <c r="C39" i="44"/>
  <c r="C32" i="44" s="1"/>
  <c r="C42" i="44" s="1"/>
  <c r="Q72" i="44"/>
  <c r="C43" i="44"/>
  <c r="C21" i="9"/>
  <c r="C20" i="9"/>
  <c r="B3" i="67" l="1"/>
  <c r="B4" i="67"/>
  <c r="C46" i="15"/>
  <c r="Q70" i="15"/>
  <c r="Q69" i="15" s="1"/>
  <c r="J39" i="15"/>
  <c r="J40" i="15" s="1"/>
  <c r="J18" i="44"/>
  <c r="J27" i="44" s="1"/>
  <c r="Q71" i="44"/>
  <c r="Q70" i="44" s="1"/>
  <c r="C44" i="44"/>
  <c r="C45" i="44" s="1"/>
  <c r="B2" i="44" s="1"/>
  <c r="B2" i="15"/>
  <c r="C43" i="15"/>
  <c r="Q66" i="15"/>
  <c r="Q76" i="15" s="1"/>
  <c r="Q57" i="15"/>
  <c r="Q63" i="15" s="1"/>
  <c r="Q48" i="15"/>
  <c r="Q54" i="15" s="1"/>
  <c r="J42" i="15"/>
  <c r="J43" i="15" s="1"/>
  <c r="L51" i="15"/>
  <c r="Q68" i="15" l="1"/>
  <c r="B5" i="44"/>
  <c r="B4" i="44"/>
  <c r="B3" i="44"/>
  <c r="B3" i="15"/>
  <c r="C8" i="12" s="1"/>
  <c r="C10" i="12"/>
  <c r="C6" i="12" s="1"/>
  <c r="C29" i="12" l="1"/>
  <c r="C24" i="12"/>
  <c r="C28" i="12" l="1"/>
  <c r="C26" i="12" s="1"/>
  <c r="C31" i="12" s="1"/>
  <c r="C30" i="12" s="1"/>
  <c r="C35" i="12"/>
  <c r="C33" i="12" s="1"/>
  <c r="C36" i="12" l="1"/>
  <c r="B2" i="12" s="1"/>
  <c r="B4" i="12"/>
  <c r="D19" i="9"/>
  <c r="G19" i="9" l="1"/>
  <c r="N43" i="9" s="1"/>
  <c r="L44" i="9"/>
  <c r="D22" i="9"/>
  <c r="B3" i="12"/>
  <c r="B5" i="12"/>
  <c r="D21" i="9"/>
  <c r="G21" i="9" l="1"/>
  <c r="C32" i="9"/>
  <c r="C33" i="9" s="1"/>
  <c r="G22" i="9"/>
  <c r="D20" i="9"/>
  <c r="G20" i="9" l="1"/>
  <c r="R24" i="31" s="1"/>
  <c r="C42" i="9"/>
  <c r="D14" i="66" s="1"/>
  <c r="O38" i="9"/>
  <c r="K26" i="9" s="1"/>
  <c r="C34" i="9"/>
  <c r="E42" i="9" s="1"/>
  <c r="P5" i="54" s="1"/>
  <c r="B46" i="63" s="1"/>
  <c r="O43" i="9"/>
  <c r="C35" i="9"/>
  <c r="F42" i="9" s="1"/>
  <c r="N38" i="9"/>
  <c r="K28" i="9" s="1"/>
  <c r="D42" i="9"/>
  <c r="Q5" i="54" s="1"/>
  <c r="B47" i="63" s="1"/>
  <c r="C44" i="9" l="1"/>
  <c r="N69" i="9" s="1"/>
  <c r="M38" i="9"/>
  <c r="K27" i="9" s="1"/>
  <c r="D63" i="9"/>
  <c r="D77" i="9" s="1"/>
  <c r="N75" i="9" s="1"/>
  <c r="R26" i="31"/>
  <c r="S26" i="31" s="1"/>
  <c r="R30" i="31"/>
  <c r="S30" i="31" s="1"/>
  <c r="S24" i="31"/>
  <c r="R28" i="31"/>
  <c r="S28" i="31" s="1"/>
  <c r="R32" i="31"/>
  <c r="S32" i="31" s="1"/>
  <c r="R27" i="31"/>
  <c r="S27" i="31" s="1"/>
  <c r="R31" i="31"/>
  <c r="S31" i="31" s="1"/>
  <c r="R25" i="31"/>
  <c r="S25" i="31" s="1"/>
  <c r="R29" i="31"/>
  <c r="S29" i="31" s="1"/>
  <c r="R5" i="54"/>
  <c r="B48" i="63" s="1"/>
  <c r="N68" i="9"/>
  <c r="K25" i="9"/>
  <c r="E14" i="66"/>
  <c r="F14" i="66"/>
  <c r="O39" i="9" l="1"/>
  <c r="R6" i="54" s="1"/>
  <c r="B50" i="63" s="1"/>
  <c r="E44" i="9"/>
  <c r="D44" i="9"/>
  <c r="G14" i="66"/>
  <c r="F44" i="9"/>
  <c r="C96" i="9"/>
  <c r="C91" i="9" s="1"/>
  <c r="C90" i="9"/>
  <c r="C82" i="9"/>
  <c r="C81" i="9" s="1"/>
  <c r="C85" i="9" s="1"/>
  <c r="C86" i="9" s="1"/>
  <c r="D72" i="9" s="1"/>
  <c r="C111" i="9"/>
  <c r="C104" i="9" s="1"/>
  <c r="C103" i="9"/>
  <c r="D70" i="9"/>
  <c r="D71" i="9"/>
  <c r="D66" i="9" s="1"/>
  <c r="N72" i="9" s="1"/>
  <c r="S22" i="31"/>
  <c r="D15" i="66" s="1"/>
  <c r="G15" i="66" s="1"/>
  <c r="M83" i="9"/>
  <c r="N83" i="9" s="1"/>
  <c r="M84" i="9"/>
  <c r="N84" i="9" s="1"/>
  <c r="M85" i="9"/>
  <c r="N85" i="9" s="1"/>
  <c r="M86" i="9"/>
  <c r="N86" i="9" s="1"/>
  <c r="M87" i="9"/>
  <c r="N87" i="9" s="1"/>
  <c r="M88" i="9"/>
  <c r="N88" i="9" s="1"/>
  <c r="B6" i="66" l="1"/>
  <c r="D6" i="66" s="1"/>
  <c r="F15" i="66"/>
  <c r="E15" i="66"/>
  <c r="B5" i="66"/>
  <c r="K29" i="9"/>
  <c r="K30" i="9" s="1"/>
  <c r="C6" i="66"/>
  <c r="C97" i="9"/>
  <c r="C98" i="9" s="1"/>
  <c r="E98" i="9" s="1"/>
  <c r="E99" i="9" s="1"/>
  <c r="C113" i="9"/>
  <c r="C114" i="9" s="1"/>
  <c r="E114" i="9" s="1"/>
  <c r="E115" i="9" s="1"/>
  <c r="R22" i="31"/>
  <c r="B21" i="31" s="1"/>
  <c r="B20" i="31"/>
  <c r="N89" i="9"/>
  <c r="O89" i="9" s="1"/>
  <c r="D5" i="66" l="1"/>
  <c r="C5" i="66"/>
  <c r="C115" i="9"/>
  <c r="D76" i="9" s="1"/>
  <c r="D74" i="9" s="1"/>
  <c r="N74" i="9" s="1"/>
  <c r="O77" i="9" s="1"/>
  <c r="O79" i="9" s="1"/>
  <c r="O80" i="9" s="1"/>
  <c r="C99" i="9"/>
  <c r="Q77" i="9" l="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<sst xmlns="http://schemas.openxmlformats.org/spreadsheetml/2006/main" count="7364" uniqueCount="3236">
  <si>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</si>
  <si>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</si>
  <si>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</si>
  <si>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</si>
  <si>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</si>
  <si>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</si>
  <si>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</si>
  <si>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</si>
  <si>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</si>
  <si>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</si>
  <si>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</si>
  <si>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</si>
  <si>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</si>
  <si>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</si>
  <si>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</si>
  <si>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</si>
  <si>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</si>
  <si>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</si>
  <si>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</si>
  <si>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</si>
  <si>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</si>
  <si>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</si>
  <si>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</si>
  <si>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</si>
  <si>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</si>
  <si>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</si>
  <si>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</si>
  <si>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</si>
  <si>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</si>
  <si>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</si>
  <si>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</si>
  <si>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</si>
  <si>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</si>
  <si>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</si>
  <si>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</si>
  <si>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</si>
  <si>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</si>
  <si>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</si>
  <si>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</si>
  <si>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</si>
  <si>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</si>
  <si>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</si>
  <si>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</si>
  <si>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</si>
  <si>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</si>
  <si>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</si>
  <si>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</si>
  <si>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</si>
  <si>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</si>
  <si>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</si>
  <si>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</si>
  <si>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</si>
  <si>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</si>
  <si>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</si>
  <si>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</si>
  <si>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</si>
  <si>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</si>
  <si>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</si>
  <si>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</si>
  <si>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</si>
  <si>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</si>
  <si>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</si>
  <si>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</si>
  <si>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</si>
  <si>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</si>
  <si>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</si>
  <si>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</si>
  <si>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</si>
  <si>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</si>
  <si>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</si>
  <si>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</si>
  <si>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</si>
  <si>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</si>
  <si>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</si>
  <si>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</si>
  <si>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</si>
  <si>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</si>
  <si>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</si>
  <si>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</si>
  <si>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</si>
  <si>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</si>
  <si>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</si>
  <si>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</si>
  <si>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</si>
  <si>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</si>
  <si>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</si>
  <si>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</si>
  <si>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</si>
  <si>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</si>
  <si>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</si>
  <si>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</si>
  <si>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</si>
  <si>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</si>
  <si>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</si>
  <si>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</si>
  <si>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</si>
  <si>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</si>
  <si>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</si>
  <si>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</si>
  <si>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</si>
  <si>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</si>
  <si>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</si>
  <si>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</si>
  <si>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</si>
  <si>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</si>
  <si>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</si>
  <si>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</si>
  <si>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</si>
  <si>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</si>
  <si>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</si>
  <si>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</si>
  <si>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</si>
  <si>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</si>
  <si>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</si>
  <si>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</si>
  <si>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</si>
  <si>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</si>
  <si>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</si>
  <si>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</si>
  <si>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</si>
  <si>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</si>
  <si>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</si>
  <si>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</si>
  <si>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</si>
  <si>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</si>
  <si>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</si>
  <si>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</si>
  <si>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</si>
  <si>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</si>
  <si>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</si>
  <si>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</si>
  <si>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</si>
  <si>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</si>
  <si>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</si>
  <si>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</si>
  <si>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</si>
  <si>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</si>
  <si>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</si>
  <si>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</si>
  <si>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</si>
  <si>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</si>
  <si>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</si>
  <si>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</si>
  <si>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</si>
  <si>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</si>
  <si>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</si>
  <si>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</si>
  <si>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</si>
  <si>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</si>
  <si>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</si>
  <si>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</si>
  <si>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</si>
  <si>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</si>
  <si>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</si>
  <si>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</si>
  <si>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</si>
  <si>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</si>
  <si>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</si>
  <si>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</si>
  <si>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</si>
  <si>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</si>
  <si>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</si>
  <si>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</si>
  <si>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</si>
  <si>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</si>
  <si>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</si>
  <si>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</si>
  <si>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</si>
  <si>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</si>
  <si>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</si>
  <si>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</si>
  <si>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</si>
  <si>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</si>
  <si>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</si>
  <si>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</si>
  <si>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</si>
  <si>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</si>
  <si>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</si>
  <si>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</si>
  <si>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</si>
  <si>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</si>
  <si>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</si>
  <si>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</si>
  <si>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</si>
  <si>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</si>
  <si>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</si>
  <si>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</si>
  <si>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</si>
  <si>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</si>
  <si>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</si>
  <si>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</si>
  <si>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</si>
  <si>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</si>
  <si>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</si>
  <si>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</si>
  <si>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</si>
  <si>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</si>
  <si>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</si>
  <si>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</si>
  <si>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</si>
  <si>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</si>
  <si>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</si>
  <si>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</si>
  <si>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</si>
  <si>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</si>
  <si>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</si>
  <si>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</si>
  <si>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</si>
  <si>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</si>
  <si>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</si>
  <si>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</si>
  <si>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</si>
  <si>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</si>
  <si>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</si>
  <si>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</si>
  <si>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</si>
  <si>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</si>
  <si>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</si>
  <si>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</si>
  <si>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</si>
  <si>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</si>
  <si>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</si>
  <si>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</si>
  <si>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</si>
  <si>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</si>
  <si>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</si>
  <si>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</si>
  <si>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</si>
  <si>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</si>
  <si>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</si>
  <si>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</si>
  <si>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</si>
  <si>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</si>
  <si>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</si>
  <si>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</si>
  <si>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</si>
  <si>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</si>
  <si>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</si>
  <si>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</si>
  <si>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</si>
  <si>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</si>
  <si>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</si>
  <si>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</si>
  <si>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</si>
  <si>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</si>
  <si>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</si>
  <si>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</si>
  <si>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</si>
  <si>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</si>
  <si>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</si>
  <si>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</si>
  <si>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</si>
  <si>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</si>
  <si>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</si>
  <si>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</si>
  <si>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</si>
  <si>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</si>
  <si>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</si>
  <si>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</si>
  <si>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</si>
  <si>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</si>
  <si>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</si>
  <si>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</si>
  <si>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</si>
  <si>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</si>
  <si>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</si>
  <si>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</si>
  <si>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</si>
  <si>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</si>
  <si>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</si>
  <si>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</si>
  <si>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</si>
  <si>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</si>
  <si>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</si>
  <si>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</si>
  <si>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</si>
  <si>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</si>
  <si>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</si>
  <si>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</si>
  <si>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</si>
  <si>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</si>
  <si>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</si>
  <si>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</si>
  <si>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</si>
  <si>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</si>
  <si>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</si>
  <si>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</si>
  <si>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</si>
  <si>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</si>
  <si>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</si>
  <si>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</si>
  <si>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</si>
  <si>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</si>
  <si>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</si>
  <si>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</si>
  <si>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</si>
  <si>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</si>
  <si>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</si>
  <si>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</si>
  <si>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</si>
  <si>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</si>
  <si>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</si>
  <si>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</si>
  <si>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</si>
  <si>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</si>
  <si>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</si>
  <si>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</si>
  <si>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</si>
  <si>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</si>
  <si>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</si>
  <si>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</si>
  <si>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</si>
  <si>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</si>
  <si>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</si>
  <si>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</si>
  <si>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</si>
  <si>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</si>
  <si>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</si>
  <si>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</si>
  <si>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</si>
  <si>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</si>
  <si>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</si>
  <si>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</si>
  <si>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</si>
  <si>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</si>
  <si>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</si>
  <si>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</si>
  <si>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</si>
  <si>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</si>
  <si>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</si>
  <si>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</si>
  <si>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</si>
  <si>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</si>
  <si>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</si>
  <si>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</si>
  <si>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</si>
  <si>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</si>
  <si>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</si>
  <si>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</si>
  <si>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</si>
  <si>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</si>
  <si>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</si>
  <si>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</si>
  <si>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</si>
  <si>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</si>
  <si>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</si>
  <si>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</si>
  <si>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</si>
  <si>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</si>
  <si>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</si>
  <si>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</si>
  <si>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</si>
  <si>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</si>
  <si>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</si>
  <si>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</si>
  <si>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</si>
  <si>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</si>
  <si>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</si>
  <si>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</si>
  <si>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</si>
  <si>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</si>
  <si>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</si>
  <si>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</si>
  <si>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</si>
  <si>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</si>
  <si>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</si>
  <si>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</si>
  <si>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</si>
  <si>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</si>
  <si>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</si>
  <si>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</si>
  <si>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</si>
  <si>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</si>
  <si>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</si>
  <si>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</si>
  <si>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</si>
  <si>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</si>
  <si>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</si>
  <si>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</si>
  <si>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</si>
  <si>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</si>
  <si>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</si>
  <si>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</si>
  <si>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</si>
  <si>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</si>
  <si>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</si>
  <si>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</si>
  <si>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</si>
  <si>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</si>
  <si>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</si>
  <si>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</si>
  <si>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</si>
  <si>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</si>
  <si>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</si>
  <si>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</si>
  <si>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</si>
  <si>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</si>
  <si>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</si>
  <si>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</si>
  <si>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</si>
  <si>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</si>
  <si>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</si>
  <si>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</si>
  <si>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</si>
  <si>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</si>
  <si>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</si>
  <si>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</si>
  <si>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</si>
  <si>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</si>
  <si>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</si>
  <si>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</si>
  <si>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</si>
  <si>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</si>
  <si>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</si>
  <si>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</si>
  <si>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</si>
  <si>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</si>
  <si>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</si>
  <si>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</si>
  <si>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</si>
  <si>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</si>
  <si>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</si>
  <si>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</si>
  <si>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</si>
  <si>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</si>
  <si>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</si>
  <si>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</si>
  <si>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</si>
  <si>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</si>
  <si>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</si>
  <si>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</si>
  <si>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</si>
  <si>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</si>
  <si>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</si>
  <si>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</si>
  <si>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</si>
  <si>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</si>
  <si>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</si>
  <si>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</si>
  <si>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</si>
  <si>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</si>
  <si>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</si>
  <si>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</si>
  <si>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</si>
  <si>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</si>
  <si>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</si>
  <si>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</si>
  <si>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</si>
  <si>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</si>
  <si>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</si>
  <si>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</si>
  <si>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</si>
  <si>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</si>
  <si>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</si>
  <si>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</si>
  <si>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</si>
  <si>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</si>
  <si>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</si>
  <si>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</si>
  <si>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</si>
  <si>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</si>
  <si>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</si>
  <si>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</si>
  <si>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</si>
  <si>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</si>
  <si>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</si>
  <si>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</si>
  <si>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</si>
  <si>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</si>
  <si>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</si>
  <si>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</si>
  <si>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</si>
  <si>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</si>
  <si>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</si>
  <si>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</si>
  <si>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</si>
  <si>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</si>
  <si>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</si>
  <si>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</si>
  <si>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</si>
  <si>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</si>
  <si>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</si>
  <si>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</si>
  <si>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</si>
  <si>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</si>
  <si>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</si>
  <si>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</si>
  <si>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</si>
  <si>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</si>
  <si>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</si>
  <si>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</si>
  <si>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</si>
  <si>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</si>
  <si>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</si>
  <si>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</si>
  <si>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</si>
  <si>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</si>
  <si>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</si>
  <si>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</si>
  <si>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</si>
  <si>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</si>
  <si>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</si>
  <si>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</si>
  <si>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</si>
  <si>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</si>
  <si>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</si>
  <si>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</si>
  <si>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</si>
  <si>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</si>
  <si>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</si>
  <si>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</si>
  <si>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</si>
  <si>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</si>
  <si>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</si>
  <si>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</si>
  <si>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</si>
  <si>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</si>
  <si>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</si>
  <si>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</si>
  <si>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</si>
  <si>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</si>
  <si>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</si>
  <si>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</si>
  <si>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</si>
  <si>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</si>
  <si>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</si>
  <si>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</si>
  <si>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</si>
  <si>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</si>
  <si>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</si>
  <si>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</si>
  <si>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</si>
  <si>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</si>
  <si>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</si>
  <si>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</si>
  <si>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</si>
  <si>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</si>
  <si>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</si>
  <si>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</si>
  <si>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</si>
  <si>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</si>
  <si>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</si>
  <si>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</si>
  <si>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</si>
  <si>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</si>
  <si>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</si>
  <si>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</si>
  <si>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</si>
  <si>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</si>
  <si>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</si>
  <si>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</si>
  <si>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</si>
  <si>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</si>
  <si>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</si>
  <si>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</si>
  <si>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</si>
  <si>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</si>
  <si>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</si>
  <si>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</si>
  <si>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</si>
  <si>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</si>
  <si>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</si>
  <si>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</si>
  <si>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</si>
  <si>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</si>
  <si>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</si>
  <si>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</si>
  <si>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</si>
  <si>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</si>
  <si>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</si>
  <si>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</si>
  <si>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</si>
  <si>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</si>
  <si>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</si>
  <si>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</si>
  <si>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</si>
  <si>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</si>
  <si>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</si>
  <si>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</si>
  <si>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</si>
  <si>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</si>
  <si>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</si>
  <si>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</si>
  <si>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</si>
  <si>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</si>
  <si>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</si>
  <si>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</si>
  <si>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</si>
  <si>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</si>
  <si>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</si>
  <si>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</si>
  <si>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</si>
  <si>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</si>
  <si>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</si>
  <si>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</si>
  <si>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</si>
  <si>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</si>
  <si>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</si>
  <si>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</si>
  <si>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</si>
  <si>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</si>
  <si>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</si>
  <si>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</si>
  <si>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</si>
  <si>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</si>
  <si>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</si>
  <si>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</si>
  <si>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</si>
  <si>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</si>
  <si>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</si>
  <si>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</si>
  <si>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</si>
  <si>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</si>
  <si>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</si>
  <si>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</si>
  <si>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</si>
  <si>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</si>
  <si>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</si>
  <si>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</si>
  <si>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</si>
  <si>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</si>
  <si>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</si>
  <si>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</si>
  <si>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</si>
  <si>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</si>
  <si>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</si>
  <si>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</si>
  <si>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</si>
  <si>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</si>
  <si>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</si>
  <si>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</si>
  <si>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</si>
  <si>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</si>
  <si>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</si>
  <si>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</si>
  <si>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</si>
  <si>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</si>
  <si>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</si>
  <si>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</si>
  <si>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</si>
  <si>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</si>
  <si>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</si>
  <si>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</si>
  <si>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</si>
  <si>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</si>
  <si>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</si>
  <si>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</si>
  <si>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</si>
  <si>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</si>
  <si>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</si>
  <si>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</si>
  <si>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</si>
  <si>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</si>
  <si>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</si>
  <si>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</si>
  <si>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</si>
  <si>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</si>
  <si>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</si>
  <si>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</si>
  <si>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</si>
  <si>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</si>
  <si>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</si>
  <si>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</si>
  <si>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</si>
  <si>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</si>
  <si>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</si>
  <si>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</si>
  <si>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</si>
  <si>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</si>
  <si>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</si>
  <si>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</si>
  <si>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</si>
  <si>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</si>
  <si>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</si>
  <si>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</si>
  <si>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</si>
  <si>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</si>
  <si>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</si>
  <si>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</si>
  <si>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</si>
  <si>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</si>
  <si>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</si>
  <si>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</si>
  <si>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</si>
  <si>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</si>
  <si>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</si>
  <si>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</si>
  <si>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</si>
  <si>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</si>
  <si>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</si>
  <si>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</si>
  <si>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</si>
  <si>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</si>
  <si>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</si>
  <si>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</si>
  <si>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</si>
  <si>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</si>
  <si>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</si>
  <si>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</si>
  <si>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</si>
  <si>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</si>
  <si>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</si>
  <si>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</si>
  <si>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</si>
  <si>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</si>
  <si>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</si>
  <si>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</si>
  <si>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</si>
  <si>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</si>
  <si>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</si>
  <si>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</si>
  <si>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</si>
  <si>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</si>
  <si>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</si>
  <si>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</si>
  <si>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</si>
  <si>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</si>
  <si>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</si>
  <si>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</si>
  <si>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</si>
  <si>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</si>
  <si>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</si>
  <si>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</si>
  <si>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</si>
  <si>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</si>
  <si>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</si>
  <si>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</si>
  <si>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</si>
  <si>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</si>
  <si>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</si>
  <si>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</si>
  <si>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</si>
  <si>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</si>
  <si>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</si>
  <si>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</si>
  <si>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</si>
  <si>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</si>
  <si>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</si>
  <si>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</si>
  <si>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</si>
  <si>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</si>
  <si>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</si>
  <si>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</si>
  <si>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</si>
  <si>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</si>
  <si>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</si>
  <si>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</si>
  <si>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</si>
  <si>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</si>
  <si>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</si>
  <si>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</si>
  <si>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</si>
  <si>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</si>
  <si>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</si>
  <si>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</si>
  <si>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</si>
  <si>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</si>
  <si>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</si>
  <si>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</si>
  <si>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</si>
  <si>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</si>
  <si>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</si>
  <si>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</si>
  <si>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</si>
  <si>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</si>
  <si>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</si>
  <si>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</si>
  <si>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</si>
  <si>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</si>
  <si>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</si>
  <si>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</si>
  <si>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</si>
  <si>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</si>
  <si>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</si>
  <si>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</si>
  <si>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</si>
  <si>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</si>
  <si>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</si>
  <si>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</si>
  <si>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</si>
  <si>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</si>
  <si>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</si>
  <si>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</si>
  <si>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</si>
  <si>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</si>
  <si>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</si>
  <si>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</si>
  <si>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</si>
  <si>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</si>
  <si>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</si>
  <si>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</si>
  <si>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</si>
  <si>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</si>
  <si>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</si>
  <si>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</si>
  <si>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</si>
  <si>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</si>
  <si>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</si>
  <si>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</si>
  <si>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</si>
  <si>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</si>
  <si>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</si>
  <si>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</si>
  <si>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</si>
  <si>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</si>
  <si>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</si>
  <si>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</si>
  <si>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</si>
  <si>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</si>
  <si>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</si>
  <si>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</si>
  <si>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</si>
  <si>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</si>
  <si>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</si>
  <si>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</si>
  <si>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</si>
  <si>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</si>
  <si>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</si>
  <si>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</si>
  <si>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</si>
  <si>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</si>
  <si>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</si>
  <si>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</si>
  <si>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</si>
  <si>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</si>
  <si>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</si>
  <si>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</si>
  <si>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</si>
  <si>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</si>
  <si>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</si>
  <si>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</si>
  <si>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</si>
  <si>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</si>
  <si>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</si>
  <si>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</si>
  <si>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</si>
  <si>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</si>
  <si>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</si>
  <si>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</si>
  <si>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</si>
  <si>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</si>
  <si>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</si>
  <si>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</si>
  <si>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</si>
  <si>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</si>
  <si>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</si>
  <si>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</si>
  <si>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</si>
  <si>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</si>
  <si>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</si>
  <si>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</si>
  <si>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</si>
  <si>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</si>
  <si>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</si>
  <si>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</si>
  <si>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</si>
  <si>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</si>
  <si>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</si>
  <si>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</si>
  <si>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</si>
  <si>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</si>
  <si>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</si>
  <si>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</si>
  <si>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</si>
  <si>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</si>
  <si>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</si>
  <si>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</si>
  <si>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</si>
  <si>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</si>
  <si>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</si>
  <si>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</si>
  <si>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</si>
  <si>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</si>
  <si>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</si>
  <si>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</si>
  <si>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</si>
  <si>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</si>
  <si>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</si>
  <si>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</si>
  <si>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</si>
  <si>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</si>
  <si>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</si>
  <si>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</si>
  <si>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</si>
  <si>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</si>
  <si>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</si>
  <si>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</si>
  <si>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</si>
  <si>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</si>
  <si>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</si>
  <si>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</si>
  <si>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</si>
  <si>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</si>
  <si>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</si>
  <si>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</si>
  <si>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</si>
  <si>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</si>
  <si>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</si>
  <si>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</si>
  <si>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</si>
  <si>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</si>
  <si>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</si>
  <si>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</si>
  <si>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</si>
  <si>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</si>
  <si>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</si>
  <si>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</si>
  <si>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</si>
  <si>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</si>
  <si>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</si>
  <si>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</si>
  <si>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</si>
  <si>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</si>
  <si>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</si>
  <si>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</si>
  <si>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</si>
  <si>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</si>
  <si>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</si>
  <si>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</si>
  <si>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</si>
  <si>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</si>
  <si>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</si>
  <si>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</si>
  <si>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</si>
  <si>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</si>
  <si>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</si>
  <si>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</si>
  <si>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</si>
  <si>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</si>
  <si>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</si>
  <si>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</si>
  <si>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</si>
  <si>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</si>
  <si>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</si>
  <si>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</si>
  <si>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</si>
  <si>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</si>
  <si>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</si>
  <si>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</si>
  <si>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</si>
  <si>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</si>
  <si>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</si>
  <si>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</si>
  <si>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</si>
  <si>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</si>
  <si>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</si>
  <si>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</si>
  <si>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</si>
  <si>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</si>
  <si>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</si>
  <si>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</si>
  <si>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</si>
  <si>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</si>
  <si>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</si>
  <si>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</si>
  <si>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</si>
  <si>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</si>
  <si>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</si>
  <si>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</si>
  <si>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</si>
  <si>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</si>
  <si>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</si>
  <si>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</si>
  <si>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</si>
  <si>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</si>
  <si>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</si>
  <si>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</si>
  <si>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</si>
  <si>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</si>
  <si>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</si>
  <si>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</si>
  <si>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</si>
  <si>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</si>
  <si>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</si>
  <si>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</si>
  <si>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</si>
  <si>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</si>
  <si>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</si>
  <si>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</si>
  <si>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</si>
  <si>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</si>
  <si>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</si>
  <si>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</si>
  <si>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</si>
  <si>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</si>
  <si>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</si>
  <si>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</si>
  <si>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</si>
  <si>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</si>
  <si>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</si>
  <si>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</si>
  <si>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</si>
  <si>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</si>
  <si>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</si>
  <si>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</si>
  <si>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</si>
  <si>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</si>
  <si>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</si>
  <si>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</si>
  <si>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</si>
  <si>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</si>
  <si>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</si>
  <si>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</si>
  <si>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</si>
  <si>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</si>
  <si>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</si>
  <si>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</si>
  <si>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</si>
  <si>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</si>
  <si>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</si>
  <si>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</si>
  <si>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</si>
  <si>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</si>
  <si>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</si>
  <si>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</si>
  <si>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</si>
  <si>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</si>
  <si>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</si>
  <si>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</si>
  <si>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</si>
  <si>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</si>
  <si>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</si>
  <si>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</si>
  <si>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</si>
  <si>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</si>
  <si>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</si>
  <si>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</si>
  <si>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</si>
  <si>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</si>
  <si>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</si>
  <si>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</si>
  <si>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</si>
  <si>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</si>
  <si>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</si>
  <si>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</si>
  <si>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</si>
  <si>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</si>
  <si>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</si>
  <si>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</si>
  <si>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</si>
  <si>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</si>
  <si>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</si>
  <si>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</si>
  <si>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</si>
  <si>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</si>
  <si>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</si>
  <si>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</si>
  <si>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</si>
  <si>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</si>
  <si>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</si>
  <si>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</si>
  <si>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</si>
  <si>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</si>
  <si>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</si>
  <si>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</si>
  <si>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</si>
  <si>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</si>
  <si>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</si>
  <si>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</si>
  <si>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</si>
  <si>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</si>
  <si>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</si>
  <si>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</si>
  <si>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</si>
  <si>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</si>
  <si>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</si>
  <si>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</si>
  <si>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</si>
  <si>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</si>
  <si>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</si>
  <si>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</si>
  <si>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</si>
  <si>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</si>
  <si>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</si>
  <si>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</si>
  <si>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</si>
  <si>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</si>
  <si>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</si>
  <si>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</si>
  <si>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</si>
  <si>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</si>
  <si>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</si>
  <si>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</si>
  <si>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</si>
  <si>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</si>
  <si>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</si>
  <si>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</si>
  <si>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</si>
  <si>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</si>
  <si>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</si>
  <si>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</si>
  <si>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</si>
  <si>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</si>
  <si>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</si>
  <si>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</si>
  <si>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</si>
  <si>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</si>
  <si>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</si>
  <si>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</si>
  <si>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</si>
  <si>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</si>
  <si>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</si>
  <si>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</si>
  <si>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</si>
  <si>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</si>
  <si>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</si>
  <si>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</si>
  <si>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</si>
  <si>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</si>
  <si>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</si>
  <si>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</si>
  <si>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</si>
  <si>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</si>
  <si>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</si>
  <si>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</si>
  <si>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</si>
  <si>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</si>
  <si>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</si>
  <si>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</si>
  <si>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</si>
  <si>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</si>
  <si>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</si>
  <si>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</si>
  <si>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</si>
  <si>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</si>
  <si>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</si>
  <si>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</si>
  <si>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</si>
  <si>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</si>
  <si>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</si>
  <si>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</si>
  <si>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</si>
  <si>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</si>
  <si>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</si>
  <si>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</si>
  <si>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</si>
  <si>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</si>
  <si>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</si>
  <si>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</si>
  <si>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</si>
  <si>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</si>
  <si>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</si>
  <si>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</si>
  <si>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</si>
  <si>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</si>
  <si>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</si>
  <si>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</si>
  <si>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</si>
  <si>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</si>
  <si>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</si>
  <si>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</si>
  <si>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</si>
  <si>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</si>
  <si>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</si>
  <si>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</si>
  <si>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</si>
  <si>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</si>
  <si>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</si>
  <si>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</si>
  <si>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</si>
  <si>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</si>
  <si>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</si>
  <si>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</si>
  <si>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</si>
  <si>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</si>
  <si>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</si>
  <si>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</si>
  <si>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</si>
  <si>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</si>
  <si>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</si>
  <si>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</si>
  <si>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</si>
  <si>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</si>
  <si>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</si>
  <si>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</si>
  <si>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</si>
  <si>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</si>
  <si>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</si>
  <si>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</si>
  <si>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</si>
  <si>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</si>
  <si>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</si>
  <si>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</si>
  <si>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</si>
  <si>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</si>
  <si>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</si>
  <si>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</si>
  <si>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</si>
  <si>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</si>
  <si>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</si>
  <si>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</si>
  <si>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</si>
  <si>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</si>
  <si>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</si>
  <si>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</si>
  <si>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</si>
  <si>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</si>
  <si>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</si>
  <si>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</si>
  <si>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</si>
  <si>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</si>
  <si>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</si>
  <si>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</si>
  <si>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</si>
  <si>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</si>
  <si>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</si>
  <si>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</si>
  <si>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</si>
  <si>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</si>
  <si>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</si>
  <si>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</si>
  <si>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</si>
  <si>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</si>
  <si>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</si>
  <si>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</si>
  <si>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</si>
  <si>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</si>
  <si>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</si>
  <si>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</si>
  <si>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</si>
  <si>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</si>
  <si>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</si>
  <si>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</si>
  <si>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</si>
  <si>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</si>
  <si>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</si>
  <si>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</si>
  <si>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</si>
  <si>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</si>
  <si>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</si>
  <si>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</si>
  <si>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</si>
  <si>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</si>
  <si>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</si>
  <si>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</si>
  <si>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</si>
  <si>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</si>
  <si>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</si>
  <si>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</si>
  <si>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</si>
  <si>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</si>
  <si>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</si>
  <si>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</si>
  <si>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</si>
  <si>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</si>
  <si>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</si>
  <si>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</si>
  <si>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</si>
  <si>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</si>
  <si>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</si>
  <si>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</si>
  <si>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</si>
  <si>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</si>
  <si>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</si>
  <si>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</si>
  <si>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</si>
  <si>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</si>
  <si>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</si>
  <si>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</si>
  <si>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</si>
  <si>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</si>
  <si>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</si>
  <si>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</si>
  <si>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</si>
  <si>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</si>
  <si>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</si>
  <si>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</si>
  <si>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</si>
  <si>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</si>
  <si>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</si>
  <si>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</si>
  <si>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</si>
  <si>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</si>
  <si>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</si>
  <si>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</si>
  <si>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</si>
  <si>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</si>
  <si>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</si>
  <si>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</si>
  <si>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</si>
  <si>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</si>
  <si>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</si>
  <si>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</si>
  <si>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</si>
  <si>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</si>
  <si>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</si>
  <si>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</si>
  <si>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</si>
  <si>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</si>
  <si>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</si>
  <si>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</si>
  <si>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</si>
  <si>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</si>
  <si>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</si>
  <si>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</si>
  <si>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</si>
  <si>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</si>
  <si>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</si>
  <si>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</si>
  <si>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</si>
  <si>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</si>
  <si>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</si>
  <si>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</si>
  <si>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</si>
  <si>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</si>
  <si>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</si>
  <si>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</si>
  <si>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</si>
  <si>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</si>
  <si>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</si>
  <si>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</si>
  <si>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</si>
  <si>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</si>
  <si>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</si>
  <si>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</si>
  <si>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</si>
  <si>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</si>
  <si>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</si>
  <si>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</si>
  <si>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</si>
  <si>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</si>
  <si>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</si>
  <si>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</si>
  <si>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</si>
  <si>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</si>
  <si>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</si>
  <si>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</si>
  <si>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</si>
  <si>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</si>
  <si>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</si>
  <si>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</si>
  <si>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</si>
  <si>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</si>
  <si>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</si>
  <si>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</si>
  <si>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</si>
  <si>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</si>
  <si>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</si>
  <si>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</si>
  <si>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</si>
  <si>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</si>
  <si>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</si>
  <si>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</si>
  <si>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</si>
  <si>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</si>
  <si>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</si>
  <si>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</si>
  <si>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</si>
  <si>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</si>
  <si>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</si>
  <si>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</si>
  <si>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</si>
  <si>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</si>
  <si>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</si>
  <si>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</si>
  <si>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</si>
  <si>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</si>
  <si>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</si>
  <si>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</si>
  <si>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</si>
  <si>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</si>
  <si>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</si>
  <si>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</si>
  <si>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</si>
  <si>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</si>
  <si>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</si>
  <si>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</si>
  <si>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</si>
  <si>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</si>
  <si>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</si>
  <si>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</si>
  <si>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</si>
  <si>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</si>
  <si>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</si>
  <si>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</si>
  <si>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</si>
  <si>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</si>
  <si>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</si>
  <si>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</si>
  <si>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</si>
  <si>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</si>
  <si>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</si>
  <si>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</si>
  <si>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</si>
  <si>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</si>
  <si>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</si>
  <si>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</si>
  <si>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</si>
  <si>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</si>
  <si>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</si>
  <si>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</si>
  <si>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</si>
  <si>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</si>
  <si>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</si>
  <si>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</si>
  <si>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</si>
  <si>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</si>
  <si>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</si>
  <si>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</si>
  <si>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</si>
  <si>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</si>
  <si>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</si>
  <si>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</si>
  <si>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</si>
  <si>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</si>
  <si>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</si>
  <si>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</si>
  <si>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</si>
  <si>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</si>
  <si>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</si>
  <si>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</si>
  <si>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</si>
  <si>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</si>
  <si>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</si>
  <si>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</si>
  <si>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</si>
  <si>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</si>
  <si>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</si>
  <si>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</si>
  <si>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</si>
  <si>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</si>
  <si>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</si>
  <si>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</si>
  <si>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</si>
  <si>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</si>
  <si>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</si>
  <si>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</si>
  <si>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</si>
  <si>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</si>
  <si>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</si>
  <si>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</si>
  <si>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</si>
  <si>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</si>
  <si>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</si>
  <si>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</si>
  <si>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</si>
  <si>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</si>
  <si>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</si>
  <si>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</si>
  <si>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</si>
  <si>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</si>
  <si>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</si>
  <si>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</si>
  <si>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</si>
  <si>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</si>
  <si>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</si>
  <si>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</si>
  <si>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</si>
  <si>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</si>
  <si>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</si>
  <si>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</si>
  <si>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</si>
  <si>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</si>
  <si>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</si>
  <si>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</si>
  <si>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</si>
  <si>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</si>
  <si>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</si>
  <si>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</si>
  <si>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</si>
  <si>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</si>
  <si>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</si>
  <si>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</si>
  <si>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</si>
  <si>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</si>
  <si>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</si>
  <si>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</si>
  <si>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</si>
  <si>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</si>
  <si>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</si>
  <si>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</si>
  <si>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</si>
  <si>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</si>
  <si>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</si>
  <si>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</si>
  <si>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</si>
  <si>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</si>
  <si>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</si>
  <si>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</si>
  <si>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</si>
  <si>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</si>
  <si>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</si>
  <si>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</si>
  <si>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</si>
  <si>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</si>
  <si>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</si>
  <si>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</si>
  <si>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</si>
  <si>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</si>
  <si>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</si>
  <si>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</si>
  <si>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</si>
  <si>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</si>
  <si>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</si>
  <si>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</si>
  <si>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</si>
  <si>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</si>
  <si>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</si>
  <si>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</si>
  <si>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</si>
  <si>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</si>
  <si>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</si>
  <si>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</si>
  <si>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</si>
  <si>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</si>
  <si>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</si>
  <si>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</si>
  <si>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</si>
  <si>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</si>
  <si>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</si>
  <si>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</si>
  <si>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</si>
  <si>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</si>
  <si>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</si>
  <si>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</si>
  <si>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</si>
  <si>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</si>
  <si>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</si>
  <si>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</si>
  <si>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</si>
  <si>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</si>
  <si>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</si>
  <si>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</si>
  <si>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</si>
  <si>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</si>
  <si>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</si>
  <si>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</si>
  <si>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</si>
  <si>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</si>
  <si>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</si>
  <si>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</si>
  <si>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</si>
  <si>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</si>
  <si>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</si>
  <si>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</si>
  <si>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</si>
  <si>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</si>
  <si>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</si>
  <si>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</si>
  <si>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</si>
  <si>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</si>
  <si>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</si>
  <si>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</si>
  <si>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</si>
  <si>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</si>
  <si>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</si>
  <si>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</si>
  <si>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</si>
  <si>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</si>
  <si>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</si>
  <si>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</si>
  <si>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</si>
  <si>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</si>
  <si>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</si>
  <si>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</si>
  <si>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</si>
  <si>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</si>
  <si>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</si>
  <si>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</si>
  <si>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</si>
  <si>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</si>
  <si>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</si>
  <si>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</si>
  <si>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</si>
  <si>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</si>
  <si>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</si>
  <si>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</si>
  <si>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</si>
  <si>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</si>
  <si>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</si>
  <si>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</si>
  <si>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</si>
  <si>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</si>
  <si>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</si>
  <si>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</si>
  <si>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</si>
  <si>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</si>
  <si>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</si>
  <si>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</si>
  <si>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</si>
  <si>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</si>
  <si>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</si>
  <si>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</si>
  <si>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</si>
  <si>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</si>
  <si>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</si>
  <si>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</si>
  <si>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</si>
  <si>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</si>
  <si>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</si>
  <si>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</si>
  <si>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</si>
  <si>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</si>
  <si>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</si>
  <si>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</si>
  <si>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</si>
  <si>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</si>
  <si>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</si>
  <si>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</si>
  <si>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</si>
  <si>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</si>
  <si>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</si>
  <si>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</si>
  <si>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</si>
  <si>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</si>
  <si>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</si>
  <si>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</si>
  <si>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</si>
  <si>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</si>
  <si>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</si>
  <si>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</si>
  <si>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</si>
  <si>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</si>
  <si>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</si>
  <si>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</si>
  <si>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</si>
  <si>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</si>
  <si>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</si>
  <si>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</si>
  <si>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</si>
  <si>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</si>
  <si>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</si>
  <si>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</si>
  <si>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</si>
  <si>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</si>
  <si>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</si>
  <si>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</si>
  <si>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</si>
  <si>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</si>
  <si>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</si>
  <si>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</si>
  <si>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</si>
  <si>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</si>
  <si>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</si>
  <si>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</si>
  <si>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</si>
  <si>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</si>
  <si>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</si>
  <si>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</si>
  <si>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</si>
  <si>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</si>
  <si>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</si>
  <si>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</si>
  <si>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</si>
  <si>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</si>
  <si>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</si>
  <si>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</si>
  <si>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</si>
  <si>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</si>
  <si>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</si>
  <si>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</si>
  <si>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</si>
  <si>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</si>
  <si>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</si>
  <si>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</si>
  <si>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</si>
  <si>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</si>
  <si>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</si>
  <si>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</si>
  <si>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</si>
  <si>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</si>
  <si>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</si>
  <si>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</si>
  <si>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</si>
  <si>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</si>
  <si>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</si>
  <si>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</si>
  <si>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</si>
  <si>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</si>
  <si>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</si>
  <si>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</si>
  <si>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</si>
  <si>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</si>
  <si>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</si>
  <si>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</si>
  <si>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</si>
  <si>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</si>
  <si>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</si>
  <si>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</si>
  <si>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</si>
  <si>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</si>
  <si>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</si>
  <si>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</si>
  <si>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</si>
  <si>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</si>
  <si>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</si>
  <si>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</si>
  <si>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</si>
  <si>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</si>
  <si>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</si>
  <si>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</si>
  <si>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</si>
  <si>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</si>
  <si>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</si>
  <si>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</si>
  <si>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</si>
  <si>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</si>
  <si>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</si>
  <si>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</si>
  <si>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</si>
  <si>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</si>
  <si>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</si>
  <si>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</si>
  <si>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</si>
  <si>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</si>
  <si>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</si>
  <si>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</si>
  <si>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</si>
  <si>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</si>
  <si>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</si>
  <si>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</si>
  <si>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</si>
  <si>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</si>
  <si>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</si>
  <si>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</si>
  <si>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</si>
  <si>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</si>
  <si>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</si>
  <si>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</si>
  <si>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</si>
  <si>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</si>
  <si>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</si>
  <si>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</si>
  <si>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</si>
  <si>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</si>
  <si>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</si>
  <si>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</si>
  <si>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</si>
  <si>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</si>
  <si>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</si>
  <si>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</si>
  <si>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</si>
  <si>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</si>
  <si>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</si>
  <si>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</si>
  <si>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</si>
  <si>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</si>
  <si>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</si>
  <si>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</si>
  <si>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</si>
  <si>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</si>
  <si>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</si>
  <si>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</si>
  <si>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</si>
  <si>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</si>
  <si>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</si>
  <si>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</si>
  <si>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</si>
  <si>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</si>
  <si>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</si>
  <si>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</si>
  <si>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</si>
  <si>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</si>
  <si>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</si>
  <si>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</si>
  <si>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</si>
  <si>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</si>
  <si>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</si>
  <si>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</si>
  <si>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</si>
  <si>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</si>
  <si>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</si>
  <si>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</si>
  <si>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</si>
  <si>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</si>
  <si>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</si>
  <si>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</si>
  <si>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</si>
  <si>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</si>
  <si>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</si>
  <si>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</si>
  <si>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</si>
  <si>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</si>
  <si>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</si>
  <si>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</si>
  <si>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</si>
  <si>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</si>
  <si>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</si>
  <si>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</si>
  <si>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</si>
  <si>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</si>
  <si>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</si>
  <si>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</si>
  <si>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</si>
  <si>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</si>
  <si>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</si>
  <si>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</si>
  <si>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</si>
  <si>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</si>
  <si>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</si>
  <si>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</si>
  <si>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</si>
  <si>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</si>
  <si>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</si>
  <si>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</si>
  <si>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</si>
  <si>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</si>
  <si>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</si>
  <si>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</si>
  <si>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</si>
  <si>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</si>
  <si>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</si>
  <si>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</si>
  <si>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</si>
  <si>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</si>
  <si>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</si>
  <si>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</si>
  <si>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</si>
  <si>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</si>
  <si>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</si>
  <si>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</si>
  <si>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</si>
  <si>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</si>
  <si>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</si>
  <si>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</si>
  <si>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</si>
  <si>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</si>
  <si>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</si>
  <si>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</si>
  <si>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</si>
  <si>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</si>
  <si>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</si>
  <si>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</si>
  <si>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</si>
  <si>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</si>
  <si>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</si>
  <si>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</si>
  <si>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</si>
  <si>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</si>
  <si>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</si>
  <si>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</si>
  <si>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</si>
  <si>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</si>
  <si>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</si>
  <si>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</si>
  <si>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</si>
  <si>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</si>
  <si>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</si>
  <si>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</si>
  <si>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</si>
  <si>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</si>
  <si>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</si>
  <si>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</si>
  <si>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</si>
  <si>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</si>
  <si>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</si>
  <si>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</si>
  <si>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</si>
  <si>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</si>
  <si>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</si>
  <si>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</si>
  <si>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</si>
  <si>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</si>
  <si>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</si>
  <si>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</si>
  <si>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</si>
  <si>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</si>
  <si>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</si>
  <si>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</si>
  <si>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</si>
  <si>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</si>
  <si>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</si>
  <si>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</si>
  <si>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</si>
  <si>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</si>
  <si>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</si>
  <si>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</si>
  <si>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</si>
  <si>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</si>
  <si>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</si>
  <si>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</si>
  <si>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</si>
  <si>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</si>
  <si>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</si>
  <si>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</si>
  <si>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</si>
  <si>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</si>
  <si>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</si>
  <si>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</si>
  <si>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</si>
  <si>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</si>
  <si>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</si>
  <si>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</si>
  <si>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</si>
  <si>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</si>
  <si>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</si>
  <si>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</si>
  <si>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</si>
  <si>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</si>
  <si>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</si>
  <si>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</si>
  <si>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</si>
  <si>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</si>
  <si>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</si>
  <si>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</si>
  <si>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</si>
  <si>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</si>
  <si>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</si>
  <si>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</si>
  <si>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</si>
  <si>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</si>
  <si>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</si>
  <si>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</si>
  <si>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</si>
  <si>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</si>
  <si>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</si>
  <si>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</si>
  <si>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</si>
  <si>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</si>
  <si>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</si>
  <si>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</si>
  <si>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</si>
  <si>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</si>
  <si>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</si>
  <si>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</si>
  <si>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</si>
  <si>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</si>
  <si>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</si>
  <si>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</si>
  <si>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</si>
  <si>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</si>
  <si>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</si>
  <si>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</si>
  <si>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</si>
  <si>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</si>
  <si>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</si>
  <si>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</si>
  <si>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</si>
  <si>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</si>
  <si>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</si>
  <si>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</si>
  <si>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</si>
  <si>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</si>
  <si>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</si>
  <si>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</si>
  <si>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</si>
  <si>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</si>
  <si>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</si>
  <si>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</si>
  <si>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</si>
  <si>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</si>
  <si>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</si>
  <si>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</si>
  <si>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</si>
  <si>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</si>
  <si>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</si>
  <si>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</si>
  <si>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</si>
  <si>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</si>
  <si>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</si>
  <si>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</si>
  <si>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</si>
  <si>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</si>
  <si>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</si>
  <si>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</si>
  <si>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</si>
  <si>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</si>
  <si>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</si>
  <si>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</si>
  <si>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</si>
  <si>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</si>
  <si>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</si>
  <si>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</si>
  <si>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</si>
  <si>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</si>
  <si>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</si>
  <si>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</si>
  <si>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</si>
  <si>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</si>
  <si>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</si>
  <si>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</si>
  <si>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</si>
  <si>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</si>
  <si>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</si>
  <si>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</si>
  <si>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</si>
  <si>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</si>
  <si>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</si>
  <si>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</si>
  <si>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</si>
  <si>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</si>
  <si>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</si>
  <si>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</si>
  <si>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</si>
  <si>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</si>
  <si>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</si>
  <si>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</si>
  <si>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</si>
  <si>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</si>
  <si>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</si>
  <si>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</si>
  <si>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</si>
  <si>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</si>
  <si>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</si>
  <si>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</si>
  <si>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</si>
  <si>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</si>
  <si>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</si>
  <si>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</si>
  <si>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</si>
  <si>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</si>
  <si>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</si>
  <si>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</si>
  <si>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</si>
  <si>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</si>
  <si>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</si>
  <si>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</si>
  <si>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</si>
  <si>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</si>
  <si>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</si>
  <si>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</si>
  <si>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</si>
  <si>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</si>
  <si>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</si>
  <si>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</si>
  <si>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</si>
  <si>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</si>
  <si>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</si>
  <si>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</si>
  <si>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</si>
  <si>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</si>
  <si>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</si>
  <si>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</si>
  <si>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</si>
  <si>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</si>
  <si>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</si>
  <si>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</si>
  <si>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</si>
  <si>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</si>
  <si>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</si>
  <si>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</si>
  <si>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</si>
  <si>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</si>
  <si>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</si>
  <si>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</si>
  <si>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</si>
  <si>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</si>
  <si>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</si>
  <si>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</si>
  <si>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</si>
  <si>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</si>
  <si>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</si>
  <si>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</si>
  <si>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</si>
  <si>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</si>
  <si>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</si>
  <si>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</si>
  <si>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</si>
  <si>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</si>
  <si>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</si>
  <si>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</si>
  <si>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</si>
  <si>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</si>
  <si>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</si>
  <si>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</si>
  <si>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</si>
  <si>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</si>
  <si>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</si>
  <si>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</si>
  <si>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</si>
  <si>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</si>
  <si>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</si>
  <si>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</si>
  <si>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</si>
  <si>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</si>
  <si>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</si>
  <si>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</si>
  <si>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</si>
  <si>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</si>
  <si>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</si>
  <si>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</si>
  <si>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</si>
  <si>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</si>
  <si>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</si>
  <si>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</si>
  <si>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</si>
  <si>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</si>
  <si>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</si>
  <si>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</si>
  <si>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</si>
  <si>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</si>
  <si>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</si>
  <si>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</si>
  <si>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</si>
  <si>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</si>
  <si>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</si>
  <si>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</si>
  <si>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</si>
  <si>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</si>
  <si>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</si>
  <si>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</si>
  <si>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</si>
  <si>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</si>
  <si>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</si>
  <si>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</si>
  <si>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</si>
  <si>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</si>
  <si>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</si>
  <si>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</si>
  <si>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</si>
  <si>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</si>
  <si>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</si>
  <si>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</si>
  <si>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</si>
  <si>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</si>
  <si>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</si>
  <si>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</si>
  <si>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</si>
  <si>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</si>
  <si>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</si>
  <si>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</si>
  <si>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</si>
  <si>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</si>
  <si>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</si>
  <si>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</si>
  <si>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</si>
  <si>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</si>
  <si>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</si>
  <si>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</si>
  <si>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</si>
  <si>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</si>
  <si>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</si>
  <si>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</si>
  <si>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</si>
  <si>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</si>
  <si>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</si>
  <si>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</si>
  <si>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</si>
  <si>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</si>
  <si>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</si>
  <si>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</si>
  <si>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</si>
  <si>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</si>
  <si>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</si>
  <si>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</si>
  <si>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</si>
  <si>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</si>
  <si>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</si>
  <si>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</si>
  <si>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</si>
  <si>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</si>
  <si>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</si>
  <si>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</si>
  <si>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</si>
  <si>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</si>
  <si>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</si>
  <si>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</si>
  <si>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</si>
  <si>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</si>
  <si>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</si>
  <si>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</si>
  <si>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</si>
  <si>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</si>
  <si>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</si>
  <si>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</si>
  <si>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</si>
  <si>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</si>
  <si>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</si>
  <si>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</si>
  <si>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</si>
  <si>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</si>
  <si>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</si>
  <si>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</si>
  <si>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</si>
  <si>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</si>
  <si>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</si>
  <si>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</si>
  <si>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</si>
  <si>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</si>
  <si>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</si>
  <si>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</si>
  <si>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</si>
  <si>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</si>
  <si>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</si>
  <si>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</si>
  <si>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</si>
  <si>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</si>
  <si>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</si>
  <si>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</si>
  <si>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</si>
  <si>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</si>
  <si>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</si>
  <si>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</si>
  <si>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</si>
  <si>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</si>
  <si>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</si>
  <si>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</si>
  <si>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</si>
  <si>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</si>
  <si>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</si>
  <si>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</si>
  <si>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</si>
  <si>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</si>
  <si>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</si>
  <si>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</si>
  <si>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</si>
  <si>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</si>
  <si>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</si>
  <si>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</si>
  <si>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</si>
  <si>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</si>
  <si>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</si>
  <si>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</si>
  <si>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</si>
  <si>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</si>
  <si>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</si>
  <si>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</si>
  <si>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</si>
  <si>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</si>
  <si>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</si>
  <si>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</si>
  <si>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</si>
  <si>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</si>
  <si>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</si>
  <si>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</si>
  <si>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</si>
  <si>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</si>
  <si>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</si>
  <si>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</si>
  <si>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</si>
  <si>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</si>
  <si>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</si>
  <si>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</si>
  <si>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</si>
  <si>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</si>
  <si>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</si>
  <si>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</si>
  <si>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</si>
  <si>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</si>
  <si>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</si>
  <si>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</si>
  <si>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</si>
  <si>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</si>
  <si>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</si>
  <si>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</si>
  <si>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</si>
  <si>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</si>
  <si>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</si>
  <si>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</si>
  <si>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</si>
  <si>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</si>
  <si>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</si>
  <si>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</si>
  <si>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</si>
  <si>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</si>
  <si>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</si>
  <si>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</si>
  <si>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</si>
  <si>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</si>
  <si>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</si>
  <si>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</si>
  <si>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</si>
  <si>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</si>
  <si>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</si>
  <si>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</si>
  <si>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</si>
  <si>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</si>
  <si>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</si>
  <si>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</si>
  <si>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</si>
  <si>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</si>
  <si>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</si>
  <si>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</si>
  <si>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</si>
  <si>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</si>
  <si>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</si>
  <si>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</si>
  <si>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</si>
  <si>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</si>
  <si>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</si>
  <si>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</si>
  <si>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</si>
  <si>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</si>
  <si>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</si>
  <si>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</si>
  <si>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</si>
  <si>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</si>
  <si>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</si>
  <si>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</si>
  <si>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</si>
  <si>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</si>
  <si>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</si>
  <si>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</si>
  <si>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</si>
  <si>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</si>
  <si>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</si>
  <si>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</si>
  <si>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</si>
  <si>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</si>
  <si>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</si>
  <si>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</si>
  <si>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</si>
  <si>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</si>
  <si>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</si>
  <si>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</si>
  <si>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</si>
  <si>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</si>
  <si>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</si>
  <si>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</si>
  <si>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</si>
  <si>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</si>
  <si>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</si>
  <si>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</si>
  <si>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</si>
  <si>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</si>
  <si>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</si>
  <si>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</si>
  <si>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</si>
  <si>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</si>
  <si>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</si>
  <si>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</si>
  <si>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</si>
  <si>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</si>
  <si>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</si>
  <si>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</si>
  <si>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</si>
  <si>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</si>
  <si>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</si>
  <si>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</si>
  <si>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</si>
  <si>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</si>
  <si>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</si>
  <si>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</si>
  <si>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</si>
  <si>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</si>
  <si>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</si>
  <si>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</si>
  <si>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</si>
  <si>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</si>
  <si>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</si>
  <si>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</si>
  <si>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</si>
  <si>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</si>
  <si>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</si>
  <si>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</si>
  <si>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</si>
  <si>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</si>
  <si>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</si>
  <si>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</si>
  <si>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</si>
  <si>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</si>
  <si>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</si>
  <si>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</si>
  <si>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</si>
  <si>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</si>
  <si>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</si>
  <si>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</si>
  <si>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</si>
  <si>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</si>
  <si>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</si>
  <si>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</si>
  <si>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</si>
  <si>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</si>
  <si>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</si>
  <si>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</si>
  <si>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</si>
  <si>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</si>
  <si>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</si>
  <si>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</si>
  <si>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</si>
  <si>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</si>
  <si>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</si>
  <si>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</si>
  <si>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</si>
  <si>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</si>
  <si>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</si>
  <si>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</si>
  <si>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</si>
  <si>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</si>
  <si>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</si>
  <si>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</si>
  <si>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</si>
  <si>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</si>
  <si>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</si>
  <si>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</si>
  <si>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</si>
  <si>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</si>
  <si>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</si>
  <si>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</si>
  <si>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</si>
  <si>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</si>
  <si>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</si>
  <si>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</si>
  <si>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</si>
  <si>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</si>
  <si>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</si>
  <si>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</si>
  <si>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</si>
  <si>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</si>
  <si>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</si>
  <si>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</si>
  <si>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</si>
  <si>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</si>
  <si>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</si>
  <si>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</si>
  <si>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</si>
  <si>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</si>
  <si>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</si>
  <si>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</si>
  <si>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</si>
  <si>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</si>
  <si>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</si>
  <si>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</si>
  <si>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</si>
  <si>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</si>
  <si>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</si>
  <si>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</si>
  <si>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</si>
  <si>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</si>
  <si>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</si>
  <si>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</si>
  <si>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</si>
  <si>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</si>
  <si>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</si>
  <si>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</si>
  <si>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</si>
  <si>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</si>
  <si>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</si>
  <si>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</si>
  <si>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</si>
  <si>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</si>
  <si>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</si>
  <si>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</si>
  <si>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</si>
  <si>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</si>
  <si>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</si>
  <si>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</si>
  <si>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</si>
  <si>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</si>
  <si>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</si>
  <si>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</si>
  <si>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</si>
  <si>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</si>
  <si>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</si>
  <si>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</si>
  <si>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</si>
  <si>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</si>
  <si>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</si>
  <si>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</si>
  <si>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</si>
  <si>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</si>
  <si>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</si>
  <si>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</si>
  <si>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</si>
  <si>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</si>
  <si>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</si>
  <si>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</si>
  <si>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</si>
  <si>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</si>
  <si>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</si>
  <si>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</si>
  <si>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</si>
  <si>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</si>
  <si>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</si>
  <si>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</si>
  <si>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</si>
  <si>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</si>
  <si>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</si>
  <si>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</si>
  <si>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</si>
  <si>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</si>
  <si>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</si>
  <si>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</si>
  <si>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</si>
  <si>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</si>
  <si>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</si>
  <si>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</si>
  <si>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</si>
  <si>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</si>
  <si>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</si>
  <si>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</si>
  <si>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</si>
  <si>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</si>
  <si>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</si>
  <si>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</si>
  <si>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</si>
  <si>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</si>
  <si>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</si>
  <si>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</si>
  <si>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</si>
  <si>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</si>
  <si>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</si>
  <si>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</si>
  <si>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</si>
  <si>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</si>
  <si>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</si>
  <si>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</si>
  <si>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</si>
  <si>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</si>
  <si>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</si>
  <si>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</si>
  <si>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</si>
  <si>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</si>
  <si>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</si>
  <si>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</si>
  <si>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</si>
  <si>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</si>
  <si>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</si>
  <si>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</si>
  <si>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</si>
  <si>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</si>
  <si>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</si>
  <si>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</si>
  <si>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</si>
  <si>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</si>
  <si>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</si>
  <si>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</si>
  <si>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</si>
  <si>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</si>
  <si>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</si>
  <si>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</si>
  <si>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</si>
  <si>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</si>
  <si>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</si>
  <si>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</si>
  <si>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</si>
  <si>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</si>
  <si>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</si>
  <si>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</si>
  <si>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</si>
  <si>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</si>
  <si>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</si>
  <si>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</si>
  <si>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</si>
  <si>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</si>
  <si>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</si>
  <si>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</si>
  <si>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</si>
  <si>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</si>
  <si>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</si>
  <si>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</si>
  <si>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</si>
  <si>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</si>
  <si>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</si>
  <si>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</si>
  <si>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</si>
  <si>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</si>
  <si>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</si>
  <si>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</si>
  <si>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</si>
  <si>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</si>
  <si>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</si>
  <si>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</si>
  <si>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</si>
  <si>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</si>
  <si>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</si>
  <si>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</si>
  <si>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</si>
  <si>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</si>
  <si>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</si>
  <si>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</si>
  <si>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</si>
  <si>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</si>
  <si>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</si>
  <si>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</si>
  <si>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</si>
  <si>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</si>
  <si>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</si>
  <si>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</si>
  <si>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</si>
  <si>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</si>
  <si>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</si>
  <si>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</si>
  <si>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</si>
  <si>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</si>
  <si>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</si>
  <si>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</si>
  <si>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</si>
  <si>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</si>
  <si>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</si>
  <si>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</si>
  <si>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</si>
  <si>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</si>
  <si>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</si>
  <si>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</si>
  <si>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</si>
  <si>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</si>
  <si>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</si>
  <si>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</si>
  <si>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</si>
  <si>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</si>
  <si>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</si>
  <si>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</si>
  <si>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</si>
  <si>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</si>
  <si>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</si>
  <si>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</si>
  <si>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</si>
  <si>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</si>
  <si>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</si>
  <si>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</si>
  <si>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</si>
  <si>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</si>
  <si>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</si>
  <si>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</si>
  <si>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</si>
  <si>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</si>
  <si>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</si>
  <si>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</si>
  <si>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</si>
  <si>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</si>
  <si>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</si>
  <si>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</si>
  <si>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</si>
  <si>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</si>
  <si>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</si>
  <si>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</si>
  <si>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</si>
  <si>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</si>
  <si>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</si>
  <si>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</si>
  <si>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</si>
  <si>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</si>
  <si>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</si>
  <si>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</si>
  <si>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</si>
  <si>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</si>
  <si>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</si>
  <si>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</si>
  <si>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</si>
  <si>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</si>
  <si>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</si>
  <si>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</si>
  <si>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</si>
  <si>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</si>
  <si>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</si>
  <si>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</si>
  <si>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</si>
  <si>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</si>
  <si>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</si>
  <si>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</si>
  <si>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</si>
  <si>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</si>
  <si>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</si>
  <si>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</si>
  <si>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</si>
  <si>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</si>
  <si>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</si>
  <si>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</si>
  <si>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</si>
  <si>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</si>
  <si>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</si>
  <si>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</si>
  <si>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</si>
  <si>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</si>
  <si>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</si>
  <si>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</si>
  <si>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</si>
  <si>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</si>
  <si>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</si>
  <si>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</si>
  <si>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</si>
  <si>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</si>
  <si>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</si>
  <si>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</si>
  <si>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</si>
  <si>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</si>
  <si>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</si>
  <si>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</si>
  <si>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</si>
  <si>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</si>
  <si>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</si>
  <si>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</si>
  <si>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</si>
  <si>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</si>
  <si>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</si>
  <si>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</si>
  <si>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</si>
  <si>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</si>
  <si>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</si>
  <si>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</si>
  <si>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</si>
  <si>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</si>
  <si>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</si>
  <si>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</si>
  <si>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</si>
  <si>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</si>
  <si>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</si>
  <si>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</si>
  <si>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</si>
  <si>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</si>
  <si>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</si>
  <si>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</si>
  <si>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</si>
  <si>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</si>
  <si>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</si>
  <si>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</si>
  <si>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</si>
  <si>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</si>
  <si>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</si>
  <si>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</si>
  <si>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</si>
  <si>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</si>
  <si>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</si>
  <si>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</si>
  <si>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</si>
  <si>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</si>
  <si>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</si>
  <si>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</si>
  <si>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</si>
  <si>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</si>
  <si>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</si>
  <si>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</si>
  <si>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</si>
  <si>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</si>
  <si>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</si>
  <si>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</si>
  <si>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</si>
  <si>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</si>
  <si>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</si>
  <si>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</si>
  <si>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</si>
  <si>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</si>
  <si>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</si>
  <si>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</si>
  <si>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</si>
  <si>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</si>
  <si>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</si>
  <si>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</si>
  <si>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</si>
  <si>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</si>
  <si>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</si>
  <si>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</si>
  <si>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</si>
  <si>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</si>
  <si>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</si>
  <si>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</si>
  <si>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</si>
  <si>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</si>
  <si>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</si>
  <si>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</si>
  <si>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</si>
  <si>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</si>
  <si>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</si>
  <si>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</si>
  <si>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</si>
  <si>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</si>
  <si>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</si>
  <si>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</si>
  <si>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</si>
  <si>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</si>
  <si>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</si>
  <si>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</si>
  <si>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</si>
  <si>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</si>
  <si>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</si>
  <si>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</si>
  <si>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</si>
  <si>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</si>
  <si>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</si>
  <si>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</si>
  <si>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</si>
  <si>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</si>
  <si>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</si>
  <si>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</si>
  <si>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</si>
  <si>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</si>
  <si>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</si>
  <si>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</si>
  <si>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</si>
  <si>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</si>
  <si>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</si>
  <si>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</si>
  <si>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</si>
  <si>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</si>
  <si>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</si>
  <si>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</si>
  <si>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</si>
  <si>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</si>
  <si>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</si>
  <si>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</si>
  <si>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</si>
  <si>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</si>
  <si>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</si>
  <si>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</si>
  <si>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</si>
  <si>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</si>
  <si>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</si>
  <si>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</si>
  <si>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</si>
  <si>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</si>
  <si>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</si>
  <si>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</si>
  <si>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</si>
  <si>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</si>
  <si>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</si>
  <si>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</si>
  <si>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</si>
  <si>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</si>
  <si>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</si>
  <si>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</si>
  <si>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</si>
  <si>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</si>
  <si>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</si>
  <si>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</si>
  <si>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</si>
  <si>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</si>
  <si>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</si>
  <si>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</si>
  <si>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</si>
  <si>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</si>
  <si>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</si>
  <si>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</si>
  <si>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</si>
  <si>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</si>
  <si>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</si>
  <si>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</si>
  <si>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</si>
  <si>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</si>
  <si>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</si>
  <si>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</si>
  <si>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</si>
  <si>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</si>
  <si>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</si>
  <si>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</si>
  <si>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</si>
  <si>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</si>
  <si>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</si>
  <si>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</si>
  <si>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</si>
  <si>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</si>
  <si>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</si>
  <si>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</si>
  <si>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</si>
  <si>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</si>
  <si>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</si>
  <si>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</si>
  <si>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</si>
  <si>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</si>
  <si>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</si>
  <si>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</si>
  <si>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</si>
  <si>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</si>
  <si>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</si>
  <si>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</si>
  <si>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</si>
  <si>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</si>
  <si>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</si>
  <si>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</si>
  <si>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</si>
  <si>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</si>
  <si>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</si>
  <si>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</si>
  <si>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</si>
  <si>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</si>
  <si>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</si>
  <si>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</si>
  <si>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</si>
  <si>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</si>
  <si>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</si>
  <si>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</si>
  <si>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</si>
  <si>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</si>
  <si>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</si>
  <si>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</si>
  <si>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</si>
  <si>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</si>
  <si>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</si>
  <si>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</si>
  <si>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</si>
  <si>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</si>
  <si>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</si>
  <si>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</si>
  <si>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</si>
  <si>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</si>
  <si>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</si>
  <si>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</si>
  <si>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</si>
  <si>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</si>
  <si>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</si>
  <si>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</si>
  <si>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</si>
  <si>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</si>
  <si>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</si>
  <si>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</si>
  <si>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</si>
  <si>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</si>
  <si>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</si>
  <si>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</si>
  <si>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</si>
  <si>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</si>
  <si>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</si>
  <si>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</si>
  <si>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</si>
  <si>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</si>
  <si>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</si>
  <si>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</si>
  <si>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</si>
  <si>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</si>
  <si>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</si>
  <si>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</si>
  <si>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</si>
  <si>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</si>
  <si>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</si>
  <si>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</si>
  <si>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</si>
  <si>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</si>
  <si>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</si>
  <si>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</si>
  <si>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</si>
  <si>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</si>
  <si>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</si>
  <si>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</si>
  <si>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</si>
  <si>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</si>
  <si>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</si>
  <si>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</si>
  <si>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</si>
  <si>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</si>
  <si>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</si>
  <si>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</si>
  <si>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</si>
  <si>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</si>
  <si>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</si>
  <si>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</si>
  <si>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</si>
  <si>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</si>
  <si>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</si>
  <si>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</si>
  <si>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</si>
  <si>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</si>
  <si>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</si>
  <si>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</si>
  <si>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</si>
  <si>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</si>
  <si>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</si>
  <si>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</si>
  <si>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</si>
  <si>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</si>
  <si>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</si>
  <si>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</si>
  <si>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</si>
  <si>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</si>
  <si>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</si>
  <si>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</si>
  <si>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</si>
  <si>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</si>
  <si>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</si>
  <si>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</si>
  <si>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</si>
  <si>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</si>
  <si>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</si>
  <si>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</si>
  <si>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</si>
  <si>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</si>
  <si>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</si>
  <si>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</si>
  <si>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</si>
  <si>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</si>
  <si>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</si>
  <si>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</si>
  <si>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</si>
  <si>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</si>
  <si>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</si>
  <si>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</si>
  <si>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</si>
  <si>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</si>
  <si>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</si>
  <si>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</si>
  <si>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</si>
  <si>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</si>
  <si>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</si>
  <si>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</si>
  <si>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</si>
  <si>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</si>
  <si>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</si>
  <si>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</si>
  <si>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</si>
  <si>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</si>
  <si>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</si>
  <si>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</si>
  <si>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</si>
  <si>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</si>
  <si>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</si>
  <si>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</si>
  <si>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</si>
  <si>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</si>
  <si>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</si>
  <si>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</si>
  <si>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</si>
  <si>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</si>
  <si>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</si>
  <si>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</si>
  <si>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</si>
  <si>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</si>
  <si>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</si>
  <si>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</si>
  <si>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</si>
  <si>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</si>
  <si>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</si>
  <si>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</si>
  <si>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</si>
  <si>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</si>
  <si>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</si>
  <si>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</si>
  <si>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</si>
  <si>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</si>
  <si>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</si>
  <si>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</si>
  <si>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</si>
  <si>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商业</t>
  </si>
  <si>
    <t>地上</t>
  </si>
  <si>
    <t>比较法-住宅、综合</t>
  </si>
  <si>
    <t>剩余法-待开发</t>
  </si>
  <si>
    <t>土地面积</t>
    <phoneticPr fontId="228" type="noConversion"/>
  </si>
  <si>
    <t>规划建筑面积</t>
    <phoneticPr fontId="228" type="noConversion"/>
  </si>
  <si>
    <t>鲁（2018）潍坊市滨海区不动产权第0063151号</t>
    <phoneticPr fontId="228" type="noConversion"/>
  </si>
  <si>
    <t>潍坊滨海投资发展有限公司</t>
    <phoneticPr fontId="228" type="noConversion"/>
  </si>
  <si>
    <t>出让</t>
    <phoneticPr fontId="228" type="noConversion"/>
  </si>
  <si>
    <t>商务金融</t>
    <phoneticPr fontId="228" type="noConversion"/>
  </si>
  <si>
    <r>
      <t>2018年1月29日</t>
    </r>
    <r>
      <rPr>
        <sz val="11"/>
        <color theme="1"/>
        <rFont val="宋体"/>
        <family val="3"/>
        <charset val="134"/>
        <scheme val="minor"/>
      </rPr>
      <t>起2058年1月28日止</t>
    </r>
    <phoneticPr fontId="228" type="noConversion"/>
  </si>
  <si>
    <t>鲁（2018）潍坊市滨海区不动产权第0067535号</t>
    <phoneticPr fontId="228" type="noConversion"/>
  </si>
  <si>
    <t>潍坊滨海投资发展有限公司</t>
    <phoneticPr fontId="228" type="noConversion"/>
  </si>
  <si>
    <t>出让</t>
    <phoneticPr fontId="228" type="noConversion"/>
  </si>
  <si>
    <t>商务金融</t>
    <phoneticPr fontId="228" type="noConversion"/>
  </si>
  <si>
    <t>鲁（2018）潍坊市滨海区不动产权第0067533号</t>
    <phoneticPr fontId="228" type="noConversion"/>
  </si>
  <si>
    <t>鲁（2018）潍坊市滨海区不动产权第0064298号</t>
    <phoneticPr fontId="228" type="noConversion"/>
  </si>
  <si>
    <t>鲁（2018）潍坊市滨海区不动产权第0059479号</t>
    <phoneticPr fontId="228" type="noConversion"/>
  </si>
  <si>
    <t>鲁（2018）潍坊市滨海区不动产权第0068344号</t>
    <phoneticPr fontId="228" type="noConversion"/>
  </si>
  <si>
    <t>2018年9月18日起2058年9月17日止</t>
    <phoneticPr fontId="228" type="noConversion"/>
  </si>
  <si>
    <t>鲁（2019）潍坊市滨海区不动产权第0000674号</t>
    <phoneticPr fontId="228" type="noConversion"/>
  </si>
  <si>
    <t>鲁（2018）潍坊市滨海区不动产权第0069384号</t>
    <phoneticPr fontId="228" type="noConversion"/>
  </si>
  <si>
    <t>鲁（2018）潍坊市滨海区不动产权第0068343号</t>
    <phoneticPr fontId="228" type="noConversion"/>
  </si>
  <si>
    <t>地块名称</t>
  </si>
  <si>
    <t>用地性质</t>
  </si>
  <si>
    <t>建设用地面积(㎡)</t>
  </si>
  <si>
    <t>规划建筑面积(㎡)</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</si>
  <si>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</si>
  <si>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</si>
  <si>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</si>
  <si>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</si>
  <si>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</si>
  <si>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</si>
  <si>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</si>
  <si>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</si>
  <si>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</si>
  <si>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</si>
  <si>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</si>
  <si>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</si>
  <si>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</si>
  <si>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</si>
  <si>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</si>
  <si>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</si>
  <si>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</si>
  <si>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</si>
  <si>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</si>
  <si>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</si>
  <si>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</si>
  <si>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</si>
  <si>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</si>
  <si>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</si>
  <si>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</si>
  <si>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</si>
  <si>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</si>
  <si>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</si>
  <si>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</si>
  <si>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</si>
  <si>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</si>
  <si>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</si>
  <si>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</si>
  <si>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</si>
  <si>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</si>
  <si>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</si>
  <si>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</si>
  <si>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</si>
  <si>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</si>
  <si>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</si>
  <si>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</si>
  <si>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楼面地价</t>
  </si>
  <si>
    <t>海安路以西、国有土地以南</t>
    <phoneticPr fontId="3" type="noConversion"/>
  </si>
  <si>
    <t>国有土地以北、海安路以西</t>
    <phoneticPr fontId="3" type="noConversion"/>
  </si>
  <si>
    <t>国有土地以南、海安路以西</t>
    <phoneticPr fontId="3" type="noConversion"/>
  </si>
  <si>
    <t>次</t>
    <phoneticPr fontId="3" type="noConversion"/>
  </si>
  <si>
    <t>支</t>
    <phoneticPr fontId="3" type="noConversion"/>
  </si>
  <si>
    <t>规则</t>
    <phoneticPr fontId="3" type="noConversion"/>
  </si>
  <si>
    <t>较规则</t>
    <phoneticPr fontId="3" type="noConversion"/>
  </si>
  <si>
    <t>不规则</t>
    <phoneticPr fontId="3" type="noConversion"/>
  </si>
  <si>
    <t>好</t>
  </si>
  <si>
    <t>较好</t>
  </si>
  <si>
    <t>一般</t>
  </si>
  <si>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</si>
  <si>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</si>
  <si>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</si>
  <si>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</si>
  <si>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</si>
  <si>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</si>
  <si>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</si>
  <si>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40</t>
    <phoneticPr fontId="26" type="noConversion"/>
  </si>
  <si>
    <t>五通</t>
  </si>
  <si>
    <t>较规则</t>
  </si>
  <si>
    <t>商业</t>
    <phoneticPr fontId="7" type="noConversion"/>
  </si>
  <si>
    <t>土地（套用方法）</t>
  </si>
  <si>
    <t>押一</t>
  </si>
  <si>
    <t>按租金收入计税</t>
  </si>
  <si>
    <t>钢混</t>
  </si>
  <si>
    <t>不动产收益法</t>
  </si>
  <si>
    <t>商业金融用地</t>
  </si>
  <si>
    <r>
      <t>39.12</t>
    </r>
    <r>
      <rPr>
        <sz val="10"/>
        <color indexed="8"/>
        <rFont val="宋体"/>
        <family val="3"/>
        <charset val="134"/>
      </rPr>
      <t>年</t>
    </r>
    <phoneticPr fontId="21" type="noConversion"/>
  </si>
  <si>
    <r>
      <t>38.48</t>
    </r>
    <r>
      <rPr>
        <sz val="10"/>
        <color indexed="8"/>
        <rFont val="宋体"/>
        <family val="3"/>
        <charset val="134"/>
      </rPr>
      <t>年</t>
    </r>
    <phoneticPr fontId="21" type="noConversion"/>
  </si>
  <si>
    <t>39.12年</t>
  </si>
  <si>
    <t>38.48年</t>
  </si>
  <si>
    <t>七通</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</si>
  <si>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</si>
  <si>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</si>
  <si>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</si>
  <si>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</si>
  <si>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</si>
  <si>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</si>
  <si>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</si>
  <si>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</si>
  <si>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</si>
  <si>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</si>
  <si>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</si>
  <si>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</si>
  <si>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</si>
  <si>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</si>
  <si>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</si>
  <si>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</si>
  <si>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</si>
  <si>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</si>
  <si>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</si>
  <si>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</si>
  <si>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宗地形状</t>
    <phoneticPr fontId="3" type="noConversion"/>
  </si>
  <si>
    <t>较规则</t>
    <phoneticPr fontId="21" type="noConversion"/>
  </si>
  <si>
    <t>较不规则</t>
  </si>
  <si>
    <t>较不规则</t>
    <phoneticPr fontId="21" type="noConversion"/>
  </si>
  <si>
    <t>城市</t>
  </si>
  <si>
    <t>出让方式</t>
  </si>
  <si>
    <t>截止日期</t>
  </si>
  <si>
    <t>土地星级</t>
  </si>
  <si>
    <t>东风西街以北、向阳路以西、北门大街以东</t>
  </si>
  <si>
    <t>潍坊市</t>
  </si>
  <si>
    <t>≤1.1</t>
  </si>
  <si>
    <t>挂牌</t>
  </si>
  <si>
    <t>2019-03-18</t>
  </si>
  <si>
    <t>3星</t>
  </si>
  <si>
    <t>长松路以西、潍昌路以南</t>
  </si>
  <si>
    <t>＞1.0,≤2.5</t>
  </si>
  <si>
    <t>2019-03-04</t>
  </si>
  <si>
    <t>潍坊潍州投资控股有限公司</t>
  </si>
  <si>
    <t>宝通西街以北、西二环以东</t>
  </si>
  <si>
    <t>≥0.45,≤1</t>
  </si>
  <si>
    <t>2019-02-25</t>
  </si>
  <si>
    <t>潍坊潍州城建投资有限公司</t>
  </si>
  <si>
    <t>4星</t>
  </si>
  <si>
    <t>潍坊经济开发区泰祥街以北、白浪河以西</t>
  </si>
  <si>
    <t>≥1且≤1.5</t>
  </si>
  <si>
    <t>2018-11-23</t>
  </si>
  <si>
    <t>潍坊众星新能源科技有限公司</t>
  </si>
  <si>
    <t>潍城区玉清西街以南、清平路以西、规划支路以东、规划支路以北</t>
  </si>
  <si>
    <t>≥1.2且≤1.4</t>
  </si>
  <si>
    <t>2018-10-22</t>
  </si>
  <si>
    <t>潍坊绿奥房地产开发有限公司</t>
  </si>
  <si>
    <t>北宫西街以北、彩虹路以西</t>
  </si>
  <si>
    <t>≥1.21且≤1.3</t>
  </si>
  <si>
    <t>2018-06-30</t>
  </si>
  <si>
    <t>长松路以西、安顺路以北</t>
  </si>
  <si>
    <t>等于4.5</t>
  </si>
  <si>
    <t>2018-03-09</t>
  </si>
  <si>
    <t>山东双科能源科技有限公司</t>
  </si>
  <si>
    <t>2星</t>
  </si>
  <si>
    <t>卧龙西街以北、大于河以西</t>
  </si>
  <si>
    <t>＞0.8且≤0.9</t>
  </si>
  <si>
    <t>2017-12-15</t>
  </si>
  <si>
    <t>潍坊市财信国有资产经营有限公司</t>
  </si>
  <si>
    <t>卧龙西街以北、怡园路以东</t>
  </si>
  <si>
    <t>等于2.5</t>
  </si>
  <si>
    <t>2017-10-31</t>
  </si>
  <si>
    <t>潍坊市城建创展置业有限公司</t>
  </si>
  <si>
    <t>5星</t>
  </si>
  <si>
    <t>月河路以西、胥山街以南</t>
  </si>
  <si>
    <t>2017-03-05</t>
  </si>
  <si>
    <t>潍坊联运有限责任公司</t>
  </si>
  <si>
    <t>宝通西街以北、春鸢路以东</t>
  </si>
  <si>
    <t>≤1</t>
  </si>
  <si>
    <t>2017-02-17</t>
  </si>
  <si>
    <t>潍坊鑫鼎粮食有限公司</t>
  </si>
  <si>
    <t>潍高路以南、三安子村以东</t>
  </si>
  <si>
    <t>≤0.6</t>
  </si>
  <si>
    <t>潍坊市万业石油化工产品销售有限公司</t>
  </si>
  <si>
    <t>东风西街以北、开拓路以西</t>
  </si>
  <si>
    <t>≥1且≤1.4</t>
  </si>
  <si>
    <t>2016-12-03</t>
  </si>
  <si>
    <t>潍坊润众节能建材有限公司</t>
  </si>
  <si>
    <t>东风西街以北、殷大路以东</t>
  </si>
  <si>
    <t>2016-09-19</t>
  </si>
  <si>
    <t>山东京博新能源控股发展有限公司</t>
  </si>
  <si>
    <t>潍城区卧龙西街以北、怡园路以东、规划支路以西</t>
  </si>
  <si>
    <t>2016-08-20</t>
  </si>
  <si>
    <t>高新区健康东街以南、潍县中路以东、胜利东街以南</t>
  </si>
  <si>
    <t>等于8</t>
  </si>
  <si>
    <t>2019-07-31</t>
  </si>
  <si>
    <t>潍坊三甲置业有限公司</t>
  </si>
  <si>
    <t>奎文区乐川街以北、潍州路以东</t>
  </si>
  <si>
    <t>大于或等于2并且小于或等于2.5</t>
  </si>
  <si>
    <t>2019-07-12</t>
  </si>
  <si>
    <t>潍坊北辰置业有限公司</t>
  </si>
  <si>
    <t>高新区胜利东街以南、潍县中路以东</t>
  </si>
  <si>
    <t>等于8.0</t>
  </si>
  <si>
    <t>2019-01-17</t>
  </si>
  <si>
    <t>高新区梨园街以南、金马路以西</t>
  </si>
  <si>
    <t>≥4,≤5</t>
  </si>
  <si>
    <t>2019-01-07</t>
  </si>
  <si>
    <t>潍坊十甲置业有限公司</t>
  </si>
  <si>
    <t>≥1.0,≤1.2</t>
  </si>
  <si>
    <t>高新区健康东街以北、府东路以东</t>
  </si>
  <si>
    <t>≤4.5</t>
  </si>
  <si>
    <t>2019-01-03</t>
  </si>
  <si>
    <t>潍坊市东方国有资产经营管理有限公司</t>
  </si>
  <si>
    <t>奎文区文化南路以西、区间路以南</t>
  </si>
  <si>
    <t>≤6.2</t>
  </si>
  <si>
    <t>2018-11-09</t>
  </si>
  <si>
    <t>潍坊雷士置业投资发展有限公司</t>
  </si>
  <si>
    <t>潍坊综合保税区桃园街以北、高二路以东</t>
  </si>
  <si>
    <t>≥1.5且≤1.9</t>
  </si>
  <si>
    <t>潍坊综合保税区投资发展有限公司</t>
  </si>
  <si>
    <t>樱前街以南、潍县中路以东</t>
  </si>
  <si>
    <t>≥2.6且≤3.3</t>
  </si>
  <si>
    <t>2018-09-28</t>
  </si>
  <si>
    <t>山东郡海置业有限公司</t>
  </si>
  <si>
    <t>宝通街以南、志远路以西</t>
  </si>
  <si>
    <t>≥2.8且≤3.6</t>
  </si>
  <si>
    <t>山东华安集团有限公司</t>
  </si>
  <si>
    <t>健康东街以北、高新一路以西</t>
  </si>
  <si>
    <t>≥1.9且≤2.4</t>
  </si>
  <si>
    <t>2018-06-15</t>
  </si>
  <si>
    <t>山东高创建设投资集团有限公司</t>
  </si>
  <si>
    <t>胜利东街以北、潍县中路以西</t>
  </si>
  <si>
    <t>≥1,≤4.5</t>
  </si>
  <si>
    <t>2017-06-27</t>
  </si>
  <si>
    <t>潍坊恒信建设集团有限公司</t>
  </si>
  <si>
    <t>东风东街以北、潍安路以东</t>
  </si>
  <si>
    <t>2017-03-09</t>
  </si>
  <si>
    <t>新华路以西、乐川街以南</t>
  </si>
  <si>
    <t>2017-03-04</t>
  </si>
  <si>
    <t>潍坊诚德置业有限公司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</si>
</sst>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2" fontId="76" fillId="9" borderId="51" xfId="0" applyNumberFormat="1" applyFont="1" applyFill="1" applyBorder="1" applyAlignment="1" applyProtection="1">
      <alignment horizontal="center" vertical="center"/>
      <protection locked="0"/>
    </xf>
    <xf numFmtId="0" fontId="145" fillId="0" borderId="0" xfId="1">
      <alignment vertical="center"/>
    </xf>
    <xf numFmtId="0" fontId="145" fillId="0" borderId="0" xfId="1" applyFont="1">
      <alignment vertical="center"/>
    </xf>
    <xf numFmtId="0" fontId="86" fillId="0" borderId="0" xfId="16"/>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18" borderId="0" xfId="16" applyFill="1"/>
    <xf numFmtId="0" fontId="86" fillId="18" borderId="0" xfId="16" applyFill="1" applyAlignment="1">
      <alignment horizontal="right"/>
    </xf>
    <xf numFmtId="185" fontId="86" fillId="18"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1" fontId="108" fillId="3" borderId="59" xfId="0" applyNumberFormat="1" applyFont="1" applyFill="1" applyBorder="1" applyAlignment="1" applyProtection="1">
      <alignment vertical="center" wrapText="1"/>
      <protection locked="0"/>
    </xf>
    <xf numFmtId="1" fontId="108" fillId="3" borderId="30" xfId="0" applyNumberFormat="1" applyFont="1" applyFill="1" applyBorder="1" applyAlignment="1" applyProtection="1">
      <alignment vertical="center" wrapText="1"/>
      <protection locked="0"/>
    </xf>
    <xf numFmtId="178" fontId="71" fillId="9"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1" fillId="9" borderId="2"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vertical="center"/>
      <protection locked="0"/>
    </xf>
    <xf numFmtId="0" fontId="86" fillId="9" borderId="25"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76" fillId="9" borderId="11" xfId="0" applyNumberFormat="1" applyFont="1" applyFill="1" applyBorder="1" applyAlignment="1" applyProtection="1">
      <alignment horizontal="center" vertical="center" wrapText="1"/>
      <protection locked="0"/>
    </xf>
    <xf numFmtId="0" fontId="76" fillId="9" borderId="2" xfId="0" applyNumberFormat="1" applyFont="1" applyFill="1" applyBorder="1" applyAlignment="1" applyProtection="1">
      <alignment horizontal="center" vertical="center" wrapText="1"/>
      <protection locked="0"/>
    </xf>
    <xf numFmtId="0" fontId="76" fillId="9" borderId="22" xfId="0" applyNumberFormat="1" applyFont="1" applyFill="1" applyBorder="1" applyAlignment="1" applyProtection="1">
      <alignment horizontal="center" vertical="center" wrapText="1"/>
      <protection locked="0"/>
    </xf>
    <xf numFmtId="0" fontId="86" fillId="9" borderId="10" xfId="0" applyNumberFormat="1" applyFont="1" applyFill="1" applyBorder="1" applyAlignment="1" applyProtection="1">
      <alignment horizontal="center" vertical="center" wrapText="1"/>
      <protection locked="0"/>
    </xf>
    <xf numFmtId="0" fontId="160" fillId="5" borderId="33" xfId="4" applyFont="1" applyFill="1" applyBorder="1"/>
    <xf numFmtId="184" fontId="7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4" applyNumberFormat="1" applyFont="1" applyFill="1" applyBorder="1" applyAlignment="1" applyProtection="1">
      <alignment horizontal="center" vertical="center"/>
      <protection locked="0"/>
    </xf>
    <xf numFmtId="182" fontId="149" fillId="0" borderId="12" xfId="4"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4"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75"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9" fontId="149" fillId="0" borderId="6" xfId="4" applyNumberFormat="1" applyFont="1" applyBorder="1" applyAlignment="1" applyProtection="1">
      <alignment horizontal="center"/>
      <protection locked="0"/>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9" fontId="149" fillId="0" borderId="44" xfId="4" applyNumberFormat="1" applyFont="1" applyBorder="1" applyAlignment="1" applyProtection="1">
      <alignment horizontal="center"/>
      <protection locked="0"/>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0" fontId="76" fillId="17" borderId="97" xfId="0" applyNumberFormat="1" applyFont="1" applyFill="1" applyBorder="1" applyAlignment="1" applyProtection="1">
      <alignment horizontal="center" vertical="center" wrapText="1"/>
    </xf>
    <xf numFmtId="178" fontId="86" fillId="0" borderId="0" xfId="16" applyNumberFormat="1"/>
    <xf numFmtId="178" fontId="0" fillId="0" borderId="0" xfId="0" applyNumberFormat="1">
      <alignment vertical="center"/>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58" fillId="5" borderId="36" xfId="4" applyFont="1" applyFill="1" applyBorder="1" applyAlignment="1">
      <alignment horizontal="center"/>
    </xf>
    <xf numFmtId="0" fontId="58" fillId="5" borderId="37" xfId="4" applyFont="1" applyFill="1" applyBorder="1" applyAlignment="1">
      <alignment horizont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276225</xdr:colOff>
      <xdr:row>47</xdr:row>
      <xdr:rowOff>41590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7429500" cy="4499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12</xdr:row>
      <xdr:rowOff>123825</xdr:rowOff>
    </xdr:from>
    <xdr:to>
      <xdr:col>15</xdr:col>
      <xdr:colOff>27317</xdr:colOff>
      <xdr:row>22</xdr:row>
      <xdr:rowOff>152182</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181225"/>
          <a:ext cx="10066667"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20013;&#20449;&#28493;&#22346;&#22303;&#22320;/&#20013;&#20449;&#28493;&#22346;&#22303;&#22320;/&#35810;&#20215;&#20013;&#20449;&#23665;&#19996;&#28493;&#2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剩余法-现房"/>
      <sheetName val="结果表"/>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Sheet1 (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54446</v>
          </cell>
        </row>
        <row r="5">
          <cell r="I5">
            <v>163338</v>
          </cell>
        </row>
        <row r="13">
          <cell r="I13">
            <v>163338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F2">
            <v>54446</v>
          </cell>
        </row>
      </sheetData>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2655</v>
      </c>
      <c r="B1" s="2843" t="s">
        <v>2752</v>
      </c>
    </row>
    <row r="2" spans="1:55" s="2847" customFormat="1" ht="15" thickTop="1">
      <c r="A2" s="2845" t="s">
        <v>2659</v>
      </c>
      <c r="B2" s="2846" t="str">
        <f>'预评函-封皮'!B37</f>
        <v>出让国有建设用地使用权抵押价格预评估</v>
      </c>
      <c r="AX2" s="2848"/>
      <c r="AZ2" s="2848"/>
      <c r="BA2" s="2849"/>
      <c r="BC2" s="2849"/>
    </row>
    <row r="3" spans="1:55" s="2850" customFormat="1">
      <c r="A3" s="2829" t="s">
        <v>2660</v>
      </c>
      <c r="B3" s="2832">
        <f>'预评函-封皮'!B40</f>
        <v>0</v>
      </c>
    </row>
    <row r="4" spans="1:55" s="2831" customFormat="1">
      <c r="A4" s="2829" t="s">
        <v>2661</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2662</v>
      </c>
      <c r="B5" s="2852" t="str">
        <f>'预评函-封皮'!B49</f>
        <v>康正预评字号</v>
      </c>
    </row>
    <row r="6" spans="1:55" s="2853" customFormat="1" ht="15" thickTop="1">
      <c r="A6" s="2845" t="s">
        <v>2704</v>
      </c>
      <c r="B6" s="2846" t="str">
        <f>'预评函-1'!A4</f>
        <v>受贵公司委托，我公司对出让国有建设用地使用权抵押价格进行了预评估。</v>
      </c>
      <c r="AM6" s="2854"/>
    </row>
    <row r="7" spans="1:55" s="2828" customFormat="1">
      <c r="A7" s="2829" t="s">
        <v>2656</v>
      </c>
      <c r="B7" s="2830" t="str">
        <f>'预评函-1'!A6</f>
        <v>估价对象为使用的、位于出让国有建设用地使用权。根据《国有土地使用证》[]，估价对象（分摊）出让国有建设用地使用权面积为54446平方米。根据《建设工程规划许可证》[]、《出让合同》[]，估价对象规划建筑面积为163338平方米。</v>
      </c>
    </row>
    <row r="8" spans="1:55" s="2828" customFormat="1">
      <c r="A8" s="2829" t="s">
        <v>2657</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2707</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2658</v>
      </c>
      <c r="B10" s="2830" t="str">
        <f>'预评函-1'!A11</f>
        <v>2019年8月14日（评估专业人员勘察现场之日）</v>
      </c>
    </row>
    <row r="11" spans="1:55" s="2828" customFormat="1">
      <c r="A11" s="2829" t="s">
        <v>2664</v>
      </c>
      <c r="B11" s="2830" t="str">
        <f>'预评函-1'!A14</f>
        <v>根据《国有土地使用证》[]，本次评估估价对象证载（地类）用途为。</v>
      </c>
    </row>
    <row r="12" spans="1:55" s="2828" customFormat="1">
      <c r="A12" s="2829" t="s">
        <v>2665</v>
      </c>
      <c r="B12" s="2830" t="str">
        <f>'预评函-1'!A15</f>
        <v>本次评估设定用途即为证载用途。</v>
      </c>
    </row>
    <row r="13" spans="1:55" s="2828" customFormat="1">
      <c r="A13" s="2829" t="s">
        <v>2666</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2667</v>
      </c>
      <c r="B14" s="2830" t="str">
        <f>'预评函-1'!A18</f>
        <v>。本次评估设定土地开发程度为红线外市政基础设施达“七通”、宗地红线内场地平整。</v>
      </c>
    </row>
    <row r="15" spans="1:55" s="2828" customFormat="1">
      <c r="A15" s="2829" t="s">
        <v>2663</v>
      </c>
      <c r="B15" s="2830" t="str">
        <f>'预评函-1'!A20</f>
        <v>根据《国有土地使用证》[]，估价对象（分摊）出让国有建设用地使用权面积为54446平方米。根据《建设工程规划许可证》[]、《出让合同》[]，估价对象规划建筑面积为163338平方米。</v>
      </c>
    </row>
    <row r="16" spans="1:55" s="2828" customFormat="1">
      <c r="A16" s="2829" t="s">
        <v>2668</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17" spans="1:48" s="2828" customFormat="1">
      <c r="A17" s="2829" t="s">
        <v>2669</v>
      </c>
      <c r="B17" s="2830" t="str">
        <f>'预评函-1'!A23</f>
        <v>本次评估设定估价对象剩余土地使用年限为。</v>
      </c>
    </row>
    <row r="18" spans="1:48" s="2828" customFormat="1">
      <c r="A18" s="2829" t="s">
        <v>2670</v>
      </c>
      <c r="B18" s="2830" t="str">
        <f>'预评函-1'!A25</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19" spans="1:48" s="2828" customFormat="1">
      <c r="A19" s="2829" t="s">
        <v>2671</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2672</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2673</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2674</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2675</v>
      </c>
      <c r="B23" s="2830" t="str">
        <f>'预评函-2'!K2</f>
        <v>估价期日：2019年8月14日</v>
      </c>
    </row>
    <row r="24" spans="1:48">
      <c r="A24" s="2829" t="s">
        <v>2676</v>
      </c>
      <c r="B24" s="2830" t="str">
        <f>'预评函-2'!R2</f>
        <v>估价期日的国有建设用地使用权性质：出让</v>
      </c>
    </row>
    <row r="25" spans="1:48">
      <c r="A25" s="2829" t="s">
        <v>2732</v>
      </c>
      <c r="B25" s="2830" t="str">
        <f>'预评函-2'!A3</f>
        <v>估价期日土地使用者</v>
      </c>
    </row>
    <row r="26" spans="1:48">
      <c r="A26" s="2829" t="s">
        <v>2708</v>
      </c>
      <c r="B26" s="2830" t="str">
        <f>'预评函-2'!A5</f>
        <v>中信开发</v>
      </c>
    </row>
    <row r="27" spans="1:48">
      <c r="A27" s="2829" t="s">
        <v>2733</v>
      </c>
      <c r="B27" s="2830" t="str">
        <f>'预评函-2'!B3</f>
        <v>宗地编号/不动产单元号</v>
      </c>
    </row>
    <row r="28" spans="1:48">
      <c r="A28" s="2829" t="s">
        <v>2709</v>
      </c>
      <c r="B28" s="2830" t="str">
        <f>'预评函-2'!B5</f>
        <v>11111111111</v>
      </c>
    </row>
    <row r="29" spans="1:48">
      <c r="A29" s="2829" t="s">
        <v>2735</v>
      </c>
      <c r="B29" s="2830">
        <f>'预评函-2'!C5</f>
        <v>22</v>
      </c>
    </row>
    <row r="30" spans="1:48">
      <c r="A30" s="2829" t="s">
        <v>2736</v>
      </c>
      <c r="B30" s="2830" t="str">
        <f>'预评函-2'!D3</f>
        <v>土地使用证编号/不动产权证书编号</v>
      </c>
    </row>
    <row r="31" spans="1:48">
      <c r="A31" s="2829" t="s">
        <v>2710</v>
      </c>
      <c r="B31" s="2830" t="str">
        <f>'预评函-2'!D5</f>
        <v>京国土字第111号</v>
      </c>
    </row>
    <row r="32" spans="1:48">
      <c r="A32" s="2829" t="s">
        <v>2711</v>
      </c>
      <c r="B32" s="2830">
        <f>'预评函-2'!E5</f>
        <v>0</v>
      </c>
      <c r="AV32" s="2834"/>
    </row>
    <row r="33" spans="1:2">
      <c r="A33" s="2829" t="s">
        <v>2712</v>
      </c>
      <c r="B33" s="2830">
        <f>'预评函-2'!F5</f>
        <v>258</v>
      </c>
    </row>
    <row r="34" spans="1:2">
      <c r="A34" s="2829" t="s">
        <v>2713</v>
      </c>
      <c r="B34" s="2830">
        <f>'预评函-2'!G5</f>
        <v>0</v>
      </c>
    </row>
    <row r="35" spans="1:2">
      <c r="A35" s="2829" t="s">
        <v>2714</v>
      </c>
      <c r="B35" s="2830">
        <f>'预评函-2'!H5</f>
        <v>1.5</v>
      </c>
    </row>
    <row r="36" spans="1:2">
      <c r="A36" s="2829" t="s">
        <v>2715</v>
      </c>
      <c r="B36" s="2830">
        <f>'预评函-2'!I5</f>
        <v>1.5</v>
      </c>
    </row>
    <row r="37" spans="1:2">
      <c r="A37" s="2829" t="s">
        <v>2716</v>
      </c>
      <c r="B37" s="2830">
        <f>'预评函-2'!J5</f>
        <v>1.5</v>
      </c>
    </row>
    <row r="38" spans="1:2">
      <c r="A38" s="2829" t="s">
        <v>2717</v>
      </c>
      <c r="B38" s="2830" t="str">
        <f>'预评函-2'!K5</f>
        <v>红线外七通、宗地红线内</v>
      </c>
    </row>
    <row r="39" spans="1:2">
      <c r="A39" s="2829" t="s">
        <v>2718</v>
      </c>
      <c r="B39" s="2830" t="str">
        <f>'预评函-2'!L5</f>
        <v>红线外七通、宗地红线内场地</v>
      </c>
    </row>
    <row r="40" spans="1:2">
      <c r="A40" s="2829" t="s">
        <v>2737</v>
      </c>
      <c r="B40" s="2830" t="str">
        <f>'预评函-2'!M3</f>
        <v>（剩余）土地使用年限/年</v>
      </c>
    </row>
    <row r="41" spans="1:2">
      <c r="A41" s="2829" t="s">
        <v>2719</v>
      </c>
      <c r="B41" s="2830">
        <f>'预评函-2'!M5</f>
        <v>0</v>
      </c>
    </row>
    <row r="42" spans="1:2">
      <c r="A42" s="2829" t="s">
        <v>2738</v>
      </c>
      <c r="B42" s="2830" t="str">
        <f>'预评函-2'!N3</f>
        <v>（分摊）出让国有建设用地使用权面积/㎡</v>
      </c>
    </row>
    <row r="43" spans="1:2">
      <c r="A43" s="2829" t="s">
        <v>2720</v>
      </c>
      <c r="B43" s="2830">
        <f>'预评函-2'!N5</f>
        <v>54446</v>
      </c>
    </row>
    <row r="44" spans="1:2">
      <c r="A44" s="2829" t="s">
        <v>2739</v>
      </c>
      <c r="B44" s="2830" t="str">
        <f>'预评函-2'!O3</f>
        <v>规划建筑面积/㎡</v>
      </c>
    </row>
    <row r="45" spans="1:2">
      <c r="A45" s="2829" t="s">
        <v>2721</v>
      </c>
      <c r="B45" s="2830">
        <f>'预评函-2'!O5</f>
        <v>163338</v>
      </c>
    </row>
    <row r="46" spans="1:2">
      <c r="A46" s="2829" t="s">
        <v>2722</v>
      </c>
      <c r="B46" s="2830">
        <f ca="1">'预评函-2'!P5</f>
        <v>4635</v>
      </c>
    </row>
    <row r="47" spans="1:2">
      <c r="A47" s="2829" t="s">
        <v>2723</v>
      </c>
      <c r="B47" s="2830">
        <f ca="1">'预评函-2'!Q5</f>
        <v>1545</v>
      </c>
    </row>
    <row r="48" spans="1:2">
      <c r="A48" s="2829" t="s">
        <v>2724</v>
      </c>
      <c r="B48" s="2830">
        <f ca="1">'预评函-2'!R5</f>
        <v>25234</v>
      </c>
    </row>
    <row r="49" spans="1:2">
      <c r="A49" s="2829" t="s">
        <v>2740</v>
      </c>
      <c r="B49" s="2830" t="str">
        <f>'预评函-2'!A6</f>
        <v>抵押价格</v>
      </c>
    </row>
    <row r="50" spans="1:2">
      <c r="A50" s="2829" t="s">
        <v>2725</v>
      </c>
      <c r="B50" s="2830">
        <f ca="1">'预评函-2'!R6</f>
        <v>25234</v>
      </c>
    </row>
    <row r="51" spans="1:2">
      <c r="A51" s="2829" t="s">
        <v>2741</v>
      </c>
      <c r="B51" s="2830" t="str">
        <f>'预评函-2'!A7</f>
        <v>——</v>
      </c>
    </row>
    <row r="52" spans="1:2">
      <c r="A52" s="2829" t="s">
        <v>2726</v>
      </c>
      <c r="B52" s="2830" t="str">
        <f>'预评函-2'!R7</f>
        <v>——</v>
      </c>
    </row>
    <row r="53" spans="1:2">
      <c r="A53" s="2829" t="s">
        <v>2742</v>
      </c>
      <c r="B53" s="2830">
        <f>'预评函-2'!A8</f>
        <v>0</v>
      </c>
    </row>
    <row r="54" spans="1:2" s="2844" customFormat="1" ht="15" thickBot="1">
      <c r="A54" s="2851" t="s">
        <v>2727</v>
      </c>
      <c r="B54" s="2852" t="str">
        <f>'预评函-2'!R8</f>
        <v>——</v>
      </c>
    </row>
    <row r="55" spans="1:2" ht="15" thickTop="1">
      <c r="A55" s="2840" t="s">
        <v>2677</v>
      </c>
      <c r="B55" s="2841" t="str">
        <f>'预评函-3'!A2</f>
        <v>1.权利限制：根据估价对象《不动产权证书》原件、《国有土地使用权》复印件，截至估价期日，估价对象抵押权未见登记。未设定租赁等其他他项权利。</v>
      </c>
    </row>
    <row r="56" spans="1:2">
      <c r="A56" s="2829" t="s">
        <v>2678</v>
      </c>
      <c r="B56" s="2830" t="str">
        <f>'预评函-3'!A3</f>
        <v>2.基础设施条件：估价对象实际开发程度为红线外七通、宗地红线内；本次评估设定开发程度为红线外七通、宗地红线内场地。</v>
      </c>
    </row>
    <row r="57" spans="1:2">
      <c r="A57" s="2829" t="s">
        <v>2679</v>
      </c>
      <c r="B57" s="2830" t="str">
        <f>'预评函-3'!A4</f>
        <v>3.估价规划限制条件：详见《建设工程规划许可证》[]、《出让合同》[]。</v>
      </c>
    </row>
    <row r="58" spans="1:2" s="2844" customFormat="1" ht="15" thickBot="1">
      <c r="A58" s="2851" t="s">
        <v>2728</v>
      </c>
      <c r="B58" s="2852" t="str">
        <f>'预评函-3'!A5</f>
        <v>4.影响价格的其他限定条件：无。</v>
      </c>
    </row>
    <row r="59" spans="1:2" ht="15" thickTop="1">
      <c r="A59" s="2840" t="s">
        <v>2680</v>
      </c>
      <c r="B59" s="2841" t="str">
        <f>'预评函-3'!A8</f>
        <v>2.本《评估意见函》仅供金融机构进行内部审核使用，不做其他目的之用。</v>
      </c>
    </row>
    <row r="60" spans="1:2">
      <c r="A60" s="2829" t="s">
        <v>2681</v>
      </c>
      <c r="B60" s="2830" t="str">
        <f>'预评函-3'!A9</f>
        <v>3.抵押双方在办理抵押登记手续时，应使用本公司出具的正式《土地估价报告》，特提请报告使用者注意。</v>
      </c>
    </row>
    <row r="61" spans="1:2">
      <c r="A61" s="2829" t="s">
        <v>2683</v>
      </c>
      <c r="B61" s="2830" t="str">
        <f>'预评函-3'!A10</f>
        <v>4.估价师所知悉的法定优先受偿款情况为：</v>
      </c>
    </row>
    <row r="62" spans="1:2">
      <c r="A62" s="2829" t="s">
        <v>2682</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2684</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2685</v>
      </c>
      <c r="B64" s="2835" t="str">
        <f>'预评函-3'!A13</f>
        <v>（3）。</v>
      </c>
    </row>
    <row r="65" spans="1:2">
      <c r="A65" s="2829" t="s">
        <v>2686</v>
      </c>
      <c r="B65" s="2836" t="str">
        <f>'预评函-3'!A14</f>
        <v>综上，本次评估不存在估价师知悉的法定优先受偿款</v>
      </c>
    </row>
    <row r="66" spans="1:2">
      <c r="A66" s="2829" t="s">
        <v>2687</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2688</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2691</v>
      </c>
      <c r="B68" s="2855">
        <f>'预评函-3'!D30</f>
        <v>42558</v>
      </c>
    </row>
    <row r="69" spans="1:2" ht="15" thickTop="1">
      <c r="A69" s="2840" t="s">
        <v>2689</v>
      </c>
      <c r="B69" s="2841" t="str">
        <f>'预评函-3'!A20</f>
        <v>王鹏</v>
      </c>
    </row>
    <row r="70" spans="1:2">
      <c r="A70" s="2829" t="s">
        <v>2689</v>
      </c>
      <c r="B70" s="2836">
        <f ca="1">'预评函-3'!B20</f>
        <v>2002110030</v>
      </c>
    </row>
    <row r="71" spans="1:2">
      <c r="A71" s="2829" t="s">
        <v>2690</v>
      </c>
      <c r="B71" s="2830" t="str">
        <f>'预评函-3'!A21</f>
        <v>郑燚</v>
      </c>
    </row>
    <row r="72" spans="1:2" s="2844" customFormat="1" ht="15" thickBot="1">
      <c r="A72" s="2851" t="s">
        <v>2690</v>
      </c>
      <c r="B72" s="2857">
        <f ca="1">'预评函-3'!B21</f>
        <v>2014110011</v>
      </c>
    </row>
    <row r="73" spans="1:2" ht="15" thickTop="1">
      <c r="A73" s="2840" t="s">
        <v>2749</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2750</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2751</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2786</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1" sqref="L21"/>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305" t="str">
        <f>IF(B10="北京市","北京市",C10)&amp;F10&amp;B16&amp;"国有建设用地使用权"&amp;B9&amp;"预评估"</f>
        <v>出让国有建设用地使用权抵押价格预评估</v>
      </c>
      <c r="C1" s="3306"/>
      <c r="D1" s="3306"/>
      <c r="E1" s="3306"/>
      <c r="F1" s="3306"/>
      <c r="G1" s="3306"/>
      <c r="H1" s="3306"/>
      <c r="I1" s="3307"/>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43691</v>
      </c>
      <c r="C3" s="1643" t="s">
        <v>1994</v>
      </c>
      <c r="D3" s="1642">
        <f>B3</f>
        <v>43691</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2995</v>
      </c>
      <c r="C4" s="1826">
        <f ca="1">SUMIF(土地估价师,B4,估价师及机构信息!E3:E24)</f>
        <v>2002110030</v>
      </c>
      <c r="D4" s="1823" t="s">
        <v>2996</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2705</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2706</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2994</v>
      </c>
      <c r="C8" s="1651"/>
      <c r="D8" s="3311" t="s">
        <v>1943</v>
      </c>
      <c r="E8" s="1824" t="s">
        <v>2997</v>
      </c>
      <c r="F8" s="1652"/>
      <c r="G8" s="1640"/>
      <c r="H8" s="1640"/>
      <c r="I8" s="1687"/>
      <c r="J8" s="1674"/>
      <c r="K8" s="1754"/>
      <c r="L8" s="1703"/>
      <c r="M8" s="1703"/>
      <c r="N8" s="1674"/>
      <c r="O8" s="1675"/>
      <c r="P8" s="1674"/>
      <c r="Q8" s="1674"/>
      <c r="R8" s="1674"/>
      <c r="S8" s="1674"/>
      <c r="T8" s="1674"/>
      <c r="U8" s="1674"/>
    </row>
    <row r="9" spans="1:21" ht="15" thickBot="1">
      <c r="A9" s="1653" t="s">
        <v>1942</v>
      </c>
      <c r="B9" s="1654" t="s">
        <v>2997</v>
      </c>
      <c r="C9" s="1655"/>
      <c r="D9" s="3312"/>
      <c r="E9" s="1654"/>
      <c r="F9" s="1727"/>
      <c r="G9" s="1722"/>
      <c r="H9" s="1722"/>
      <c r="I9" s="1723"/>
      <c r="J9" s="1674"/>
      <c r="K9" s="1754"/>
      <c r="L9" s="1703"/>
      <c r="M9" s="1703"/>
      <c r="N9" s="1674"/>
      <c r="O9" s="1675"/>
      <c r="P9" s="1674"/>
      <c r="Q9" s="1674"/>
      <c r="R9" s="1674"/>
      <c r="S9" s="1674"/>
      <c r="T9" s="1674"/>
      <c r="U9" s="1674"/>
    </row>
    <row r="10" spans="1:21" ht="15" thickTop="1">
      <c r="A10" s="1724" t="s">
        <v>1998</v>
      </c>
      <c r="B10" s="1699" t="s">
        <v>2998</v>
      </c>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1999</v>
      </c>
      <c r="B11" s="1678" t="s">
        <v>2999</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2057</v>
      </c>
      <c r="B12" s="3308"/>
      <c r="C12" s="3309"/>
      <c r="D12" s="3310"/>
      <c r="E12" s="1679" t="s">
        <v>2060</v>
      </c>
      <c r="F12" s="3326" t="s">
        <v>2888</v>
      </c>
      <c r="G12" s="3327"/>
      <c r="H12" s="3327"/>
      <c r="I12" s="3328"/>
      <c r="J12" s="1674"/>
      <c r="K12" s="1754"/>
      <c r="L12" s="1703"/>
      <c r="M12" s="1703"/>
      <c r="N12" s="1674"/>
      <c r="O12" s="1675"/>
      <c r="P12" s="1674"/>
      <c r="Q12" s="1674"/>
      <c r="R12" s="1674"/>
      <c r="S12" s="1674"/>
      <c r="T12" s="1674"/>
      <c r="U12" s="1674"/>
    </row>
    <row r="13" spans="1:21">
      <c r="A13" s="1667" t="s">
        <v>2058</v>
      </c>
      <c r="B13" s="3308"/>
      <c r="C13" s="3309"/>
      <c r="D13" s="3310"/>
      <c r="E13" s="1679" t="s">
        <v>2060</v>
      </c>
      <c r="F13" s="3326" t="s">
        <v>2889</v>
      </c>
      <c r="G13" s="3327"/>
      <c r="H13" s="3327"/>
      <c r="I13" s="3328"/>
      <c r="J13" s="1674"/>
      <c r="K13" s="1754"/>
      <c r="L13" s="1703"/>
      <c r="M13" s="1703"/>
      <c r="N13" s="1674"/>
      <c r="O13" s="1675"/>
      <c r="P13" s="1674"/>
      <c r="Q13" s="1674"/>
      <c r="R13" s="1674"/>
      <c r="S13" s="1674"/>
      <c r="T13" s="1674"/>
      <c r="U13" s="1674"/>
    </row>
    <row r="14" spans="1:21">
      <c r="A14" s="1641" t="s">
        <v>2061</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28.5">
      <c r="A16" s="1660" t="s">
        <v>1946</v>
      </c>
      <c r="B16" s="1661" t="s">
        <v>2987</v>
      </c>
      <c r="C16" s="1679" t="s">
        <v>1947</v>
      </c>
      <c r="D16" s="2606" t="s">
        <v>1948</v>
      </c>
      <c r="E16" s="1702" t="s">
        <v>3000</v>
      </c>
      <c r="F16" s="1702"/>
      <c r="G16" s="1702"/>
      <c r="H16" s="1702"/>
      <c r="I16" s="1666" t="s">
        <v>1953</v>
      </c>
      <c r="J16" s="1674"/>
      <c r="K16" s="2416" t="str">
        <f>IF(D17="","",D16&amp;TEXT(D17,"yyyy年m月d日;;"))</f>
        <v/>
      </c>
      <c r="L16" s="1679" t="str">
        <f>IF(OR(K16="",M16=""),"","、")</f>
        <v/>
      </c>
      <c r="M16" s="2416" t="str">
        <f>IF(E17="","",E16&amp;TEXT(E17,"yyyy年m月d日;;"))</f>
        <v>商业2058年1月28日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c r="E17" s="1680">
        <v>57738</v>
      </c>
      <c r="F17" s="1680"/>
      <c r="G17" s="1680"/>
      <c r="H17" s="1680"/>
      <c r="I17" s="1680"/>
      <c r="J17" s="1674"/>
      <c r="K17" s="2415" t="str">
        <f>CONCATENATE(K16,L16,M16,N16,O16,P16,Q16,R16,S16,T16,,U16)</f>
        <v>商业2058年1月28日</v>
      </c>
      <c r="L17" s="1703"/>
      <c r="M17" s="1703"/>
      <c r="N17" s="1674"/>
      <c r="O17" s="1675"/>
      <c r="P17" s="1674"/>
      <c r="Q17" s="1674"/>
      <c r="R17" s="1674"/>
      <c r="S17" s="1674"/>
      <c r="T17" s="1674"/>
      <c r="U17" s="1674"/>
    </row>
    <row r="18" spans="1:21">
      <c r="A18" s="1743"/>
      <c r="B18" s="1662"/>
      <c r="C18" s="1663" t="s">
        <v>1955</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t="str">
        <f>IF(B16="出让",IF(D17="","",ROUNDDOWN(MIN((D17-$D$3)/365,D18),2)),D18)</f>
        <v/>
      </c>
      <c r="E19" s="1665">
        <f>IF(B16="出让",IF(E17="","",ROUNDDOWN(MIN((E17-$D$3)/365,E18),2)),E18)</f>
        <v>38.479999999999997</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2059</v>
      </c>
      <c r="D20" s="3323"/>
      <c r="E20" s="3324"/>
      <c r="F20" s="3324"/>
      <c r="G20" s="3324"/>
      <c r="H20" s="3324"/>
      <c r="I20" s="3325"/>
      <c r="J20" s="1674"/>
      <c r="K20" s="1754"/>
      <c r="L20" s="1703"/>
      <c r="M20" s="1703"/>
      <c r="N20" s="1674"/>
      <c r="O20" s="1675"/>
      <c r="P20" s="1674"/>
      <c r="Q20" s="1674"/>
      <c r="R20" s="1674"/>
      <c r="S20" s="1674"/>
      <c r="T20" s="1674"/>
      <c r="U20" s="1674"/>
    </row>
    <row r="21" spans="1:21">
      <c r="A21" s="1743" t="s">
        <v>1957</v>
      </c>
      <c r="B21" s="1744" t="s">
        <v>1958</v>
      </c>
      <c r="C21" s="1739">
        <f>'数据-汇总表'!E3</f>
        <v>163338</v>
      </c>
      <c r="D21" s="1740" t="s">
        <v>1959</v>
      </c>
      <c r="E21" s="3313" t="s">
        <v>1997</v>
      </c>
      <c r="F21" s="3314"/>
      <c r="G21" s="3314"/>
      <c r="H21" s="3314"/>
      <c r="I21" s="3315"/>
      <c r="J21" s="1674"/>
      <c r="K21" s="1754"/>
      <c r="L21" s="1703"/>
      <c r="M21" s="1703"/>
      <c r="N21" s="1674"/>
      <c r="O21" s="1675"/>
      <c r="P21" s="1674"/>
      <c r="Q21" s="1674"/>
      <c r="R21" s="1674"/>
      <c r="S21" s="1674"/>
      <c r="T21" s="1674"/>
      <c r="U21" s="1674"/>
    </row>
    <row r="22" spans="1:21">
      <c r="A22" s="3093" t="s">
        <v>951</v>
      </c>
      <c r="B22" s="1641" t="s">
        <v>1960</v>
      </c>
      <c r="C22" s="1666">
        <f>'数据-汇总表'!D3</f>
        <v>54446</v>
      </c>
      <c r="D22" s="1667" t="s">
        <v>1959</v>
      </c>
      <c r="E22" s="3313" t="s">
        <v>2890</v>
      </c>
      <c r="F22" s="3314"/>
      <c r="G22" s="3314"/>
      <c r="H22" s="3314"/>
      <c r="I22" s="3315"/>
      <c r="J22" s="1674"/>
      <c r="K22" s="1754"/>
      <c r="L22" s="1703"/>
      <c r="M22" s="1703"/>
      <c r="N22" s="1674"/>
      <c r="O22" s="1675"/>
      <c r="P22" s="1674"/>
      <c r="Q22" s="1674"/>
      <c r="R22" s="1674"/>
      <c r="S22" s="1674"/>
      <c r="T22" s="1674"/>
      <c r="U22" s="1674"/>
    </row>
    <row r="23" spans="1:21" ht="43.5" thickBot="1">
      <c r="A23" s="1745" t="s">
        <v>1961</v>
      </c>
      <c r="B23" s="1681" t="s">
        <v>1962</v>
      </c>
      <c r="C23" s="1682"/>
      <c r="D23" s="1683" t="s">
        <v>1963</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316" t="s">
        <v>1965</v>
      </c>
      <c r="C24" s="3317"/>
      <c r="D24" s="3318" t="s">
        <v>1966</v>
      </c>
      <c r="E24" s="3319"/>
      <c r="F24" s="1688" t="s">
        <v>1967</v>
      </c>
      <c r="G24" s="1674"/>
      <c r="H24" s="1674"/>
      <c r="I24" s="1687"/>
      <c r="J24" s="1674"/>
      <c r="K24" s="3304" t="s">
        <v>1968</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2324</v>
      </c>
      <c r="C25" s="1689" t="s">
        <v>1969</v>
      </c>
      <c r="D25" s="1690"/>
      <c r="E25" s="1691" t="s">
        <v>951</v>
      </c>
      <c r="F25" s="1692"/>
      <c r="G25" s="1674"/>
      <c r="H25" s="1674"/>
      <c r="I25" s="1687"/>
      <c r="J25" s="1674"/>
      <c r="K25" s="3304"/>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1970</v>
      </c>
      <c r="C26" s="1689" t="s">
        <v>2325</v>
      </c>
      <c r="D26" s="1640"/>
      <c r="E26" s="1640"/>
      <c r="F26" s="1668"/>
      <c r="G26" s="1674"/>
      <c r="H26" s="1674"/>
      <c r="I26" s="1687"/>
      <c r="J26" s="1674"/>
      <c r="K26" s="3304"/>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90" t="s">
        <v>2000</v>
      </c>
      <c r="B31" s="1744" t="s">
        <v>2001</v>
      </c>
      <c r="C31" s="3329"/>
      <c r="D31" s="3330"/>
      <c r="E31" s="1674"/>
      <c r="F31" s="1674"/>
      <c r="G31" s="1674"/>
      <c r="H31" s="1674"/>
      <c r="I31" s="1687"/>
      <c r="J31" s="1674"/>
      <c r="K31" s="2418"/>
      <c r="L31" s="1674"/>
      <c r="M31" s="1674"/>
      <c r="N31" s="1674"/>
      <c r="O31" s="1674"/>
      <c r="P31" s="1674"/>
      <c r="Q31" s="1674"/>
      <c r="R31" s="1674"/>
      <c r="S31" s="1674"/>
      <c r="T31" s="1674"/>
      <c r="U31" s="1674"/>
    </row>
    <row r="32" spans="1:21">
      <c r="A32" s="3290"/>
      <c r="B32" s="1641" t="s">
        <v>2002</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90"/>
      <c r="B33" s="1641" t="s">
        <v>2003</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91"/>
      <c r="B34" s="1641" t="s">
        <v>2004</v>
      </c>
      <c r="C34" s="3292"/>
      <c r="D34" s="3293"/>
      <c r="E34" s="1674"/>
      <c r="F34" s="1674"/>
      <c r="G34" s="1674"/>
      <c r="H34" s="1674"/>
      <c r="I34" s="1687"/>
      <c r="J34" s="1674"/>
      <c r="K34" s="2418"/>
      <c r="L34" s="1674"/>
      <c r="M34" s="1674"/>
      <c r="N34" s="1674"/>
      <c r="O34" s="1674"/>
      <c r="P34" s="1674"/>
      <c r="Q34" s="1674"/>
      <c r="R34" s="1674"/>
      <c r="S34" s="1674"/>
      <c r="T34" s="1674"/>
      <c r="U34" s="1674"/>
    </row>
    <row r="35" spans="1:21">
      <c r="A35" s="3294" t="s">
        <v>846</v>
      </c>
      <c r="B35" s="1702"/>
      <c r="C35" s="1756" t="str">
        <f>IF(B35="场地平整","——","具体情况：")</f>
        <v>具体情况：</v>
      </c>
      <c r="D35" s="3296"/>
      <c r="E35" s="3297"/>
      <c r="F35" s="3297"/>
      <c r="G35" s="3297"/>
      <c r="H35" s="3297"/>
      <c r="I35" s="3298"/>
      <c r="J35" s="1674"/>
      <c r="K35" s="1755"/>
      <c r="L35" s="1703"/>
      <c r="M35" s="1703"/>
      <c r="N35" s="1674"/>
      <c r="O35" s="1675"/>
      <c r="P35" s="1674"/>
      <c r="Q35" s="1674"/>
      <c r="R35" s="1674"/>
      <c r="S35" s="1674"/>
      <c r="T35" s="1674"/>
      <c r="U35" s="1674"/>
    </row>
    <row r="36" spans="1:21">
      <c r="A36" s="3290"/>
      <c r="B36" s="3299" t="s">
        <v>2053</v>
      </c>
      <c r="C36" s="3300"/>
      <c r="D36" s="1772"/>
      <c r="E36" s="3301"/>
      <c r="F36" s="3301"/>
      <c r="G36" s="1667" t="str">
        <f>IF(B35="场地未平整","估价结果处理","")</f>
        <v/>
      </c>
      <c r="H36" s="3302"/>
      <c r="I36" s="3302"/>
      <c r="J36" s="1674"/>
      <c r="K36" s="1755"/>
      <c r="L36" s="1703"/>
      <c r="M36" s="1703"/>
      <c r="N36" s="1674"/>
      <c r="O36" s="1675"/>
      <c r="P36" s="1674"/>
      <c r="Q36" s="1674"/>
      <c r="R36" s="1674"/>
      <c r="S36" s="1674"/>
      <c r="T36" s="1674"/>
      <c r="U36" s="1674"/>
    </row>
    <row r="37" spans="1:21" ht="28.5">
      <c r="A37" s="3290"/>
      <c r="B37" s="3320"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90"/>
      <c r="B38" s="3321"/>
      <c r="C38" s="1649" t="s">
        <v>849</v>
      </c>
      <c r="D38" s="1771">
        <f>ROUNDDOWN(MIN(('数据-取费表'!$B$2-D37)/365,D34),1)</f>
        <v>119.7</v>
      </c>
      <c r="E38" s="1707" t="s">
        <v>850</v>
      </c>
      <c r="F38" s="1674"/>
      <c r="G38" s="1674"/>
      <c r="H38" s="1674"/>
      <c r="I38" s="1687"/>
      <c r="J38" s="1674"/>
      <c r="K38" s="1755"/>
      <c r="L38" s="1674"/>
      <c r="M38" s="1674"/>
      <c r="N38" s="1674"/>
      <c r="O38" s="1674"/>
      <c r="P38" s="1674"/>
      <c r="Q38" s="1674"/>
      <c r="R38" s="1674"/>
      <c r="S38" s="1674"/>
      <c r="T38" s="1674"/>
      <c r="U38" s="1674"/>
    </row>
    <row r="39" spans="1:21">
      <c r="A39" s="3291"/>
      <c r="B39" s="3322"/>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c r="C40" s="1670"/>
      <c r="D40" s="1670"/>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303" t="s">
        <v>1984</v>
      </c>
      <c r="T40" s="1711" t="str">
        <f>NUMBERSTRING(7-K40,1)&amp;"通"</f>
        <v>七通</v>
      </c>
      <c r="U40" s="1674"/>
    </row>
    <row r="41" spans="1:21">
      <c r="A41" s="1643"/>
      <c r="B41" s="3295" t="s">
        <v>1720</v>
      </c>
      <c r="C41" s="3295"/>
      <c r="D41" s="3295"/>
      <c r="E41" s="3295"/>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303"/>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2005</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2006</v>
      </c>
      <c r="B48" s="1666" t="s">
        <v>2007</v>
      </c>
      <c r="C48" s="1666" t="s">
        <v>2008</v>
      </c>
      <c r="D48" s="1666" t="s">
        <v>2009</v>
      </c>
      <c r="E48" s="1666" t="s">
        <v>2010</v>
      </c>
      <c r="F48" s="1666" t="s">
        <v>2011</v>
      </c>
      <c r="G48" s="1666" t="s">
        <v>2012</v>
      </c>
      <c r="H48" s="1666" t="s">
        <v>2013</v>
      </c>
      <c r="I48" s="1666" t="s">
        <v>2014</v>
      </c>
      <c r="J48" s="1752" t="s">
        <v>2015</v>
      </c>
      <c r="K48" s="1746" t="s">
        <v>2016</v>
      </c>
      <c r="L48" s="1746" t="s">
        <v>2017</v>
      </c>
      <c r="M48" s="1746" t="s">
        <v>2018</v>
      </c>
      <c r="N48" s="1666" t="s">
        <v>2019</v>
      </c>
      <c r="O48" s="1666" t="s">
        <v>2020</v>
      </c>
      <c r="P48" s="1666" t="s">
        <v>2021</v>
      </c>
      <c r="Q48" s="1679" t="s">
        <v>2022</v>
      </c>
      <c r="R48" s="1679" t="s">
        <v>2023</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2332</v>
      </c>
      <c r="BA2" s="2321"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'[2]Sheet1 (2)'!F2</f>
        <v>54446</v>
      </c>
      <c r="B3" s="22">
        <f>IF(C3="否",G5-AT5,G5)</f>
        <v>163338</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163338</v>
      </c>
      <c r="H5" s="27">
        <f t="shared" ref="H5:AT5" si="0">SUM(H13:H641)</f>
        <v>163338</v>
      </c>
      <c r="I5" s="27">
        <f t="shared" si="0"/>
        <v>163338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163338</v>
      </c>
      <c r="BA5" s="29">
        <f t="shared" si="1"/>
        <v>163338</v>
      </c>
      <c r="BB5" s="29">
        <f t="shared" si="1"/>
        <v>163338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54446</v>
      </c>
      <c r="F6" s="27" t="s">
        <v>1</v>
      </c>
      <c r="G6" s="27" t="s">
        <v>2</v>
      </c>
      <c r="H6" s="33">
        <f>SUMIF(I$12:AB$12,"总值",I6:AB6)</f>
        <v>54446</v>
      </c>
      <c r="I6" s="27">
        <f t="shared" ref="I6:AB6" si="2">ROUND($A$3*I5/$B$3,2)</f>
        <v>54446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54446</v>
      </c>
      <c r="AZ6" s="27" t="s">
        <v>3</v>
      </c>
      <c r="BA6" s="27">
        <f>ROUND($AY$6*BA5/$AZ$5,2)</f>
        <v>54446</v>
      </c>
      <c r="BB6" s="27">
        <f>ROUND($AY$6*BB5/$AZ$5,2)</f>
        <v>54446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3001</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3000</v>
      </c>
      <c r="J10" s="51"/>
      <c r="K10" s="2969"/>
      <c r="L10" s="51"/>
      <c r="M10" s="2969"/>
      <c r="N10" s="51"/>
      <c r="O10" s="66"/>
      <c r="P10" s="51"/>
      <c r="Q10" s="66"/>
      <c r="R10" s="51"/>
      <c r="S10" s="66"/>
      <c r="T10" s="51"/>
      <c r="U10" s="66"/>
      <c r="V10" s="51"/>
      <c r="W10" s="66"/>
      <c r="X10" s="51"/>
      <c r="Y10" s="66"/>
      <c r="Z10" s="51"/>
      <c r="AA10" s="66"/>
      <c r="AB10" s="51"/>
      <c r="AC10" s="55"/>
      <c r="AD10" s="2295" t="s">
        <v>2316</v>
      </c>
      <c r="AE10" s="2317"/>
      <c r="AF10" s="2295" t="s">
        <v>2316</v>
      </c>
      <c r="AG10" s="2317"/>
      <c r="AH10" s="2295" t="s">
        <v>2317</v>
      </c>
      <c r="AI10" s="2317"/>
      <c r="AJ10" s="26" t="s">
        <v>2330</v>
      </c>
      <c r="AK10" s="2314"/>
      <c r="AL10" s="2295" t="s">
        <v>2318</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5" t="s">
        <v>2329</v>
      </c>
      <c r="AE11" s="999"/>
      <c r="AF11" s="2315" t="s">
        <v>2329</v>
      </c>
      <c r="AG11" s="999"/>
      <c r="AH11" s="2315" t="s">
        <v>2328</v>
      </c>
      <c r="AI11" s="2316"/>
      <c r="AJ11" s="2315" t="s">
        <v>2328</v>
      </c>
      <c r="AK11" s="2314"/>
      <c r="AL11" s="997"/>
      <c r="AM11" s="999"/>
      <c r="AN11" s="997"/>
      <c r="AO11" s="999"/>
      <c r="AP11" s="1181"/>
      <c r="AQ11" s="1183"/>
      <c r="AR11" s="1181"/>
      <c r="AS11" s="1183"/>
      <c r="AT11" s="1000"/>
      <c r="AU11" s="45"/>
      <c r="AV11" s="55"/>
      <c r="AW11" s="1000"/>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v>133</v>
      </c>
      <c r="D13" s="2963" t="s">
        <v>1677</v>
      </c>
      <c r="E13" s="27">
        <f t="shared" ref="E13:E20" si="6">IF($C$3="是",ROUND($A$3*G13/$B$3,2),ROUND($A$3*(G13-AT13)/$B$3,2))</f>
        <v>54446</v>
      </c>
      <c r="F13" s="81"/>
      <c r="G13" s="82">
        <f t="shared" ref="G13:G20" si="7">H13+AC13+AT13</f>
        <v>163338</v>
      </c>
      <c r="H13" s="33">
        <f t="shared" ref="H13:H20" si="8">SUMIF(I$12:AB$12,"总值",I13:AB13)</f>
        <v>163338</v>
      </c>
      <c r="I13" s="83">
        <v>163338</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133</v>
      </c>
      <c r="AY13" s="993">
        <f t="shared" ref="AY13:AY20" si="11">ROUND($AY$6*AZ13/$AZ$5,2)</f>
        <v>54446</v>
      </c>
      <c r="AZ13" s="27">
        <f t="shared" ref="AZ13:AZ20" si="12">BA13+BL13</f>
        <v>163338</v>
      </c>
      <c r="BA13" s="27">
        <f t="shared" ref="BA13:BA20" si="13">SUM(BB13:BK13)</f>
        <v>163338</v>
      </c>
      <c r="BB13" s="27">
        <f t="shared" ref="BB13:BB20" si="14">IF($D13="是",I13-J13,0)</f>
        <v>163338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1" t="s">
        <v>0</v>
      </c>
      <c r="B1" s="3331" t="s">
        <v>4</v>
      </c>
      <c r="C1" s="3331" t="s">
        <v>5</v>
      </c>
      <c r="D1" s="3332" t="s">
        <v>40</v>
      </c>
      <c r="E1" s="3332" t="s">
        <v>41</v>
      </c>
      <c r="F1" s="3332"/>
      <c r="G1" s="3332"/>
      <c r="H1" s="3332"/>
      <c r="I1" s="3332"/>
      <c r="J1" s="3332"/>
      <c r="K1" s="3332"/>
      <c r="L1" s="3332"/>
      <c r="M1" s="3332"/>
    </row>
    <row r="2" spans="1:13" ht="27" customHeight="1">
      <c r="A2" s="3331"/>
      <c r="B2" s="3331"/>
      <c r="C2" s="3331"/>
      <c r="D2" s="3332"/>
      <c r="E2" s="3332" t="s">
        <v>24</v>
      </c>
      <c r="F2" s="3332" t="s">
        <v>25</v>
      </c>
      <c r="G2" s="3332"/>
      <c r="H2" s="3332"/>
      <c r="I2" s="3332"/>
      <c r="J2" s="3332" t="s">
        <v>26</v>
      </c>
      <c r="K2" s="3332"/>
      <c r="L2" s="3332"/>
      <c r="M2" s="3332"/>
    </row>
    <row r="3" spans="1:13" ht="28.5">
      <c r="A3" s="3331"/>
      <c r="B3" s="3331"/>
      <c r="C3" s="3331"/>
      <c r="D3" s="3332"/>
      <c r="E3" s="33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2" t="s">
        <v>42</v>
      </c>
      <c r="B9" s="3332"/>
      <c r="C9" s="33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9" sqref="F3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42" t="s">
        <v>203</v>
      </c>
      <c r="B2" s="3342"/>
      <c r="C2" s="3342"/>
      <c r="D2" s="1956" t="s">
        <v>204</v>
      </c>
      <c r="E2" s="106" t="s">
        <v>205</v>
      </c>
      <c r="F2" s="1965"/>
      <c r="G2" s="1191"/>
      <c r="H2" s="1192"/>
      <c r="I2" s="1193" t="s">
        <v>856</v>
      </c>
      <c r="J2" s="1965"/>
      <c r="K2" s="1965"/>
      <c r="L2" s="1965"/>
    </row>
    <row r="3" spans="1:16" ht="15.75" thickBot="1">
      <c r="A3" s="3343" t="s">
        <v>206</v>
      </c>
      <c r="B3" s="3343"/>
      <c r="C3" s="3343"/>
      <c r="D3" s="107">
        <f>'数据-基础表'!AY6</f>
        <v>54446</v>
      </c>
      <c r="E3" s="107">
        <f>'数据-基础表'!AZ5</f>
        <v>163338</v>
      </c>
      <c r="F3" s="1965"/>
      <c r="G3" s="278" t="s">
        <v>857</v>
      </c>
      <c r="H3" s="273" t="s">
        <v>858</v>
      </c>
      <c r="I3" s="1957">
        <f>ROUND('数据-基础表'!B3/'数据-基础表'!A3,2)</f>
        <v>3</v>
      </c>
      <c r="J3" s="1965"/>
      <c r="K3" s="1965"/>
      <c r="L3" s="1965"/>
    </row>
    <row r="4" spans="1:16" ht="15">
      <c r="A4" s="3344"/>
      <c r="B4" s="3345"/>
      <c r="C4" s="3346"/>
      <c r="D4" s="108" t="s">
        <v>204</v>
      </c>
      <c r="E4" s="109" t="s">
        <v>205</v>
      </c>
      <c r="F4" s="1965"/>
      <c r="G4" s="1194"/>
      <c r="H4" s="273" t="s">
        <v>859</v>
      </c>
      <c r="I4" s="1957">
        <f>ROUND(SUMIF('数据-基础表'!I9:AS9,"地上",'数据-基础表'!I5:AS5)/'数据-基础表'!A3,2)</f>
        <v>3</v>
      </c>
      <c r="J4" s="1965"/>
      <c r="K4" s="1965"/>
      <c r="L4" s="1965"/>
    </row>
    <row r="5" spans="1:16">
      <c r="A5" s="110" t="s">
        <v>207</v>
      </c>
      <c r="B5" s="3347" t="s">
        <v>230</v>
      </c>
      <c r="C5" s="3347"/>
      <c r="D5" s="111">
        <f>ROUND($D$3*E5/$E$3,2)</f>
        <v>0</v>
      </c>
      <c r="E5" s="112">
        <f>SUMIF('数据-基础表'!$11:$11,"住宅",'数据-基础表'!$5:$5)</f>
        <v>0</v>
      </c>
      <c r="F5" s="1965"/>
      <c r="G5" s="278" t="s">
        <v>860</v>
      </c>
      <c r="H5" s="273" t="s">
        <v>858</v>
      </c>
      <c r="I5" s="1957">
        <f>ROUND(E31/D31,2)</f>
        <v>3</v>
      </c>
      <c r="J5" s="1965"/>
      <c r="K5" s="1965"/>
      <c r="L5" s="1965"/>
    </row>
    <row r="6" spans="1:16" ht="15" thickBot="1">
      <c r="A6" s="113"/>
      <c r="B6" s="3347" t="s">
        <v>208</v>
      </c>
      <c r="C6" s="3347"/>
      <c r="D6" s="111">
        <f>ROUND($D$3*E6/$E$3,2)</f>
        <v>54446</v>
      </c>
      <c r="E6" s="112">
        <f>E3-E5</f>
        <v>163338</v>
      </c>
      <c r="F6" s="1965"/>
      <c r="G6" s="1194"/>
      <c r="H6" s="273" t="s">
        <v>859</v>
      </c>
      <c r="I6" s="1957">
        <f>ROUND(F31/D31,2)</f>
        <v>3</v>
      </c>
      <c r="J6" s="1965"/>
      <c r="K6" s="1965"/>
      <c r="L6" s="1965"/>
    </row>
    <row r="7" spans="1:16" ht="15">
      <c r="A7" s="3339"/>
      <c r="B7" s="3340"/>
      <c r="C7" s="3341"/>
      <c r="D7" s="108" t="s">
        <v>204</v>
      </c>
      <c r="E7" s="114" t="s">
        <v>231</v>
      </c>
      <c r="F7" s="1965"/>
      <c r="G7" s="1149" t="s">
        <v>1644</v>
      </c>
      <c r="H7" s="1150"/>
      <c r="I7" s="1827">
        <v>3</v>
      </c>
      <c r="J7" s="1965"/>
      <c r="K7" s="1965"/>
      <c r="L7" s="1965"/>
    </row>
    <row r="8" spans="1:16">
      <c r="A8" s="110" t="s">
        <v>209</v>
      </c>
      <c r="B8" s="115" t="s">
        <v>210</v>
      </c>
      <c r="C8" s="111" t="s">
        <v>211</v>
      </c>
      <c r="D8" s="111">
        <f t="shared" ref="D8:D15" si="0">ROUND($D$3*E8/$E$3,2)</f>
        <v>54446</v>
      </c>
      <c r="E8" s="116">
        <f>SUMIF('数据-基础表'!BB10:BK10,"地上",'数据-基础表'!BB5:BK5)</f>
        <v>163338</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2326</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2333</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54446</v>
      </c>
      <c r="E16" s="120">
        <f>SUM(E8:E15)</f>
        <v>163338</v>
      </c>
      <c r="F16" s="1965"/>
      <c r="G16" s="1967"/>
      <c r="H16" s="965" t="s">
        <v>219</v>
      </c>
      <c r="I16" s="966"/>
      <c r="J16" s="1965"/>
      <c r="K16" s="3333" t="s">
        <v>2565</v>
      </c>
      <c r="L16" s="3334"/>
      <c r="M16" s="3334"/>
      <c r="N16" s="3334"/>
      <c r="O16" s="3334"/>
      <c r="P16" s="3335"/>
    </row>
    <row r="17" spans="1:19" ht="15">
      <c r="A17" s="121" t="s">
        <v>216</v>
      </c>
      <c r="B17" s="122" t="s">
        <v>217</v>
      </c>
      <c r="C17" s="2279" t="s">
        <v>2312</v>
      </c>
      <c r="D17" s="108" t="s">
        <v>204</v>
      </c>
      <c r="E17" s="124" t="s">
        <v>205</v>
      </c>
      <c r="F17" s="125"/>
      <c r="G17" s="1359"/>
      <c r="H17" s="967" t="s">
        <v>218</v>
      </c>
      <c r="I17" s="968" t="s">
        <v>2311</v>
      </c>
      <c r="J17" s="1965"/>
      <c r="K17" s="3336" t="s">
        <v>2566</v>
      </c>
      <c r="L17" s="3337"/>
      <c r="M17" s="3338"/>
      <c r="N17" s="3336" t="s">
        <v>2567</v>
      </c>
      <c r="O17" s="3337"/>
      <c r="P17" s="3338"/>
      <c r="R17" s="2280" t="s">
        <v>2310</v>
      </c>
      <c r="S17" s="144"/>
    </row>
    <row r="18" spans="1:19" ht="15">
      <c r="A18" s="117"/>
      <c r="B18" s="128"/>
      <c r="C18" s="129"/>
      <c r="D18" s="2602"/>
      <c r="E18" s="130" t="s">
        <v>220</v>
      </c>
      <c r="F18" s="131" t="s">
        <v>221</v>
      </c>
      <c r="G18" s="1360" t="s">
        <v>222</v>
      </c>
      <c r="H18" s="969" t="s">
        <v>223</v>
      </c>
      <c r="I18" s="970" t="s">
        <v>224</v>
      </c>
      <c r="J18" s="1965"/>
      <c r="K18" s="2565" t="s">
        <v>2568</v>
      </c>
      <c r="L18" s="2566" t="s">
        <v>2569</v>
      </c>
      <c r="M18" s="2567" t="s">
        <v>2570</v>
      </c>
      <c r="N18" s="2565" t="s">
        <v>2568</v>
      </c>
      <c r="O18" s="2566" t="s">
        <v>2569</v>
      </c>
      <c r="P18" s="2567" t="s">
        <v>2570</v>
      </c>
      <c r="R18" s="2281" t="s">
        <v>2308</v>
      </c>
      <c r="S18" s="2281" t="s">
        <v>2309</v>
      </c>
    </row>
    <row r="19" spans="1:19">
      <c r="A19" s="133"/>
      <c r="B19" s="115" t="s">
        <v>225</v>
      </c>
      <c r="C19" s="2973" t="s">
        <v>3090</v>
      </c>
      <c r="D19" s="111">
        <f t="shared" ref="D19:D26" si="1">ROUND($D$3*E19/$E$3,2)</f>
        <v>54446</v>
      </c>
      <c r="E19" s="134">
        <f t="shared" ref="E19:E26" si="2">SUM(F19:G19)</f>
        <v>163338</v>
      </c>
      <c r="F19" s="135">
        <f>'[2]数据-基础表'!I5</f>
        <v>163338</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54446</v>
      </c>
      <c r="S19" s="2282">
        <f t="shared" si="5"/>
        <v>163338</v>
      </c>
    </row>
    <row r="20" spans="1:19">
      <c r="A20" s="138"/>
      <c r="B20" s="115" t="s">
        <v>226</v>
      </c>
      <c r="C20" s="2973"/>
      <c r="D20" s="111">
        <f t="shared" si="1"/>
        <v>0</v>
      </c>
      <c r="E20" s="134">
        <f t="shared" si="2"/>
        <v>0</v>
      </c>
      <c r="F20" s="135"/>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8"/>
      <c r="B21" s="115" t="s">
        <v>226</v>
      </c>
      <c r="C21" s="2973"/>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54446</v>
      </c>
      <c r="E27" s="143">
        <f>IF(SUM(E19:E26)='数据-基础表'!BA5,SUM(E19:E26),IF(F27="地上面积有误","面积有误","地下面积有误"))</f>
        <v>163338</v>
      </c>
      <c r="F27" s="134">
        <f>IF(SUM(F19:F26)=E8,SUM(F19:F26),"地上面积有误")</f>
        <v>163338</v>
      </c>
      <c r="G27" s="112">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54446</v>
      </c>
      <c r="S27" s="273">
        <f>IF(SUM(S19:S26)=$E$3,SUM(S19:S26),SUM(S19:S26)&amp;"误差"&amp;ROUND(SUM(S19:S26)-E3,2))</f>
        <v>163338</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2319</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2321</v>
      </c>
      <c r="D31" s="1365">
        <f>D27+D30</f>
        <v>54446</v>
      </c>
      <c r="E31" s="1365">
        <f>E27+E30</f>
        <v>163338</v>
      </c>
      <c r="F31" s="1366">
        <f>F27+F30</f>
        <v>163338</v>
      </c>
      <c r="G31" s="1367">
        <f>G27+G30</f>
        <v>0</v>
      </c>
      <c r="H31" s="1965"/>
      <c r="I31" s="1965"/>
      <c r="J31" s="1965"/>
      <c r="K31" s="1965"/>
      <c r="L31" s="1965"/>
    </row>
    <row r="32" spans="1:19">
      <c r="A32" s="1965"/>
      <c r="B32" s="2323" t="s">
        <v>2320</v>
      </c>
      <c r="C32" s="2607"/>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AG29" sqref="AG2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43691</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863</v>
      </c>
      <c r="B4" s="152"/>
      <c r="C4" s="153"/>
      <c r="D4" s="1201"/>
      <c r="E4" s="1202" t="s">
        <v>864</v>
      </c>
      <c r="F4" s="153"/>
      <c r="G4" s="153"/>
      <c r="H4" s="153"/>
      <c r="I4" s="153"/>
      <c r="J4" s="154"/>
      <c r="K4" s="1203"/>
      <c r="L4" s="1204"/>
      <c r="M4" s="153"/>
      <c r="N4" s="1202"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40.5">
      <c r="A5" s="2285"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2" t="s">
        <v>2827</v>
      </c>
      <c r="O5" s="163" t="s">
        <v>246</v>
      </c>
      <c r="P5" s="165" t="s">
        <v>247</v>
      </c>
      <c r="Q5" s="166" t="s">
        <v>248</v>
      </c>
      <c r="R5" s="167" t="s">
        <v>249</v>
      </c>
      <c r="S5" s="2581" t="s">
        <v>2571</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2322</v>
      </c>
      <c r="AI5" s="171" t="s">
        <v>2291</v>
      </c>
      <c r="AJ5" s="171" t="s">
        <v>258</v>
      </c>
      <c r="AK5" s="159" t="s">
        <v>259</v>
      </c>
      <c r="AL5" s="159" t="s">
        <v>260</v>
      </c>
      <c r="AM5" s="172" t="s">
        <v>261</v>
      </c>
      <c r="AN5" s="2351" t="s">
        <v>2372</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商业</v>
      </c>
      <c r="B6" s="2318" t="str">
        <f>IF(A6=0,"","经营性")</f>
        <v>经营性</v>
      </c>
      <c r="C6" s="173" t="s">
        <v>3000</v>
      </c>
      <c r="D6" s="2289">
        <f>SUMIF(项目基本情况!D$15:I$15,C6,项目基本情况!D$18:I$18)</f>
        <v>40</v>
      </c>
      <c r="E6" s="2290">
        <f>IF(B6="","",SUMIF(项目基本情况!D$15:I$15,C6,项目基本情况!D$17:I$17))</f>
        <v>57738</v>
      </c>
      <c r="F6" s="174">
        <f>SUMIF(项目基本情况!D$15:I$15,C6,项目基本情况!D$19:I$19)</f>
        <v>38.479999999999997</v>
      </c>
      <c r="G6" s="175">
        <f>IF(ISERROR(ROUND(POWER(1+H6,D6-F6)*(POWER(1+H6,F6)-1)/(POWER(1+H6,D6)-1),3)),0,ROUND(POWER(1+H6,D6-F6)*(POWER(1+H6,F6)-1)/(POWER(1+H6,D6)-1),3))</f>
        <v>0.98699999999999999</v>
      </c>
      <c r="H6" s="2974">
        <v>0.05</v>
      </c>
      <c r="I6" s="2974">
        <v>5.5E-2</v>
      </c>
      <c r="J6" s="176">
        <v>8.5000000000000006E-2</v>
      </c>
      <c r="K6" s="179">
        <f>SUMIF('数据-汇总表'!C$19:C$33,'数据-取费表'!A6,'数据-汇总表'!E$19:E$33)</f>
        <v>163338</v>
      </c>
      <c r="L6" s="193">
        <v>2200</v>
      </c>
      <c r="M6" s="177">
        <f t="shared" ref="M6:M14" si="0">ROUND(K6*L6/10000,0)</f>
        <v>35934</v>
      </c>
      <c r="N6" s="194">
        <v>0</v>
      </c>
      <c r="O6" s="177">
        <f>IF($N$5="成新度","——",ROUND(M6*N6,0))</f>
        <v>0</v>
      </c>
      <c r="P6" s="178">
        <f>IF($N$5="成新度","——",M6-O6)</f>
        <v>35934</v>
      </c>
      <c r="Q6" s="192">
        <v>0.2</v>
      </c>
      <c r="R6" s="179">
        <f>SUMIF('数据-汇总表'!C$19:C$33,A6,'数据-汇总表'!R$19:R$33)</f>
        <v>54446</v>
      </c>
      <c r="S6" s="132">
        <f>IF('数据-汇总表'!$I$17="按面积比例",SUMIF('数据-汇总表'!C$19:C$33,A6,'数据-汇总表'!K$19:K$33),SUMIF('数据-汇总表'!C$19:C$33,A6,'数据-汇总表'!N$19:N$33))</f>
        <v>0</v>
      </c>
      <c r="T6" s="2215" t="str">
        <f>IF($T$4="按面积比例",IF(ISERROR(ROUND($M$14*S6/S$16,0)),"0",ROUND($M$14*S6/S$16,0)),"需自行计算录入")</f>
        <v>0</v>
      </c>
      <c r="U6" s="180">
        <v>1.4</v>
      </c>
      <c r="V6" s="3207">
        <v>2.5000000000000001E-2</v>
      </c>
      <c r="W6" s="3207">
        <v>0.15</v>
      </c>
      <c r="X6" s="2302"/>
      <c r="Y6" s="182">
        <v>1</v>
      </c>
      <c r="Z6" s="183"/>
      <c r="AA6" s="176"/>
      <c r="AB6" s="176"/>
      <c r="AC6" s="2305"/>
      <c r="AD6" s="184"/>
      <c r="AE6" s="969">
        <f ca="1">IF(AN6="",0,SUMIF(INDIRECT("'"&amp;AN6&amp;"'"&amp;"!E:E"),$AE$5,INDIRECT("'"&amp;AN6&amp;"'"&amp;"!F:F")))</f>
        <v>35.479999999999997</v>
      </c>
      <c r="AF6" s="141"/>
      <c r="AG6" s="1206">
        <f>IF(AF6="",0,AE6-AF6)</f>
        <v>0</v>
      </c>
      <c r="AH6" s="188"/>
      <c r="AI6" s="187">
        <v>365</v>
      </c>
      <c r="AJ6" s="188"/>
      <c r="AK6" s="3209">
        <v>1.4999999999999999E-2</v>
      </c>
      <c r="AL6" s="3210">
        <v>1.5E-3</v>
      </c>
      <c r="AM6" s="2988">
        <v>0.01</v>
      </c>
      <c r="AN6" s="2352" t="s">
        <v>3095</v>
      </c>
      <c r="AO6" s="1981"/>
      <c r="AP6" s="1197">
        <f>ROUND(1-1/(1+H6)^F6,3)</f>
        <v>0.84699999999999998</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hidden="1">
      <c r="A7" s="2283">
        <f>'数据-汇总表'!C20</f>
        <v>0</v>
      </c>
      <c r="B7" s="2318" t="str">
        <f t="shared" ref="B7:B13" si="1">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9">
        <f t="shared" ref="AE7:AE13" ca="1" si="6">IF(AN7="",0,SUMIF(INDIRECT("'"&amp;AN7&amp;"'"&amp;"!E:E"),$AE$5,INDIRECT("'"&amp;AN7&amp;"'"&amp;"!F:F")))</f>
        <v>0</v>
      </c>
      <c r="AF7" s="141"/>
      <c r="AG7" s="1206">
        <f t="shared" ref="AG7:AG13" si="7">IF(AF7="",0,AE7-AF7)</f>
        <v>0</v>
      </c>
      <c r="AH7" s="141"/>
      <c r="AI7" s="187"/>
      <c r="AJ7" s="188"/>
      <c r="AK7" s="189"/>
      <c r="AL7" s="190"/>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hidden="1">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2974"/>
      <c r="I12" s="2974"/>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0"/>
      <c r="V12" s="181"/>
      <c r="W12" s="181"/>
      <c r="X12" s="2305"/>
      <c r="Y12" s="182"/>
      <c r="Z12" s="195"/>
      <c r="AA12" s="176"/>
      <c r="AB12" s="176"/>
      <c r="AC12" s="2305"/>
      <c r="AD12" s="184"/>
      <c r="AE12" s="969">
        <f t="shared" ca="1" si="6"/>
        <v>0</v>
      </c>
      <c r="AF12" s="141"/>
      <c r="AG12" s="1206">
        <f t="shared" si="7"/>
        <v>0</v>
      </c>
      <c r="AH12" s="141"/>
      <c r="AI12" s="187"/>
      <c r="AJ12" s="188"/>
      <c r="AK12" s="189"/>
      <c r="AL12" s="190"/>
      <c r="AM12" s="298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2313</v>
      </c>
      <c r="B14" s="2287" t="s">
        <v>1678</v>
      </c>
      <c r="C14" s="2288" t="s">
        <v>2313</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2315</v>
      </c>
      <c r="B15" s="2287" t="s">
        <v>1678</v>
      </c>
      <c r="C15" s="2288" t="s">
        <v>2314</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0.98699999999999999</v>
      </c>
      <c r="H16" s="203">
        <f>ROUND(SUMPRODUCT(H6:H13,K6:K13)/SUMPRODUCT((H6:H13&gt;0)*(K6:K13)),3)</f>
        <v>0.05</v>
      </c>
      <c r="I16" s="204"/>
      <c r="J16" s="204"/>
      <c r="K16" s="205">
        <f>SUM(K6:K15)</f>
        <v>163338</v>
      </c>
      <c r="L16" s="206">
        <f>ROUND(M16*10000/SUM(K6:K14),0)</f>
        <v>2200</v>
      </c>
      <c r="M16" s="206">
        <f>SUM(M6:M14)</f>
        <v>35934</v>
      </c>
      <c r="N16" s="207">
        <f>ROUND(SUMPRODUCT(M6:M14,N6:N14)/M16,3)</f>
        <v>0</v>
      </c>
      <c r="O16" s="206">
        <f>SUM(O6:O14)</f>
        <v>0</v>
      </c>
      <c r="P16" s="206">
        <f>SUM(P6:P14)</f>
        <v>35934</v>
      </c>
      <c r="Q16" s="208">
        <f>ROUND(SUMPRODUCT(Q6:Q13,K6:K13)/SUMPRODUCT((Q6:Q13&gt;0)*(K6:K13)),2)</f>
        <v>0.2</v>
      </c>
      <c r="R16" s="2292">
        <f>SUM(R6:R13)</f>
        <v>54446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0.84699999999999998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2335</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2334</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2337</v>
      </c>
      <c r="B27" s="227"/>
      <c r="C27" s="2327" t="s">
        <v>2341</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8" t="s">
        <v>2338</v>
      </c>
      <c r="B28" s="229">
        <v>150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1" t="s">
        <v>2336</v>
      </c>
      <c r="B29" s="232"/>
      <c r="C29" s="1535" t="s">
        <v>2339</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5"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8" t="s">
        <v>274</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6" t="s">
        <v>275</v>
      </c>
      <c r="B32" s="3208">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0.05</v>
      </c>
      <c r="C33" s="2325" t="s">
        <v>2892</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v>
      </c>
      <c r="C34" s="2325" t="s">
        <v>2893</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2894</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2895</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3181">
        <v>0.02</v>
      </c>
      <c r="C37" s="2325" t="s">
        <v>2896</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3211">
        <v>2.5000000000000001E-2</v>
      </c>
      <c r="C38" s="2325" t="s">
        <v>2896</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2455</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2456</v>
      </c>
      <c r="B40" s="2441">
        <f ca="1">存贷款利率!E2</f>
        <v>4.7500000000000001E-2</v>
      </c>
      <c r="C40" s="2325" t="s">
        <v>2340</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2897</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2898</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2899</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2900</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5" thickBot="1">
      <c r="A48" s="244" t="s">
        <v>289</v>
      </c>
      <c r="B48" s="243">
        <v>0.04</v>
      </c>
      <c r="C48" s="3023" t="s">
        <v>2901</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2902</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6</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49" t="s">
        <v>1325</v>
      </c>
      <c r="C53" s="3024" t="s">
        <v>2903</v>
      </c>
      <c r="D53" s="3025" t="s">
        <v>2904</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2905</v>
      </c>
      <c r="B54" s="186">
        <v>14</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2906</v>
      </c>
      <c r="B55" s="186">
        <v>9</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2907</v>
      </c>
      <c r="B56" s="186">
        <v>6</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2908</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2909</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2910</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2911</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2912</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2913</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2914</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48" t="s">
        <v>1662</v>
      </c>
      <c r="B1" s="3349"/>
      <c r="C1" s="3349"/>
      <c r="D1" s="3349"/>
      <c r="E1" s="3349"/>
      <c r="F1" s="3349"/>
      <c r="G1" s="3349"/>
      <c r="H1" s="1983"/>
      <c r="I1" s="1984"/>
      <c r="J1" s="1985"/>
      <c r="K1" s="1983"/>
      <c r="L1" s="1984"/>
      <c r="M1" s="1985"/>
      <c r="N1" s="1983"/>
      <c r="O1" s="1984"/>
      <c r="P1" s="1985"/>
      <c r="Q1" s="1986"/>
      <c r="R1" s="1987"/>
    </row>
    <row r="2" spans="1:18" ht="14.25" thickBot="1">
      <c r="A2" s="1214"/>
      <c r="B2" s="1215"/>
      <c r="C2" s="1216" t="s">
        <v>1663</v>
      </c>
      <c r="D2" s="1217"/>
      <c r="E2" s="1218"/>
      <c r="F2" s="1219"/>
      <c r="G2" s="1216" t="s">
        <v>1664</v>
      </c>
      <c r="H2" s="1989"/>
      <c r="I2" s="1989"/>
      <c r="J2" s="1989"/>
      <c r="K2" s="1989"/>
      <c r="L2" s="1989"/>
      <c r="M2" s="1989"/>
      <c r="N2" s="1989"/>
      <c r="O2" s="1989"/>
      <c r="P2" s="1989"/>
      <c r="Q2" s="1989"/>
      <c r="R2" s="1989"/>
    </row>
    <row r="3" spans="1:18" ht="54">
      <c r="A3" s="1220" t="s">
        <v>1665</v>
      </c>
      <c r="B3" s="1221" t="s">
        <v>1652</v>
      </c>
      <c r="C3" s="3029" t="s">
        <v>2921</v>
      </c>
      <c r="D3" s="1990"/>
      <c r="E3" s="1222" t="s">
        <v>1665</v>
      </c>
      <c r="F3" s="1223" t="s">
        <v>1653</v>
      </c>
      <c r="G3" s="3033" t="s">
        <v>2920</v>
      </c>
      <c r="H3" s="1989"/>
      <c r="I3" s="1989"/>
      <c r="J3" s="1989"/>
      <c r="K3" s="1989"/>
      <c r="L3" s="1989"/>
      <c r="M3" s="1989"/>
      <c r="N3" s="1989"/>
      <c r="O3" s="1989"/>
      <c r="P3" s="1989"/>
      <c r="Q3" s="1989"/>
      <c r="R3" s="1989"/>
    </row>
    <row r="4" spans="1:18" ht="41.25">
      <c r="A4" s="1222"/>
      <c r="B4" s="1224" t="s">
        <v>1666</v>
      </c>
      <c r="C4" s="3030" t="s">
        <v>2922</v>
      </c>
      <c r="D4" s="1990"/>
      <c r="E4" s="1225"/>
      <c r="F4" s="1226" t="s">
        <v>1667</v>
      </c>
      <c r="G4" s="3031" t="s">
        <v>2917</v>
      </c>
      <c r="H4" s="1989"/>
      <c r="I4" s="1989"/>
      <c r="J4" s="1989"/>
      <c r="K4" s="1989"/>
      <c r="L4" s="1989"/>
      <c r="M4" s="1989"/>
      <c r="N4" s="1989"/>
      <c r="O4" s="1989"/>
      <c r="P4" s="1989"/>
      <c r="Q4" s="1989"/>
      <c r="R4" s="1989"/>
    </row>
    <row r="5" spans="1:18" ht="41.25">
      <c r="A5" s="1222"/>
      <c r="B5" s="1224" t="s">
        <v>1668</v>
      </c>
      <c r="C5" s="3030" t="s">
        <v>2923</v>
      </c>
      <c r="D5" s="1990"/>
      <c r="E5" s="1225"/>
      <c r="F5" s="1224" t="s">
        <v>2545</v>
      </c>
      <c r="G5" s="3031" t="s">
        <v>2918</v>
      </c>
      <c r="H5" s="1989"/>
      <c r="I5" s="1989"/>
      <c r="J5" s="1989"/>
      <c r="K5" s="1989"/>
      <c r="L5" s="1989"/>
      <c r="M5" s="1989"/>
      <c r="N5" s="1989"/>
      <c r="O5" s="1989"/>
      <c r="P5" s="1989"/>
      <c r="Q5" s="1989"/>
      <c r="R5" s="1989"/>
    </row>
    <row r="6" spans="1:18" ht="54">
      <c r="A6" s="1222"/>
      <c r="B6" s="1224" t="s">
        <v>1654</v>
      </c>
      <c r="C6" s="3031" t="s">
        <v>2917</v>
      </c>
      <c r="D6" s="1990"/>
      <c r="E6" s="1225"/>
      <c r="F6" s="1224" t="s">
        <v>2546</v>
      </c>
      <c r="G6" s="3031" t="s">
        <v>2915</v>
      </c>
      <c r="H6" s="1989"/>
      <c r="I6" s="1989"/>
      <c r="J6" s="1989"/>
      <c r="K6" s="1989"/>
      <c r="L6" s="1989"/>
      <c r="M6" s="1989"/>
      <c r="N6" s="1989"/>
      <c r="O6" s="1989"/>
      <c r="P6" s="1989"/>
      <c r="Q6" s="1989"/>
      <c r="R6" s="1989"/>
    </row>
    <row r="7" spans="1:18" ht="41.25" thickBot="1">
      <c r="A7" s="1222"/>
      <c r="B7" s="1224" t="s">
        <v>2545</v>
      </c>
      <c r="C7" s="3031" t="s">
        <v>2918</v>
      </c>
      <c r="D7" s="1991"/>
      <c r="E7" s="1227"/>
      <c r="F7" s="1228" t="s">
        <v>1669</v>
      </c>
      <c r="G7" s="3034" t="s">
        <v>2919</v>
      </c>
      <c r="H7" s="1989"/>
      <c r="I7" s="1989"/>
      <c r="J7" s="1989"/>
      <c r="K7" s="1989"/>
      <c r="L7" s="1989"/>
      <c r="M7" s="1989"/>
      <c r="N7" s="1989"/>
      <c r="O7" s="1989"/>
      <c r="P7" s="1989"/>
      <c r="Q7" s="1989"/>
      <c r="R7" s="1989"/>
    </row>
    <row r="8" spans="1:18" ht="27">
      <c r="A8" s="1222"/>
      <c r="B8" s="1224" t="s">
        <v>2546</v>
      </c>
      <c r="C8" s="3031" t="s">
        <v>2915</v>
      </c>
      <c r="D8" s="1991"/>
      <c r="E8" s="1991"/>
      <c r="F8" s="1536"/>
      <c r="G8" s="1536"/>
      <c r="H8" s="1989"/>
      <c r="I8" s="1989"/>
      <c r="J8" s="1989"/>
      <c r="K8" s="1989"/>
      <c r="L8" s="1989"/>
      <c r="M8" s="1989"/>
      <c r="N8" s="1989"/>
      <c r="O8" s="1989"/>
      <c r="P8" s="1989"/>
      <c r="Q8" s="1989"/>
      <c r="R8" s="1989"/>
    </row>
    <row r="9" spans="1:18" ht="40.5">
      <c r="A9" s="1222"/>
      <c r="B9" s="1224" t="s">
        <v>1655</v>
      </c>
      <c r="C9" s="3030" t="s">
        <v>2916</v>
      </c>
      <c r="D9" s="1990"/>
      <c r="E9" s="1991"/>
      <c r="F9" s="1536"/>
      <c r="G9" s="1536"/>
      <c r="H9" s="1989"/>
      <c r="I9" s="1989"/>
      <c r="J9" s="1989"/>
      <c r="K9" s="1989"/>
      <c r="L9" s="1989"/>
      <c r="M9" s="1989"/>
      <c r="N9" s="1989"/>
      <c r="O9" s="1989"/>
      <c r="P9" s="1989"/>
      <c r="Q9" s="1989"/>
      <c r="R9" s="1989"/>
    </row>
    <row r="10" spans="1:18" s="1997" customFormat="1" ht="15" thickBot="1">
      <c r="A10" s="1229"/>
      <c r="B10" s="1230" t="s">
        <v>1670</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7"/>
      <c r="E13" s="2538"/>
      <c r="F13" s="2538"/>
      <c r="G13" s="2538"/>
    </row>
    <row r="14" spans="1:18" ht="14.25" thickBot="1">
      <c r="A14" s="1231"/>
      <c r="B14" s="1232"/>
      <c r="C14" s="1233" t="s">
        <v>1663</v>
      </c>
      <c r="D14" s="1990"/>
      <c r="E14" s="1234"/>
      <c r="F14" s="1234"/>
      <c r="G14" s="1216" t="s">
        <v>1664</v>
      </c>
    </row>
    <row r="15" spans="1:18" ht="54">
      <c r="A15" s="2548" t="s">
        <v>1656</v>
      </c>
      <c r="B15" s="1235" t="s">
        <v>1652</v>
      </c>
      <c r="C15" s="1236" t="str">
        <f>C3</f>
        <v>估价对象周边居住用地比例、居住小区规模和社区发展完善程度，综合评价居住社区成熟度一般</v>
      </c>
      <c r="D15" s="1990"/>
      <c r="E15" s="2545" t="s">
        <v>1657</v>
      </c>
      <c r="F15" s="1235" t="s">
        <v>1672</v>
      </c>
      <c r="G15" s="1237" t="str">
        <f>G3</f>
        <v>估价对象位于XX开发区，园区建设成熟度XX，产业集聚程度XX</v>
      </c>
    </row>
    <row r="16" spans="1:18" ht="40.5">
      <c r="A16" s="2549"/>
      <c r="B16" s="1238" t="s">
        <v>1666</v>
      </c>
      <c r="C16" s="1239" t="str">
        <f>C4</f>
        <v>估价对象位于XX商圈，周边商业氛围成熟，人流量大，商业繁华度好</v>
      </c>
      <c r="D16" s="1990"/>
      <c r="E16" s="2546"/>
      <c r="F16" s="1240" t="s">
        <v>1667</v>
      </c>
      <c r="G16" s="1002" t="str">
        <f>G4</f>
        <v>估价对象周边道路状况、公共交通通达情况、停车便捷程度，综合评价交通便捷度较好</v>
      </c>
    </row>
    <row r="17" spans="1:7" ht="40.5">
      <c r="A17" s="2549"/>
      <c r="B17" s="1238" t="s">
        <v>1668</v>
      </c>
      <c r="C17" s="1239" t="str">
        <f>C5</f>
        <v>估价对象位于XX商圈，周边办公楼项目较多，入驻率高，办公集聚程度较好</v>
      </c>
      <c r="D17" s="1991"/>
      <c r="E17" s="2546"/>
      <c r="F17" s="1240" t="s">
        <v>1673</v>
      </c>
      <c r="G17" s="2746"/>
    </row>
    <row r="18" spans="1:7" ht="54">
      <c r="A18" s="2549"/>
      <c r="B18" s="1240" t="s">
        <v>1654</v>
      </c>
      <c r="C18" s="1002" t="str">
        <f>C6</f>
        <v>估价对象周边道路状况、公共交通通达情况、停车便捷程度，综合评价交通便捷度较好</v>
      </c>
      <c r="D18" s="1991"/>
      <c r="E18" s="2546"/>
      <c r="F18" s="1240" t="s">
        <v>1669</v>
      </c>
      <c r="G18" s="1002" t="str">
        <f>G7</f>
        <v>该园区内是否有污染型企业，绿化情况，卫生条件，整体环境状况判断</v>
      </c>
    </row>
    <row r="19" spans="1:7" ht="27">
      <c r="A19" s="2549"/>
      <c r="B19" s="1240" t="s">
        <v>1658</v>
      </c>
      <c r="C19" s="2746"/>
      <c r="D19" s="1990"/>
      <c r="E19" s="2546"/>
      <c r="F19" s="1224" t="s">
        <v>2545</v>
      </c>
      <c r="G19" s="1002" t="str">
        <f>G5</f>
        <v>估价对象所在区域公共配套设施齐备情况</v>
      </c>
    </row>
    <row r="20" spans="1:7" ht="40.5">
      <c r="A20" s="2549"/>
      <c r="B20" s="1240" t="s">
        <v>1659</v>
      </c>
      <c r="C20" s="1239" t="str">
        <f>C9</f>
        <v>区域自然环境：；人文环境；综合评价环境状况一般</v>
      </c>
      <c r="D20" s="1991"/>
      <c r="E20" s="2546"/>
      <c r="F20" s="1224" t="s">
        <v>2546</v>
      </c>
      <c r="G20" s="1002" t="str">
        <f>G6</f>
        <v>估价对象所在区域基础设施水平</v>
      </c>
    </row>
    <row r="21" spans="1:7" ht="27">
      <c r="A21" s="2549"/>
      <c r="B21" s="1224" t="s">
        <v>2545</v>
      </c>
      <c r="C21" s="1002" t="str">
        <f>C7</f>
        <v>估价对象所在区域公共配套设施齐备情况</v>
      </c>
      <c r="D21" s="1990"/>
      <c r="E21" s="2546"/>
      <c r="F21" s="1240" t="s">
        <v>1660</v>
      </c>
      <c r="G21" s="3035"/>
    </row>
    <row r="22" spans="1:7" ht="27">
      <c r="A22" s="2549"/>
      <c r="B22" s="1224" t="s">
        <v>2546</v>
      </c>
      <c r="C22" s="1002" t="str">
        <f>C8</f>
        <v>估价对象所在区域基础设施水平</v>
      </c>
      <c r="D22" s="1990"/>
      <c r="E22" s="2546"/>
      <c r="F22" s="1240" t="s">
        <v>1670</v>
      </c>
      <c r="G22" s="2746"/>
    </row>
    <row r="23" spans="1:7" ht="15" thickBot="1">
      <c r="A23" s="2549"/>
      <c r="B23" s="1240" t="s">
        <v>1660</v>
      </c>
      <c r="C23" s="3035"/>
      <c r="E23" s="2547"/>
      <c r="F23" s="1241" t="s">
        <v>1674</v>
      </c>
      <c r="G23" s="3036"/>
    </row>
    <row r="24" spans="1:7" ht="14.25" thickBot="1">
      <c r="A24" s="2550"/>
      <c r="B24" s="1241" t="s">
        <v>1661</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1" sqref="D11"/>
    </sheetView>
  </sheetViews>
  <sheetFormatPr defaultColWidth="14.625" defaultRowHeight="13.5"/>
  <cols>
    <col min="1" max="1" width="24.375" customWidth="1"/>
  </cols>
  <sheetData>
    <row r="1" spans="1:9" ht="16.5">
      <c r="A1" s="2993" t="s">
        <v>2843</v>
      </c>
      <c r="B1" s="2993">
        <f>SUM(B14:B23)</f>
        <v>163338</v>
      </c>
      <c r="C1" s="2994"/>
      <c r="D1" s="2994"/>
      <c r="E1" s="2994"/>
      <c r="F1" s="2994"/>
    </row>
    <row r="2" spans="1:9" ht="16.5">
      <c r="A2" s="2993" t="s">
        <v>2844</v>
      </c>
      <c r="B2" s="2993">
        <f>SUM(C14:C23)</f>
        <v>54446</v>
      </c>
      <c r="C2" s="2994"/>
      <c r="D2" s="2994"/>
      <c r="E2" s="2994"/>
      <c r="F2" s="2994"/>
    </row>
    <row r="3" spans="1:9" ht="16.5">
      <c r="A3" s="2993" t="s">
        <v>2845</v>
      </c>
      <c r="B3" s="2995">
        <f>项目基本情况!D3</f>
        <v>43691</v>
      </c>
      <c r="C3" s="2994"/>
      <c r="D3" s="2994"/>
      <c r="E3" s="2994"/>
      <c r="F3" s="2994"/>
    </row>
    <row r="4" spans="1:9" ht="33">
      <c r="A4" s="2993" t="s">
        <v>2846</v>
      </c>
      <c r="B4" s="2993" t="s">
        <v>2847</v>
      </c>
      <c r="C4" s="2993" t="s">
        <v>2848</v>
      </c>
      <c r="D4" s="2993" t="s">
        <v>2849</v>
      </c>
      <c r="E4" s="2994"/>
      <c r="F4" s="2994"/>
    </row>
    <row r="5" spans="1:9" ht="16.5">
      <c r="A5" s="2993" t="s">
        <v>2850</v>
      </c>
      <c r="B5" s="2993">
        <f ca="1">SUM(D14:D23)</f>
        <v>300426</v>
      </c>
      <c r="C5" s="2993">
        <f ca="1">ROUND(B5*10000/$B$1,0)</f>
        <v>18393</v>
      </c>
      <c r="D5" s="2993">
        <f ca="1">ROUND(B5*10000/$B$2,0)</f>
        <v>55179</v>
      </c>
      <c r="E5" s="2994"/>
      <c r="F5" s="2994"/>
    </row>
    <row r="6" spans="1:9" ht="16.5">
      <c r="A6" s="2993" t="s">
        <v>2851</v>
      </c>
      <c r="B6" s="2993">
        <f ca="1">SUM(G14:G23)</f>
        <v>300426</v>
      </c>
      <c r="C6" s="2993">
        <f t="shared" ref="C6:C8" ca="1" si="0">ROUND(B6*10000/$B$1,0)</f>
        <v>18393</v>
      </c>
      <c r="D6" s="2993">
        <f t="shared" ref="D6:D8" ca="1" si="1">ROUND(B6*10000/$B$2,0)</f>
        <v>55179</v>
      </c>
      <c r="E6" s="2994"/>
      <c r="F6" s="2994"/>
    </row>
    <row r="7" spans="1:9" ht="16.5">
      <c r="A7" s="2993" t="s">
        <v>2852</v>
      </c>
      <c r="B7" s="2993">
        <f>SUM(H14:H23)</f>
        <v>0</v>
      </c>
      <c r="C7" s="2993">
        <f t="shared" si="0"/>
        <v>0</v>
      </c>
      <c r="D7" s="2993">
        <f t="shared" si="1"/>
        <v>0</v>
      </c>
      <c r="E7" s="2994"/>
      <c r="F7" s="2994"/>
    </row>
    <row r="8" spans="1:9" ht="16.5">
      <c r="A8" s="2993" t="s">
        <v>2853</v>
      </c>
      <c r="B8" s="2993">
        <f>SUM(I14:I23)</f>
        <v>0</v>
      </c>
      <c r="C8" s="2993">
        <f t="shared" si="0"/>
        <v>0</v>
      </c>
      <c r="D8" s="2993">
        <f t="shared" si="1"/>
        <v>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163338</v>
      </c>
      <c r="C14" s="2997">
        <f>结果表!K38</f>
        <v>54446</v>
      </c>
      <c r="D14" s="2997">
        <f ca="1">结果表!C42</f>
        <v>25234</v>
      </c>
      <c r="E14" s="2997">
        <f ca="1">ROUND(D14*10000/B14,0)</f>
        <v>1545</v>
      </c>
      <c r="F14" s="2997">
        <f ca="1">ROUND(D14*10000/C14,0)</f>
        <v>4635</v>
      </c>
      <c r="G14" s="2997">
        <f ca="1">结果表!C44</f>
        <v>25234</v>
      </c>
      <c r="H14" s="2997" t="str">
        <f>结果表!C45</f>
        <v>——</v>
      </c>
      <c r="I14" s="2997" t="str">
        <f>结果表!C46</f>
        <v>——</v>
      </c>
    </row>
    <row r="15" spans="1:9" ht="16.5">
      <c r="A15" s="3000" t="s">
        <v>2860</v>
      </c>
      <c r="B15" s="3001"/>
      <c r="C15" s="3001"/>
      <c r="D15" s="3001">
        <f ca="1">典型户型修正!S22-系统读取表!D14</f>
        <v>275192</v>
      </c>
      <c r="E15" s="2997" t="e">
        <f t="shared" ref="E15:E23" ca="1" si="2">ROUND(D15*10000/B15,0)</f>
        <v>#DIV/0!</v>
      </c>
      <c r="F15" s="2997" t="e">
        <f t="shared" ref="F15:F23" ca="1" si="3">ROUND(D15*10000/C15,0)</f>
        <v>#DIV/0!</v>
      </c>
      <c r="G15" s="2998">
        <f ca="1">D15</f>
        <v>275192</v>
      </c>
      <c r="H15" s="2998"/>
      <c r="I15" s="3001"/>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25" sqref="E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2054</v>
      </c>
      <c r="B1" s="1758"/>
      <c r="C1" s="1786" t="s">
        <v>2055</v>
      </c>
      <c r="D1" s="1787"/>
      <c r="E1" s="1786" t="s">
        <v>2056</v>
      </c>
      <c r="F1" s="1788"/>
      <c r="G1" s="309"/>
      <c r="H1" s="309"/>
      <c r="I1" s="309"/>
      <c r="J1" s="2010"/>
      <c r="K1" s="2010"/>
      <c r="L1" s="2010"/>
      <c r="M1" s="2010"/>
      <c r="N1" s="2010"/>
      <c r="O1" s="2010"/>
      <c r="P1" s="2010"/>
      <c r="Q1" s="2010"/>
      <c r="R1" s="2010"/>
      <c r="S1" s="2010"/>
      <c r="T1" s="2010"/>
      <c r="U1" s="2010"/>
      <c r="V1" s="2010"/>
    </row>
    <row r="2" spans="1:22" ht="21.75" customHeight="1" thickBot="1">
      <c r="A2" s="3386" t="str">
        <f>项目基本情况!K2</f>
        <v>出让国有建设用地使用权</v>
      </c>
      <c r="B2" s="3387"/>
      <c r="C2" s="3388"/>
      <c r="D2" s="3388"/>
      <c r="E2" s="3388"/>
      <c r="F2" s="3388"/>
      <c r="G2" s="3387"/>
      <c r="H2" s="3387"/>
      <c r="I2" s="3389"/>
      <c r="J2" s="2011"/>
      <c r="K2" s="2010"/>
      <c r="L2" s="2010"/>
      <c r="M2" s="2010"/>
      <c r="N2" s="2010"/>
      <c r="O2" s="2010"/>
      <c r="P2" s="2010"/>
      <c r="Q2" s="2010"/>
      <c r="R2" s="2010"/>
      <c r="S2" s="2010"/>
      <c r="T2" s="2010"/>
      <c r="U2" s="2010"/>
      <c r="V2" s="2010"/>
    </row>
    <row r="3" spans="1:22" ht="14.25">
      <c r="A3" s="3379" t="s">
        <v>298</v>
      </c>
      <c r="B3" s="3380"/>
      <c r="C3" s="3380"/>
      <c r="D3" s="3380"/>
      <c r="E3" s="3380"/>
      <c r="F3" s="3380"/>
      <c r="G3" s="3380"/>
      <c r="H3" s="3380"/>
      <c r="I3" s="3380"/>
      <c r="J3" s="2011"/>
      <c r="K3" s="2010"/>
      <c r="L3" s="2010"/>
      <c r="M3" s="2010"/>
      <c r="N3" s="2010"/>
      <c r="O3" s="2010"/>
      <c r="P3" s="2010"/>
      <c r="Q3" s="2010"/>
      <c r="R3" s="2010"/>
      <c r="S3" s="2010"/>
      <c r="T3" s="2010"/>
      <c r="U3" s="2010"/>
      <c r="V3" s="2010"/>
    </row>
    <row r="4" spans="1:22" ht="14.25">
      <c r="A4" s="256" t="s">
        <v>299</v>
      </c>
      <c r="B4" s="257" t="s">
        <v>300</v>
      </c>
      <c r="C4" s="258" t="s">
        <v>3002</v>
      </c>
      <c r="D4" s="258" t="s">
        <v>3003</v>
      </c>
      <c r="E4" s="3351" t="s">
        <v>301</v>
      </c>
      <c r="F4" s="3352"/>
      <c r="G4" s="3352"/>
      <c r="H4" s="3352"/>
      <c r="I4" s="3381"/>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0" t="s">
        <v>302</v>
      </c>
      <c r="B5" s="3376">
        <v>25</v>
      </c>
      <c r="C5" s="3374"/>
      <c r="D5" s="3378"/>
      <c r="E5" s="259" t="s">
        <v>303</v>
      </c>
      <c r="F5" s="260"/>
      <c r="G5" s="260"/>
      <c r="H5" s="260"/>
      <c r="I5" s="261"/>
      <c r="J5" s="2011"/>
      <c r="K5" s="2010"/>
      <c r="L5" s="2010"/>
      <c r="M5" s="2010"/>
      <c r="N5" s="2010"/>
      <c r="O5" s="2010"/>
      <c r="P5" s="2010"/>
      <c r="Q5" s="2010"/>
      <c r="R5" s="2010"/>
      <c r="S5" s="2010"/>
      <c r="T5" s="2010"/>
      <c r="U5" s="2010"/>
      <c r="V5" s="2010"/>
    </row>
    <row r="6" spans="1:22" ht="14.25">
      <c r="A6" s="3350"/>
      <c r="B6" s="3376"/>
      <c r="C6" s="3377"/>
      <c r="D6" s="3378"/>
      <c r="E6" s="259" t="s">
        <v>304</v>
      </c>
      <c r="F6" s="260"/>
      <c r="G6" s="260"/>
      <c r="H6" s="260"/>
      <c r="I6" s="261"/>
      <c r="J6" s="2011"/>
      <c r="K6" s="2010"/>
      <c r="L6" s="2010"/>
      <c r="M6" s="2010"/>
      <c r="N6" s="2010"/>
      <c r="O6" s="2010"/>
      <c r="P6" s="2010"/>
      <c r="Q6" s="2010"/>
      <c r="R6" s="2010"/>
      <c r="S6" s="2010"/>
      <c r="T6" s="2010"/>
      <c r="U6" s="2010"/>
      <c r="V6" s="2010"/>
    </row>
    <row r="7" spans="1:22" ht="14.25">
      <c r="A7" s="3350"/>
      <c r="B7" s="3376"/>
      <c r="C7" s="3375"/>
      <c r="D7" s="3378"/>
      <c r="E7" s="259" t="s">
        <v>305</v>
      </c>
      <c r="F7" s="260"/>
      <c r="G7" s="260"/>
      <c r="H7" s="260"/>
      <c r="I7" s="261"/>
      <c r="J7" s="2011"/>
      <c r="K7" s="2010"/>
      <c r="L7" s="2010"/>
      <c r="M7" s="2010"/>
      <c r="N7" s="2010"/>
      <c r="O7" s="2010"/>
      <c r="P7" s="2010"/>
      <c r="Q7" s="2010"/>
      <c r="R7" s="2010"/>
      <c r="S7" s="2010"/>
      <c r="T7" s="2010"/>
      <c r="U7" s="2010"/>
      <c r="V7" s="2010"/>
    </row>
    <row r="8" spans="1:22" ht="14.25">
      <c r="A8" s="3350" t="s">
        <v>306</v>
      </c>
      <c r="B8" s="3376">
        <v>15</v>
      </c>
      <c r="C8" s="3374"/>
      <c r="D8" s="3378"/>
      <c r="E8" s="259" t="s">
        <v>307</v>
      </c>
      <c r="F8" s="260"/>
      <c r="G8" s="260"/>
      <c r="H8" s="260"/>
      <c r="I8" s="261"/>
      <c r="J8" s="2011"/>
      <c r="K8" s="2010"/>
      <c r="L8" s="2010"/>
      <c r="M8" s="2010"/>
      <c r="N8" s="2010"/>
      <c r="O8" s="2010"/>
      <c r="P8" s="2010"/>
      <c r="Q8" s="2010"/>
      <c r="R8" s="2010"/>
      <c r="S8" s="2010"/>
      <c r="T8" s="2010"/>
      <c r="U8" s="2010"/>
      <c r="V8" s="2010"/>
    </row>
    <row r="9" spans="1:22" ht="14.25">
      <c r="A9" s="3350"/>
      <c r="B9" s="3376"/>
      <c r="C9" s="3375"/>
      <c r="D9" s="3378"/>
      <c r="E9" s="259" t="s">
        <v>308</v>
      </c>
      <c r="F9" s="260"/>
      <c r="G9" s="260"/>
      <c r="H9" s="260"/>
      <c r="I9" s="261"/>
      <c r="J9" s="2011"/>
      <c r="K9" s="2010"/>
      <c r="L9" s="2010"/>
      <c r="M9" s="2010"/>
      <c r="N9" s="2010"/>
      <c r="O9" s="2010"/>
      <c r="P9" s="2010"/>
      <c r="Q9" s="2010"/>
      <c r="R9" s="2010"/>
      <c r="S9" s="2010"/>
      <c r="T9" s="2010"/>
      <c r="U9" s="2010"/>
      <c r="V9" s="2010"/>
    </row>
    <row r="10" spans="1:22" ht="14.25">
      <c r="A10" s="3350" t="s">
        <v>309</v>
      </c>
      <c r="B10" s="3376">
        <v>15</v>
      </c>
      <c r="C10" s="3374"/>
      <c r="D10" s="3378"/>
      <c r="E10" s="259" t="s">
        <v>310</v>
      </c>
      <c r="F10" s="260"/>
      <c r="G10" s="260"/>
      <c r="H10" s="260"/>
      <c r="I10" s="261"/>
      <c r="J10" s="2011"/>
      <c r="K10" s="2010"/>
      <c r="L10" s="2010"/>
      <c r="M10" s="2010"/>
      <c r="N10" s="2010"/>
      <c r="O10" s="2010"/>
      <c r="P10" s="2010"/>
      <c r="Q10" s="2010"/>
      <c r="R10" s="2010"/>
      <c r="S10" s="2010"/>
      <c r="T10" s="2010"/>
      <c r="U10" s="2010"/>
      <c r="V10" s="2010"/>
    </row>
    <row r="11" spans="1:22" ht="14.25">
      <c r="A11" s="3350"/>
      <c r="B11" s="3376"/>
      <c r="C11" s="3375"/>
      <c r="D11" s="3378"/>
      <c r="E11" s="259" t="s">
        <v>311</v>
      </c>
      <c r="F11" s="260"/>
      <c r="G11" s="260"/>
      <c r="H11" s="260"/>
      <c r="I11" s="261"/>
      <c r="J11" s="2011"/>
      <c r="K11" s="2010"/>
      <c r="L11" s="2010"/>
      <c r="M11" s="2010"/>
      <c r="N11" s="2010"/>
      <c r="O11" s="2010"/>
      <c r="P11" s="2010"/>
      <c r="Q11" s="2010"/>
      <c r="R11" s="2010"/>
      <c r="S11" s="2010"/>
      <c r="T11" s="2010"/>
      <c r="U11" s="2010"/>
      <c r="V11" s="2010"/>
    </row>
    <row r="12" spans="1:22" ht="14.25">
      <c r="A12" s="3350" t="s">
        <v>312</v>
      </c>
      <c r="B12" s="3376">
        <v>15</v>
      </c>
      <c r="C12" s="3374"/>
      <c r="D12" s="3378"/>
      <c r="E12" s="259" t="s">
        <v>313</v>
      </c>
      <c r="F12" s="260"/>
      <c r="G12" s="260"/>
      <c r="H12" s="260"/>
      <c r="I12" s="261"/>
      <c r="J12" s="2011"/>
      <c r="K12" s="2010"/>
      <c r="L12" s="2010"/>
      <c r="M12" s="2010"/>
      <c r="N12" s="2010"/>
      <c r="O12" s="2010"/>
      <c r="P12" s="2010"/>
      <c r="Q12" s="2010"/>
      <c r="R12" s="2010"/>
      <c r="S12" s="2010"/>
      <c r="T12" s="2010"/>
      <c r="U12" s="2010"/>
      <c r="V12" s="2010"/>
    </row>
    <row r="13" spans="1:22" ht="14.25">
      <c r="A13" s="3350"/>
      <c r="B13" s="3376"/>
      <c r="C13" s="3375"/>
      <c r="D13" s="3378"/>
      <c r="E13" s="259" t="s">
        <v>314</v>
      </c>
      <c r="F13" s="260"/>
      <c r="G13" s="260"/>
      <c r="H13" s="260"/>
      <c r="I13" s="261"/>
      <c r="J13" s="2011"/>
      <c r="K13" s="2010"/>
      <c r="L13" s="2010"/>
      <c r="M13" s="2010"/>
      <c r="N13" s="2010"/>
      <c r="O13" s="2010"/>
      <c r="P13" s="2010"/>
      <c r="Q13" s="2010"/>
      <c r="R13" s="2010"/>
      <c r="S13" s="2010"/>
      <c r="T13" s="2010"/>
      <c r="U13" s="2010"/>
      <c r="V13" s="2010"/>
    </row>
    <row r="14" spans="1:22" ht="14.25">
      <c r="A14" s="3350" t="s">
        <v>315</v>
      </c>
      <c r="B14" s="3376">
        <v>30</v>
      </c>
      <c r="C14" s="3374">
        <v>5</v>
      </c>
      <c r="D14" s="3378">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50"/>
      <c r="B15" s="3376"/>
      <c r="C15" s="3377"/>
      <c r="D15" s="3378"/>
      <c r="E15" s="259" t="s">
        <v>317</v>
      </c>
      <c r="F15" s="260"/>
      <c r="G15" s="260"/>
      <c r="H15" s="260"/>
      <c r="I15" s="261"/>
      <c r="J15" s="2011"/>
      <c r="K15" s="2010"/>
      <c r="L15" s="2010"/>
      <c r="M15" s="2010"/>
      <c r="N15" s="2010"/>
      <c r="O15" s="2010"/>
      <c r="P15" s="2010"/>
      <c r="Q15" s="2010"/>
      <c r="R15" s="2010"/>
      <c r="S15" s="2010"/>
      <c r="T15" s="2010"/>
      <c r="U15" s="2010"/>
      <c r="V15" s="2010"/>
    </row>
    <row r="16" spans="1:22" ht="14.25">
      <c r="A16" s="3350"/>
      <c r="B16" s="3376"/>
      <c r="C16" s="3375"/>
      <c r="D16" s="3378"/>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24305</v>
      </c>
      <c r="D19" s="269">
        <f ca="1">SUMIF(INDIRECT("'"&amp;D4&amp;"'"&amp;"!A:A"),结果表!B19,INDIRECT("'"&amp;D4&amp;"'"&amp;"!B:B"))</f>
        <v>26162</v>
      </c>
      <c r="E19" s="266" t="s">
        <v>323</v>
      </c>
      <c r="F19" s="267" t="s">
        <v>322</v>
      </c>
      <c r="G19" s="270">
        <f ca="1">ROUND(C19*$C$18+D19*$D$18,0)</f>
        <v>25234</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1488</v>
      </c>
      <c r="D20" s="275">
        <f ca="1">SUMIF(INDIRECT("'"&amp;D4&amp;"'"&amp;"!A:A"),结果表!B20,INDIRECT("'"&amp;D4&amp;"'"&amp;"!B:B"))</f>
        <v>1602</v>
      </c>
      <c r="E20" s="272"/>
      <c r="F20" s="273" t="s">
        <v>325</v>
      </c>
      <c r="G20" s="276">
        <f ca="1">ROUND(C20*$C$18+D20*$D$18,0)</f>
        <v>1545</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4464</v>
      </c>
      <c r="D21" s="151">
        <f ca="1">SUMIF(INDIRECT("'"&amp;D4&amp;"'"&amp;"!A:A"),结果表!B21,INDIRECT("'"&amp;D4&amp;"'"&amp;"!B:B"))</f>
        <v>4805</v>
      </c>
      <c r="E21" s="272"/>
      <c r="F21" s="278" t="s">
        <v>327</v>
      </c>
      <c r="G21" s="280">
        <f ca="1">ROUND(C21*$C$18+D21*$D$18,0)</f>
        <v>4635</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7.6404032092162177E-2</v>
      </c>
      <c r="E22" s="282"/>
      <c r="F22" s="283"/>
      <c r="G22" s="284">
        <f ca="1">ROUND(G19/('数据-汇总表'!D3/666.67),0)</f>
        <v>309</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5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57"/>
      <c r="B25" s="1314" t="s">
        <v>331</v>
      </c>
      <c r="C25" s="288">
        <f>IF(B30=0,0,C30)</f>
        <v>0</v>
      </c>
      <c r="D25" s="289"/>
      <c r="E25" s="309"/>
      <c r="F25" s="309"/>
      <c r="G25" s="309"/>
      <c r="H25" s="309"/>
      <c r="I25" s="309"/>
      <c r="J25" s="2010"/>
      <c r="K25" s="1248" t="str">
        <f ca="1">项目基本情况!B16&amp;"国有建设用地使用权价格："&amp;O38&amp;"万元"</f>
        <v>出让国有建设用地使用权价格：25234万元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大写金额：人民币贰亿伍仟贰佰叁拾肆万元整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单位面积地价：4635元/平方米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楼面地价：1545元/平方米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抵押价格：25234万元</v>
      </c>
      <c r="L29" s="1245"/>
      <c r="M29" s="1245"/>
      <c r="N29" s="1245"/>
      <c r="O29" s="1244"/>
      <c r="P29" s="2010"/>
      <c r="V29" s="2010"/>
    </row>
    <row r="30" spans="1:26" ht="18.75" thickBot="1">
      <c r="A30" s="3078" t="s">
        <v>336</v>
      </c>
      <c r="B30" s="307"/>
      <c r="C30" s="307"/>
      <c r="D30" s="308"/>
      <c r="E30" s="3079" t="s">
        <v>2965</v>
      </c>
      <c r="F30" s="309"/>
      <c r="G30" s="309"/>
      <c r="H30" s="309"/>
      <c r="I30" s="309"/>
      <c r="J30" s="2010"/>
      <c r="K30" s="1251" t="str">
        <f ca="1">IF(K29="——","——","大写金额：人民币"&amp;NUMBERSTRING(INT(O39*10000),2)&amp;"元整")</f>
        <v>大写金额：人民币贰亿伍仟贰佰叁拾肆万元整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25234</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1545</v>
      </c>
      <c r="D33" s="1378" t="s">
        <v>1690</v>
      </c>
      <c r="E33" s="3356"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4635</v>
      </c>
      <c r="D34" s="1380" t="s">
        <v>1690</v>
      </c>
      <c r="E34" s="3397"/>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309</v>
      </c>
      <c r="D35" s="1383" t="s">
        <v>1692</v>
      </c>
      <c r="E35" s="3398"/>
      <c r="F35" s="299" t="s">
        <v>342</v>
      </c>
      <c r="G35" s="979"/>
      <c r="H35" s="978" t="s">
        <v>343</v>
      </c>
      <c r="I35" s="309"/>
      <c r="J35" s="2010"/>
      <c r="K35" s="3371" t="s">
        <v>350</v>
      </c>
      <c r="L35" s="3371" t="s">
        <v>351</v>
      </c>
      <c r="M35" s="1257" t="s">
        <v>352</v>
      </c>
      <c r="N35" s="3371" t="s">
        <v>353</v>
      </c>
      <c r="O35" s="3371" t="s">
        <v>354</v>
      </c>
      <c r="P35" s="2010"/>
      <c r="V35" s="2010"/>
    </row>
    <row r="36" spans="1:26" ht="16.5" customHeight="1">
      <c r="A36" s="301" t="s">
        <v>344</v>
      </c>
      <c r="B36" s="302" t="s">
        <v>333</v>
      </c>
      <c r="C36" s="303" t="s">
        <v>345</v>
      </c>
      <c r="D36" s="303" t="s">
        <v>346</v>
      </c>
      <c r="E36" s="304" t="s">
        <v>347</v>
      </c>
      <c r="F36" s="309"/>
      <c r="G36" s="309"/>
      <c r="H36" s="309"/>
      <c r="I36" s="309"/>
      <c r="J36" s="2012"/>
      <c r="K36" s="3372"/>
      <c r="L36" s="3372"/>
      <c r="M36" s="1259" t="s">
        <v>355</v>
      </c>
      <c r="N36" s="3372"/>
      <c r="O36" s="3372"/>
      <c r="P36" s="2010"/>
      <c r="V36" s="2010"/>
    </row>
    <row r="37" spans="1:26" ht="16.5" customHeight="1" thickBot="1">
      <c r="A37" s="1253" t="s">
        <v>348</v>
      </c>
      <c r="B37" s="305"/>
      <c r="C37" s="292"/>
      <c r="D37" s="292"/>
      <c r="E37" s="293"/>
      <c r="F37" s="309"/>
      <c r="G37" s="309"/>
      <c r="H37" s="309"/>
      <c r="I37" s="309"/>
      <c r="J37" s="2012"/>
      <c r="K37" s="3373"/>
      <c r="L37" s="3373"/>
      <c r="M37" s="1260"/>
      <c r="N37" s="3373"/>
      <c r="O37" s="3373"/>
      <c r="P37" s="2010"/>
      <c r="V37" s="2010"/>
    </row>
    <row r="38" spans="1:26" ht="16.5" customHeight="1" thickBot="1">
      <c r="A38" s="1253" t="s">
        <v>349</v>
      </c>
      <c r="B38" s="305"/>
      <c r="C38" s="292"/>
      <c r="D38" s="292"/>
      <c r="E38" s="293"/>
      <c r="F38" s="309"/>
      <c r="G38" s="309"/>
      <c r="H38" s="309"/>
      <c r="I38" s="309"/>
      <c r="J38" s="2012"/>
      <c r="K38" s="1261">
        <f>'数据-汇总表'!D3</f>
        <v>54446</v>
      </c>
      <c r="L38" s="1262">
        <f>'数据-汇总表'!E3</f>
        <v>163338</v>
      </c>
      <c r="M38" s="1262">
        <f ca="1">C34</f>
        <v>4635</v>
      </c>
      <c r="N38" s="1262">
        <f ca="1">C33</f>
        <v>1545</v>
      </c>
      <c r="O38" s="1263">
        <f ca="1">C32</f>
        <v>25234</v>
      </c>
      <c r="P38" s="2010"/>
      <c r="V38" s="2010"/>
    </row>
    <row r="39" spans="1:26" ht="16.5" customHeight="1" thickBot="1">
      <c r="A39" s="1258"/>
      <c r="B39" s="306"/>
      <c r="C39" s="307"/>
      <c r="D39" s="307"/>
      <c r="E39" s="308"/>
      <c r="F39" s="309"/>
      <c r="G39" s="309"/>
      <c r="H39" s="309"/>
      <c r="I39" s="309"/>
      <c r="J39" s="2012"/>
      <c r="K39" s="3416" t="str">
        <f>MID(A44,3,LEN(A44)-2)</f>
        <v>抵押价格</v>
      </c>
      <c r="L39" s="3417"/>
      <c r="M39" s="3417"/>
      <c r="N39" s="3418"/>
      <c r="O39" s="1385">
        <f ca="1">C44</f>
        <v>25234</v>
      </c>
      <c r="P39" s="2010"/>
      <c r="V39" s="2010"/>
    </row>
    <row r="40" spans="1:26" ht="19.5" thickBot="1">
      <c r="A40" s="104" t="s">
        <v>872</v>
      </c>
      <c r="B40" s="309"/>
      <c r="C40" s="309"/>
      <c r="D40" s="309"/>
      <c r="E40" s="309"/>
      <c r="F40" s="309"/>
      <c r="G40" s="309"/>
      <c r="H40" s="309"/>
      <c r="I40" s="309"/>
      <c r="J40" s="2012"/>
      <c r="K40" s="3416" t="str">
        <f t="shared" ref="K40:K41" si="0">MID(A45,3,LEN(A45)-2)</f>
        <v/>
      </c>
      <c r="L40" s="3417"/>
      <c r="M40" s="3417"/>
      <c r="N40" s="3418"/>
      <c r="O40" s="1385" t="str">
        <f>C45</f>
        <v>——</v>
      </c>
      <c r="P40" s="2010"/>
      <c r="V40" s="2010"/>
    </row>
    <row r="41" spans="1:26" ht="16.5" thickBot="1">
      <c r="A41" s="310" t="s">
        <v>356</v>
      </c>
      <c r="B41" s="311"/>
      <c r="C41" s="312" t="s">
        <v>357</v>
      </c>
      <c r="D41" s="313" t="s">
        <v>358</v>
      </c>
      <c r="E41" s="313" t="s">
        <v>359</v>
      </c>
      <c r="F41" s="314" t="s">
        <v>360</v>
      </c>
      <c r="G41" s="309"/>
      <c r="H41" s="309"/>
      <c r="I41" s="309"/>
      <c r="J41" s="2012"/>
      <c r="K41" s="3416" t="str">
        <f t="shared" si="0"/>
        <v/>
      </c>
      <c r="L41" s="3417"/>
      <c r="M41" s="3417"/>
      <c r="N41" s="3418"/>
      <c r="O41" s="1385" t="str">
        <f>C46</f>
        <v>——</v>
      </c>
      <c r="P41" s="2010"/>
      <c r="V41" s="2010"/>
    </row>
    <row r="42" spans="1:26" ht="29.25">
      <c r="A42" s="3358" t="s">
        <v>2066</v>
      </c>
      <c r="B42" s="3359"/>
      <c r="C42" s="262">
        <f ca="1">C32</f>
        <v>25234</v>
      </c>
      <c r="D42" s="315">
        <f ca="1">C33</f>
        <v>1545</v>
      </c>
      <c r="E42" s="315">
        <f ca="1">C34</f>
        <v>4635</v>
      </c>
      <c r="F42" s="316">
        <f ca="1">C35</f>
        <v>309</v>
      </c>
      <c r="G42" s="309"/>
      <c r="H42" s="309"/>
      <c r="I42" s="317"/>
      <c r="J42" s="2012"/>
      <c r="K42" s="1264" t="s">
        <v>361</v>
      </c>
      <c r="L42" s="2029" t="s">
        <v>362</v>
      </c>
      <c r="M42" s="1265" t="s">
        <v>363</v>
      </c>
      <c r="N42" s="2030" t="s">
        <v>364</v>
      </c>
      <c r="O42" s="2031" t="s">
        <v>365</v>
      </c>
      <c r="P42" s="2010"/>
      <c r="V42" s="2010"/>
    </row>
    <row r="43" spans="1:26" ht="30">
      <c r="A43" s="3369" t="s">
        <v>2729</v>
      </c>
      <c r="B43" s="3370"/>
      <c r="C43" s="262">
        <f>IF(H33="正常操作",G33+G34+G35,G34+G35)</f>
        <v>0</v>
      </c>
      <c r="D43" s="315" t="s">
        <v>43</v>
      </c>
      <c r="E43" s="315" t="s">
        <v>44</v>
      </c>
      <c r="F43" s="316" t="s">
        <v>44</v>
      </c>
      <c r="G43" s="2818" t="s">
        <v>951</v>
      </c>
      <c r="H43" s="309"/>
      <c r="I43" s="317"/>
      <c r="J43" s="2012"/>
      <c r="K43" s="1266" t="str">
        <f>C4</f>
        <v>比较法-住宅、综合</v>
      </c>
      <c r="L43" s="1267">
        <f ca="1">IF(L42="估价结果/万元",C19,C20)</f>
        <v>24305</v>
      </c>
      <c r="M43" s="1268">
        <f>C18</f>
        <v>0.5</v>
      </c>
      <c r="N43" s="1269">
        <f ca="1">IF(N42="测算结果/万元",G19,G20)</f>
        <v>25234</v>
      </c>
      <c r="O43" s="1270">
        <f ca="1">IF(O42="最终结果/万元",C32,C33)</f>
        <v>25234</v>
      </c>
      <c r="P43" s="2010"/>
      <c r="V43" s="2010"/>
    </row>
    <row r="44" spans="1:26" ht="30.75" thickBot="1">
      <c r="A44" s="3358" t="str">
        <f>IF(OR(项目基本情况!E8="抵押价格",项目基本情况!E8="已注销及未注销"),"3.抵押价格","——")</f>
        <v>3.抵押价格</v>
      </c>
      <c r="B44" s="3359"/>
      <c r="C44" s="262">
        <f ca="1">IF(A44="——","——",C42-C43)</f>
        <v>25234</v>
      </c>
      <c r="D44" s="315">
        <f ca="1">ROUND(C44*10000/'数据-汇总表'!E3,0)</f>
        <v>1545</v>
      </c>
      <c r="E44" s="315">
        <f ca="1">ROUND(C44*10000/'数据-汇总表'!D3,0)</f>
        <v>4635</v>
      </c>
      <c r="F44" s="316">
        <f ca="1">ROUND(C44/('数据-汇总表'!D3/666.67),0)</f>
        <v>309</v>
      </c>
      <c r="G44" s="309"/>
      <c r="H44" s="309"/>
      <c r="I44" s="317"/>
      <c r="J44" s="2012"/>
      <c r="K44" s="1271" t="str">
        <f>D4</f>
        <v>剩余法-待开发</v>
      </c>
      <c r="L44" s="1272">
        <f ca="1">IF(L42="估价结果/万元",D19,D20)</f>
        <v>26162</v>
      </c>
      <c r="M44" s="1273">
        <f>D18</f>
        <v>0.5</v>
      </c>
      <c r="N44" s="1274"/>
      <c r="O44" s="1275"/>
      <c r="P44" s="2010"/>
      <c r="V44" s="2010"/>
    </row>
    <row r="45" spans="1:26" ht="15">
      <c r="A45" s="3364" t="str">
        <f>IF(项目基本情况!E8="已注销及未注销","4.抵押担保权已注销时的抵押价格",IF(项目基本情况!E8="已注销","3.抵押担保权已注销时的抵押价格","——"))</f>
        <v>——</v>
      </c>
      <c r="B45" s="3365"/>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60" t="str">
        <f>IF(项目基本情况!E9="抵押净值",IF(A45="——","4.抵押净值","5.抵押净值"),"——")</f>
        <v>——</v>
      </c>
      <c r="B46" s="3361"/>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405" t="s">
        <v>374</v>
      </c>
      <c r="B63" s="3406"/>
      <c r="C63" s="3407"/>
      <c r="D63" s="339">
        <f ca="1">ROUND(C42*F63,0)</f>
        <v>15140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66" t="s">
        <v>378</v>
      </c>
      <c r="B64" s="3367"/>
      <c r="C64" s="3367"/>
      <c r="D64" s="3367"/>
      <c r="E64" s="3367"/>
      <c r="F64" s="3367"/>
      <c r="G64" s="3368"/>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5.5">
      <c r="A66" s="3362" t="s">
        <v>386</v>
      </c>
      <c r="B66" s="3363"/>
      <c r="C66" s="3363"/>
      <c r="D66" s="259">
        <f ca="1">IF(H66="情况1",0,IF(H66="情况2",D70,IF(H66="情况3",D71,IF(H66="情况4",D72))))</f>
        <v>793</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420" t="s">
        <v>385</v>
      </c>
      <c r="M66" s="3421"/>
      <c r="N66" s="2419"/>
      <c r="O66" s="2420"/>
      <c r="P66" s="2421"/>
      <c r="Q66" s="2010"/>
      <c r="R66" s="2010"/>
      <c r="S66" s="2010"/>
      <c r="T66" s="2010"/>
      <c r="U66" s="2010"/>
      <c r="V66" s="2010"/>
    </row>
    <row r="67" spans="1:22" ht="25.5" customHeight="1">
      <c r="A67" s="350" t="s">
        <v>390</v>
      </c>
      <c r="B67" s="3353" t="s">
        <v>391</v>
      </c>
      <c r="C67" s="3353"/>
      <c r="D67" s="351">
        <v>0</v>
      </c>
      <c r="E67" s="41" t="s">
        <v>392</v>
      </c>
      <c r="F67" s="62" t="s">
        <v>21</v>
      </c>
      <c r="G67" s="3408"/>
      <c r="H67" s="309"/>
      <c r="I67" s="1285"/>
      <c r="J67" s="2017"/>
      <c r="K67" s="1958">
        <v>2</v>
      </c>
      <c r="L67" s="3419" t="s">
        <v>389</v>
      </c>
      <c r="M67" s="3419"/>
      <c r="N67" s="1318">
        <f>'数据-取费表'!B2</f>
        <v>43691</v>
      </c>
      <c r="O67" s="1318"/>
      <c r="P67" s="1318"/>
      <c r="Q67" s="2010"/>
      <c r="R67" s="2010"/>
      <c r="S67" s="2010"/>
      <c r="T67" s="2010"/>
      <c r="U67" s="2010"/>
      <c r="V67" s="2010"/>
    </row>
    <row r="68" spans="1:22" ht="25.5" customHeight="1">
      <c r="A68" s="352"/>
      <c r="B68" s="3353" t="s">
        <v>394</v>
      </c>
      <c r="C68" s="3353"/>
      <c r="D68" s="353"/>
      <c r="E68" s="77"/>
      <c r="F68" s="354"/>
      <c r="G68" s="3409"/>
      <c r="H68" s="309"/>
      <c r="I68" s="1285"/>
      <c r="J68" s="2017"/>
      <c r="K68" s="1958">
        <v>3</v>
      </c>
      <c r="L68" s="3419" t="s">
        <v>393</v>
      </c>
      <c r="M68" s="3419"/>
      <c r="N68" s="1286">
        <f ca="1">C42</f>
        <v>25234</v>
      </c>
      <c r="O68" s="1286"/>
      <c r="P68" s="1286"/>
      <c r="Q68" s="2010"/>
      <c r="R68" s="2010"/>
      <c r="S68" s="2010"/>
      <c r="T68" s="2010"/>
      <c r="U68" s="2010"/>
      <c r="V68" s="2010"/>
    </row>
    <row r="69" spans="1:22" ht="12" customHeight="1">
      <c r="A69" s="355"/>
      <c r="B69" s="3353" t="s">
        <v>395</v>
      </c>
      <c r="C69" s="3353"/>
      <c r="D69" s="356"/>
      <c r="E69" s="73"/>
      <c r="F69" s="354"/>
      <c r="G69" s="3410"/>
      <c r="H69" s="309"/>
      <c r="I69" s="1285"/>
      <c r="J69" s="2017"/>
      <c r="K69" s="1287">
        <v>4</v>
      </c>
      <c r="L69" s="3424" t="s">
        <v>2882</v>
      </c>
      <c r="M69" s="3425"/>
      <c r="N69" s="1288">
        <f ca="1">C44</f>
        <v>25234</v>
      </c>
      <c r="O69" s="1288"/>
      <c r="P69" s="1288"/>
      <c r="Q69" s="2010"/>
      <c r="R69" s="2010"/>
      <c r="S69" s="2010"/>
      <c r="T69" s="2010"/>
      <c r="U69" s="2010"/>
      <c r="V69" s="2010"/>
    </row>
    <row r="70" spans="1:22" ht="24" customHeight="1">
      <c r="A70" s="357" t="s">
        <v>396</v>
      </c>
      <c r="B70" s="3353" t="s">
        <v>397</v>
      </c>
      <c r="C70" s="3353"/>
      <c r="D70" s="356">
        <f ca="1">ROUND(D63*'数据-取费表'!B41/(1+'数据-取费表'!C42),0)</f>
        <v>793</v>
      </c>
      <c r="E70" s="17" t="s">
        <v>398</v>
      </c>
      <c r="F70" s="358">
        <f>'数据-取费表'!B41</f>
        <v>5.5000000000000007E-2</v>
      </c>
      <c r="G70" s="359"/>
      <c r="H70" s="309"/>
      <c r="I70" s="1285"/>
      <c r="J70" s="2017"/>
      <c r="K70" s="3010"/>
      <c r="L70" s="3011"/>
      <c r="M70" s="3011"/>
      <c r="N70" s="3012" t="s">
        <v>2887</v>
      </c>
      <c r="O70" s="3011"/>
      <c r="P70" s="3013"/>
      <c r="Q70" s="2010"/>
      <c r="R70" s="2010"/>
      <c r="S70" s="2010"/>
      <c r="T70" s="2010"/>
      <c r="U70" s="2010"/>
      <c r="V70" s="2010"/>
    </row>
    <row r="71" spans="1:22" ht="12" customHeight="1">
      <c r="A71" s="357" t="s">
        <v>404</v>
      </c>
      <c r="B71" s="3354" t="s">
        <v>405</v>
      </c>
      <c r="C71" s="3355"/>
      <c r="D71" s="356">
        <f ca="1">ROUND(D63*'数据-取费表'!B41/(1+'数据-取费表'!C42),0)</f>
        <v>793</v>
      </c>
      <c r="E71" s="17" t="s">
        <v>398</v>
      </c>
      <c r="F71" s="358">
        <f>'数据-取费表'!B41</f>
        <v>5.5000000000000007E-2</v>
      </c>
      <c r="G71" s="359"/>
      <c r="H71" s="309"/>
      <c r="I71" s="1285"/>
      <c r="J71" s="2017"/>
      <c r="K71" s="3009" t="s">
        <v>399</v>
      </c>
      <c r="L71" s="3426" t="s">
        <v>400</v>
      </c>
      <c r="M71" s="3426"/>
      <c r="N71" s="3009" t="s">
        <v>401</v>
      </c>
      <c r="O71" s="3009" t="s">
        <v>402</v>
      </c>
      <c r="P71" s="3009" t="s">
        <v>403</v>
      </c>
      <c r="Q71" s="2010"/>
      <c r="R71" s="2010"/>
      <c r="S71" s="2010"/>
      <c r="T71" s="2010"/>
      <c r="U71" s="2010"/>
      <c r="V71" s="2010"/>
    </row>
    <row r="72" spans="1:22" ht="12" customHeight="1">
      <c r="A72" s="357" t="s">
        <v>407</v>
      </c>
      <c r="B72" s="3354" t="s">
        <v>408</v>
      </c>
      <c r="C72" s="3355"/>
      <c r="D72" s="356">
        <f ca="1">C86</f>
        <v>683</v>
      </c>
      <c r="E72" s="73" t="s">
        <v>409</v>
      </c>
      <c r="F72" s="358">
        <f>'数据-取费表'!B41</f>
        <v>5.5000000000000007E-2</v>
      </c>
      <c r="G72" s="359"/>
      <c r="H72" s="1291"/>
      <c r="I72" s="1285"/>
      <c r="J72" s="2017"/>
      <c r="K72" s="1958">
        <v>1</v>
      </c>
      <c r="L72" s="3401" t="s">
        <v>406</v>
      </c>
      <c r="M72" s="3401"/>
      <c r="N72" s="1289">
        <f ca="1">D66</f>
        <v>793</v>
      </c>
      <c r="O72" s="1841" t="str">
        <f>E66</f>
        <v>销售额×税（费）率</v>
      </c>
      <c r="P72" s="1290">
        <f>F66</f>
        <v>5.5000000000000007E-2</v>
      </c>
      <c r="Q72" s="2010"/>
      <c r="R72" s="2010"/>
      <c r="S72" s="2010"/>
      <c r="T72" s="2010"/>
      <c r="U72" s="2010"/>
      <c r="V72" s="2010"/>
    </row>
    <row r="73" spans="1:22" ht="24" customHeight="1">
      <c r="A73" s="3395" t="s">
        <v>411</v>
      </c>
      <c r="B73" s="3363"/>
      <c r="C73" s="3363"/>
      <c r="D73" s="360">
        <f>IF(H73="个人住宅",0,ROUND(D63*I73,0))</f>
        <v>0</v>
      </c>
      <c r="E73" s="17" t="s">
        <v>412</v>
      </c>
      <c r="F73" s="358" t="str">
        <f>IF(H73="正常",I73,"免征")</f>
        <v>免征</v>
      </c>
      <c r="G73" s="359"/>
      <c r="H73" s="191" t="s">
        <v>2454</v>
      </c>
      <c r="I73" s="358">
        <f>'数据-取费表'!B49</f>
        <v>5.0000000000000001E-4</v>
      </c>
      <c r="J73" s="2017"/>
      <c r="K73" s="1958">
        <v>2</v>
      </c>
      <c r="L73" s="3401" t="s">
        <v>410</v>
      </c>
      <c r="M73" s="3401"/>
      <c r="N73" s="1289">
        <f t="shared" ref="N73:P74" si="1">D73</f>
        <v>0</v>
      </c>
      <c r="O73" s="1841" t="str">
        <f t="shared" si="1"/>
        <v>销售额×税（费）率</v>
      </c>
      <c r="P73" s="1290" t="str">
        <f t="shared" si="1"/>
        <v>免征</v>
      </c>
      <c r="Q73" s="2010"/>
      <c r="R73" s="2010"/>
      <c r="S73" s="2010"/>
      <c r="T73" s="2010"/>
      <c r="U73" s="2010"/>
      <c r="V73" s="2010"/>
    </row>
    <row r="74" spans="1:22" ht="24.75">
      <c r="A74" s="3395" t="s">
        <v>415</v>
      </c>
      <c r="B74" s="3363"/>
      <c r="C74" s="3363"/>
      <c r="D74" s="360">
        <f ca="1">IF(H74="个人住宅",D75,D76)</f>
        <v>7923</v>
      </c>
      <c r="E74" s="17" t="s">
        <v>416</v>
      </c>
      <c r="F74" s="358" t="str">
        <f>IF(H74="正常",F76,"免征")</f>
        <v>——</v>
      </c>
      <c r="G74" s="980" t="s">
        <v>417</v>
      </c>
      <c r="H74" s="361" t="s">
        <v>413</v>
      </c>
      <c r="I74" s="42"/>
      <c r="J74" s="2017"/>
      <c r="K74" s="1958">
        <v>3</v>
      </c>
      <c r="L74" s="3401" t="s">
        <v>414</v>
      </c>
      <c r="M74" s="3401"/>
      <c r="N74" s="1289">
        <f t="shared" ca="1" si="1"/>
        <v>7923</v>
      </c>
      <c r="O74" s="1841" t="str">
        <f t="shared" si="1"/>
        <v>增值额×税（费）率</v>
      </c>
      <c r="P74" s="1292" t="str">
        <f t="shared" si="1"/>
        <v>——</v>
      </c>
      <c r="Q74" s="2010"/>
      <c r="R74" s="2010"/>
      <c r="S74" s="2010"/>
      <c r="T74" s="2010"/>
      <c r="U74" s="2010"/>
      <c r="V74" s="2010"/>
    </row>
    <row r="75" spans="1:22" ht="24">
      <c r="A75" s="357" t="s">
        <v>418</v>
      </c>
      <c r="B75" s="3351" t="s">
        <v>419</v>
      </c>
      <c r="C75" s="3381"/>
      <c r="D75" s="362">
        <v>0</v>
      </c>
      <c r="E75" s="41" t="s">
        <v>420</v>
      </c>
      <c r="F75" s="363"/>
      <c r="G75" s="359"/>
      <c r="H75" s="42"/>
      <c r="I75" s="42"/>
      <c r="J75" s="2017"/>
      <c r="K75" s="3002">
        <f>IF(H77="非个人房产","",4)</f>
        <v>4</v>
      </c>
      <c r="L75" s="3401" t="str">
        <f>IF(H77="非个人房产","——","个人所得税")</f>
        <v>个人所得税</v>
      </c>
      <c r="M75" s="3401"/>
      <c r="N75" s="1293">
        <f ca="1">D77</f>
        <v>151</v>
      </c>
      <c r="O75" s="1854" t="str">
        <f>E77</f>
        <v>销售额×税（费）率</v>
      </c>
      <c r="P75" s="1294">
        <f>F77</f>
        <v>0.01</v>
      </c>
      <c r="Q75" s="2010"/>
      <c r="R75" s="2010"/>
      <c r="S75" s="2010"/>
      <c r="T75" s="2010"/>
      <c r="U75" s="2010"/>
      <c r="V75" s="2010"/>
    </row>
    <row r="76" spans="1:22" ht="24.75">
      <c r="A76" s="357" t="s">
        <v>396</v>
      </c>
      <c r="B76" s="3351" t="s">
        <v>422</v>
      </c>
      <c r="C76" s="3352"/>
      <c r="D76" s="360">
        <f ca="1">IF(H76="转让取得",C99,C115)</f>
        <v>7923</v>
      </c>
      <c r="E76" s="17" t="s">
        <v>423</v>
      </c>
      <c r="F76" s="53" t="s">
        <v>21</v>
      </c>
      <c r="G76" s="359"/>
      <c r="H76" s="361" t="s">
        <v>424</v>
      </c>
      <c r="I76" s="42"/>
      <c r="J76" s="2017"/>
      <c r="K76" s="3002" t="str">
        <f>IF(项目基本情况!K6="上海银行",IF(K75="",4,K75+1),"")</f>
        <v/>
      </c>
      <c r="L76" s="3412" t="str">
        <f>IF(项目基本情况!K6="上海银行","其他处置费用","")</f>
        <v/>
      </c>
      <c r="M76" s="3413"/>
      <c r="N76" s="1289" t="str">
        <f>IF(项目基本情况!K6="上海银行",N89,"")</f>
        <v/>
      </c>
      <c r="O76" s="3414" t="str">
        <f>IF(项目基本情况!K6="上海银行","包含处置中涉及的律师、诉讼、拍卖、评估等费用","")</f>
        <v/>
      </c>
      <c r="P76" s="3415"/>
      <c r="Q76" s="2010"/>
      <c r="R76" s="2010"/>
      <c r="S76" s="2010"/>
      <c r="T76" s="2010"/>
      <c r="U76" s="2010"/>
      <c r="V76" s="2010"/>
    </row>
    <row r="77" spans="1:22" ht="26.25" thickBot="1">
      <c r="A77" s="3403" t="s">
        <v>426</v>
      </c>
      <c r="B77" s="3404"/>
      <c r="C77" s="3404"/>
      <c r="D77" s="364">
        <f ca="1">IF(H77="非个人房产","——",IF(H77="个人住宅",0,ROUND(D63*I77,0)))</f>
        <v>151</v>
      </c>
      <c r="E77" s="365" t="str">
        <f>IF(H77="非个人房产","——","销售额×税（费）率")</f>
        <v>销售额×税（费）率</v>
      </c>
      <c r="F77" s="366">
        <f>IF(H77="非个人房产","——",IF(H77="个人住宅","免征",I77))</f>
        <v>0.01</v>
      </c>
      <c r="G77" s="981" t="s">
        <v>417</v>
      </c>
      <c r="H77" s="361" t="s">
        <v>2883</v>
      </c>
      <c r="I77" s="367">
        <v>0.01</v>
      </c>
      <c r="J77" s="2017"/>
      <c r="K77" s="3402">
        <f>IF(AND(K75="",K76=""),4,IF(项目基本情况!K6="上海银行",K76+1,K75+1))</f>
        <v>5</v>
      </c>
      <c r="L77" s="3401" t="s">
        <v>2884</v>
      </c>
      <c r="M77" s="3008" t="s">
        <v>421</v>
      </c>
      <c r="N77" s="1295"/>
      <c r="O77" s="1296">
        <f ca="1">SUMIF(N72:N76,"&lt;9e307")</f>
        <v>8867</v>
      </c>
      <c r="P77" s="1297"/>
      <c r="Q77" s="3006">
        <f ca="1">O77/N69</f>
        <v>0.35139098042323846</v>
      </c>
      <c r="R77" s="2010"/>
      <c r="S77" s="2010"/>
      <c r="T77" s="2010"/>
      <c r="U77" s="2010"/>
      <c r="V77" s="2010"/>
    </row>
    <row r="78" spans="1:22" ht="12" customHeight="1">
      <c r="A78" s="1298"/>
      <c r="B78" s="309"/>
      <c r="C78" s="309"/>
      <c r="D78" s="309"/>
      <c r="E78" s="42"/>
      <c r="F78" s="42"/>
      <c r="G78" s="42"/>
      <c r="H78" s="1000"/>
      <c r="I78" s="309"/>
      <c r="J78" s="2017"/>
      <c r="K78" s="3402"/>
      <c r="L78" s="3401"/>
      <c r="M78" s="3008" t="s">
        <v>425</v>
      </c>
      <c r="N78" s="1295"/>
      <c r="O78" s="1296" t="str">
        <f ca="1">NUMBERSTRING(INT(O77*10000),2)&amp;"元整"</f>
        <v>捌仟捌佰陆拾柒万元整</v>
      </c>
      <c r="P78" s="1297"/>
      <c r="Q78" s="2010"/>
      <c r="R78" s="2010"/>
      <c r="S78" s="2010"/>
      <c r="T78" s="2010"/>
      <c r="U78" s="2010"/>
      <c r="V78" s="2010"/>
    </row>
    <row r="79" spans="1:22" ht="13.5" thickBot="1">
      <c r="A79" s="3396" t="s">
        <v>427</v>
      </c>
      <c r="B79" s="3396"/>
      <c r="C79" s="3396"/>
      <c r="D79" s="3396"/>
      <c r="E79" s="3396"/>
      <c r="F79" s="42"/>
      <c r="G79" s="42"/>
      <c r="H79" s="1000"/>
      <c r="I79" s="309"/>
      <c r="J79" s="2017"/>
      <c r="K79" s="3422">
        <f>K77+1</f>
        <v>6</v>
      </c>
      <c r="L79" s="3401" t="s">
        <v>2885</v>
      </c>
      <c r="M79" s="3008" t="s">
        <v>421</v>
      </c>
      <c r="N79" s="1295"/>
      <c r="O79" s="1296">
        <f ca="1">N69-O77</f>
        <v>16367</v>
      </c>
      <c r="P79" s="1297"/>
      <c r="Q79" s="2010"/>
      <c r="R79" s="2010"/>
      <c r="S79" s="2010"/>
      <c r="T79" s="2010"/>
      <c r="U79" s="2010"/>
      <c r="V79" s="2010"/>
    </row>
    <row r="80" spans="1:22" ht="25.5">
      <c r="A80" s="3391" t="s">
        <v>428</v>
      </c>
      <c r="B80" s="3392"/>
      <c r="C80" s="991"/>
      <c r="D80" s="991" t="s">
        <v>429</v>
      </c>
      <c r="E80" s="368" t="s">
        <v>430</v>
      </c>
      <c r="F80" s="42"/>
      <c r="G80" s="42"/>
      <c r="H80" s="1000"/>
      <c r="I80" s="309"/>
      <c r="J80" s="2010"/>
      <c r="K80" s="3423"/>
      <c r="L80" s="3401"/>
      <c r="M80" s="3008" t="s">
        <v>425</v>
      </c>
      <c r="N80" s="1295"/>
      <c r="O80" s="1296" t="str">
        <f ca="1">NUMBERSTRING(INT(O79*10000),2)&amp;"元整"</f>
        <v>壹亿陆仟叁佰陆拾柒万元整</v>
      </c>
      <c r="P80" s="1297"/>
      <c r="Q80" s="2010"/>
      <c r="R80" s="2010"/>
      <c r="S80" s="2010"/>
      <c r="T80" s="2010"/>
      <c r="U80" s="2010"/>
      <c r="V80" s="2010"/>
    </row>
    <row r="81" spans="1:26" ht="13.5" thickBot="1">
      <c r="A81" s="379" t="s">
        <v>1822</v>
      </c>
      <c r="B81" s="369" t="s">
        <v>431</v>
      </c>
      <c r="C81" s="370">
        <f ca="1">ROUND((C82+C83)/(1+'数据-取费表'!C42),0)</f>
        <v>14419</v>
      </c>
      <c r="D81" s="371"/>
      <c r="E81" s="372"/>
      <c r="F81" s="42"/>
      <c r="G81" s="42"/>
      <c r="H81" s="1000"/>
      <c r="I81" s="309"/>
      <c r="J81" s="2010"/>
      <c r="K81" s="3002">
        <f>K79+1</f>
        <v>7</v>
      </c>
      <c r="L81" s="3399" t="s">
        <v>2886</v>
      </c>
      <c r="M81" s="3400"/>
      <c r="N81" s="1299"/>
      <c r="O81" s="1300">
        <f ca="1">ROUND(O79*10000/'数据-汇总表'!E3,0)</f>
        <v>1002</v>
      </c>
      <c r="P81" s="1301"/>
      <c r="Q81" s="2010"/>
      <c r="R81" s="2010"/>
      <c r="S81" s="2010"/>
      <c r="T81" s="2010"/>
      <c r="U81" s="2010"/>
      <c r="V81" s="2010"/>
    </row>
    <row r="82" spans="1:26" ht="13.5" thickTop="1">
      <c r="A82" s="373" t="s">
        <v>1823</v>
      </c>
      <c r="B82" s="374" t="s">
        <v>432</v>
      </c>
      <c r="C82" s="375">
        <f ca="1">D63</f>
        <v>15140</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2"/>
      <c r="G83" s="42"/>
      <c r="H83" s="1000"/>
      <c r="I83" s="309"/>
      <c r="J83" s="2010"/>
      <c r="K83" s="3411" t="s">
        <v>2873</v>
      </c>
      <c r="L83" s="3014" t="s">
        <v>2874</v>
      </c>
      <c r="M83" s="3004">
        <f ca="1">IF(N69&gt;10000,N69*0.5%,IF(AND(N69&gt;1000,N69&lt;=10000),N69*1%,IF(AND(N69&gt;100,N69&lt;=1000),N69*3%,IF(AND(N69&gt;10,N69&lt;=100),N69*5%,N69*8%))))</f>
        <v>126.17</v>
      </c>
      <c r="N83" s="53">
        <f ca="1">ROUND(M83,1)</f>
        <v>126.2</v>
      </c>
      <c r="O83" s="3007"/>
      <c r="P83" s="2010"/>
      <c r="Q83" s="2010"/>
      <c r="R83" s="2010"/>
      <c r="S83" s="2010"/>
      <c r="T83" s="2010"/>
      <c r="U83" s="2010"/>
      <c r="V83" s="2010"/>
    </row>
    <row r="84" spans="1:26" ht="12.75">
      <c r="A84" s="379" t="s">
        <v>1825</v>
      </c>
      <c r="B84" s="380" t="s">
        <v>434</v>
      </c>
      <c r="C84" s="381">
        <v>2000</v>
      </c>
      <c r="D84" s="382" t="s">
        <v>19</v>
      </c>
      <c r="E84" s="3049" t="s">
        <v>2938</v>
      </c>
      <c r="F84" s="42"/>
      <c r="G84" s="42"/>
      <c r="H84" s="1000"/>
      <c r="I84" s="309"/>
      <c r="J84" s="2010"/>
      <c r="K84" s="3411"/>
      <c r="L84" s="3014" t="s">
        <v>2875</v>
      </c>
      <c r="M84" s="3004">
        <f ca="1">IF(N69&gt;2000,N69*0.5%,IF(AND(N69&gt;1000,N69&lt;=2000),N69*0.6%,IF(AND(N69&gt;500,N69&lt;=1000),N69*0.7%,IF(AND(N69&gt;200,N69&lt;=500),N69*0.8%,IF(AND(N69&gt;100,N69&lt;=200),N69*0.9%,IF(AND(N69&gt;50,N69&lt;=100),N69*1%,IF(AND(N69&gt;20,N69&lt;=50),N69*1.5%,IF(AND(N69&gt;10,N69&lt;=20),N69*2%,IF(AND(N69&gt;1,N69&lt;=10),N69*2.5%)))))))))</f>
        <v>126.17</v>
      </c>
      <c r="N84" s="53">
        <f t="shared" ref="N84:N85" ca="1" si="2">ROUND(M84,1)</f>
        <v>126.2</v>
      </c>
      <c r="O84" s="2010" t="s">
        <v>2876</v>
      </c>
      <c r="P84" s="2010"/>
      <c r="Q84" s="2010"/>
      <c r="R84" s="2010"/>
      <c r="S84" s="2010"/>
      <c r="T84" s="2010"/>
      <c r="U84" s="2010"/>
      <c r="V84" s="2010"/>
    </row>
    <row r="85" spans="1:26" ht="12.75">
      <c r="A85" s="379" t="s">
        <v>1826</v>
      </c>
      <c r="B85" s="380" t="s">
        <v>435</v>
      </c>
      <c r="C85" s="383">
        <f ca="1">C81-C84</f>
        <v>12419</v>
      </c>
      <c r="D85" s="376" t="s">
        <v>19</v>
      </c>
      <c r="E85" s="377"/>
      <c r="F85" s="42"/>
      <c r="G85" s="42"/>
      <c r="H85" s="1000"/>
      <c r="I85" s="309"/>
      <c r="J85" s="2010"/>
      <c r="K85" s="3411"/>
      <c r="L85" s="3014" t="s">
        <v>2877</v>
      </c>
      <c r="M85" s="3004">
        <f ca="1">IF(N69&gt;1000,N69*0.1%,IF(AND(N69&gt;500,N69&lt;=1000),N69*0.5%,IF(AND(N69&gt;50,N69&lt;=500),N69*1%,IF(AND(N69&gt;1,N69&lt;=50),N69*1.5%))))</f>
        <v>25.234000000000002</v>
      </c>
      <c r="N85" s="53">
        <f t="shared" ca="1" si="2"/>
        <v>25.2</v>
      </c>
      <c r="O85" s="2010" t="s">
        <v>2876</v>
      </c>
      <c r="P85" s="2010"/>
      <c r="Q85" s="2010"/>
      <c r="R85" s="2010"/>
      <c r="S85" s="2010"/>
      <c r="T85" s="2010"/>
      <c r="U85" s="2010"/>
      <c r="V85" s="2010"/>
    </row>
    <row r="86" spans="1:26" ht="13.5" thickBot="1">
      <c r="A86" s="384" t="s">
        <v>1827</v>
      </c>
      <c r="B86" s="385" t="s">
        <v>436</v>
      </c>
      <c r="C86" s="386">
        <f ca="1">IF(C85&lt;=0,0,ROUND(C85*D86,0))</f>
        <v>683</v>
      </c>
      <c r="D86" s="387">
        <f>'数据-取费表'!B41</f>
        <v>5.5000000000000007E-2</v>
      </c>
      <c r="E86" s="388"/>
      <c r="F86" s="42"/>
      <c r="G86" s="42"/>
      <c r="H86" s="1000"/>
      <c r="I86" s="309"/>
      <c r="J86" s="2010"/>
      <c r="K86" s="3411"/>
      <c r="L86" s="3014" t="s">
        <v>2878</v>
      </c>
      <c r="M86" s="3004">
        <f ca="1">N69*0.5%</f>
        <v>126.17</v>
      </c>
      <c r="N86" s="53">
        <f ca="1">IF(M86&gt;0.5,0.5,ROUND(M86,0))</f>
        <v>0.5</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411"/>
      <c r="L87" s="3014" t="s">
        <v>2880</v>
      </c>
      <c r="M87" s="3004">
        <f ca="1">IF(N69&gt;=10000,(8.25+(N69-10000)*0.01%),IF(AND(N69&gt;=8000,N69&lt;10000),(7.85+(N69-8000)*0.02%),IF(AND(N69&gt;=5000,N69&lt;8000),(6.65+(N69-5000)*0.04%),IF(AND(N69&gt;=2000,N69&lt;5000),(4.25+(PN69-2000)*0.08%),IF(AND(N69&gt;=1000,N69&lt;2000),(2.75+(N69-1000)*0.15%),IF(AND(N69&gt;=100,N69&lt;1000),(0.5+(N69-100)*0.25%),IF(AND(N69&gt;0,N69&lt;100),N69*0.5%)))))))</f>
        <v>9.7734000000000005</v>
      </c>
      <c r="N87" s="53">
        <f ca="1">ROUND(M87*0.9,1)</f>
        <v>8.8000000000000007</v>
      </c>
      <c r="O87" s="3007"/>
      <c r="P87" s="309"/>
      <c r="Q87" s="2010"/>
      <c r="R87" s="2010"/>
      <c r="S87" s="2010"/>
      <c r="T87" s="2010"/>
      <c r="U87" s="2010"/>
      <c r="V87" s="2010"/>
      <c r="W87" s="290"/>
      <c r="X87" s="290"/>
      <c r="Y87" s="290"/>
      <c r="Z87" s="290"/>
    </row>
    <row r="88" spans="1:26" s="1307" customFormat="1" ht="15" thickBot="1">
      <c r="A88" s="3393" t="s">
        <v>437</v>
      </c>
      <c r="B88" s="3394"/>
      <c r="C88" s="3394"/>
      <c r="D88" s="3394"/>
      <c r="E88" s="3394"/>
      <c r="F88" s="3394"/>
      <c r="G88" s="3394"/>
      <c r="H88" s="3394"/>
      <c r="I88" s="1308"/>
      <c r="J88" s="2018"/>
      <c r="K88" s="3411"/>
      <c r="L88" s="3014" t="s">
        <v>2881</v>
      </c>
      <c r="M88" s="3004">
        <f ca="1">IF(N69&gt;10000,N69*0.5%,IF(AND(N69&gt;5000,N69&lt;=10000),N69*1%,IF(AND(N69&gt;1000,N69&lt;=5000),N69*2%,IF(AND(N69&gt;200,N69&lt;=1000),N69*3%,N69*5%))))</f>
        <v>126.17</v>
      </c>
      <c r="N88" s="53">
        <f ca="1">ROUND(M88,1)</f>
        <v>126.2</v>
      </c>
      <c r="O88" s="3007"/>
      <c r="P88" s="11"/>
      <c r="Q88" s="2015"/>
      <c r="R88" s="2015"/>
      <c r="S88" s="2015"/>
      <c r="T88" s="2015"/>
      <c r="U88" s="2015"/>
      <c r="V88" s="2015"/>
      <c r="W88" s="2019"/>
      <c r="X88" s="2019"/>
      <c r="Y88" s="2019"/>
      <c r="Z88" s="2019"/>
    </row>
    <row r="89" spans="1:26" s="1307" customFormat="1" ht="14.25">
      <c r="A89" s="3391" t="s">
        <v>428</v>
      </c>
      <c r="B89" s="3392"/>
      <c r="C89" s="991"/>
      <c r="D89" s="991" t="s">
        <v>429</v>
      </c>
      <c r="E89" s="389" t="s">
        <v>438</v>
      </c>
      <c r="F89" s="390"/>
      <c r="G89" s="390"/>
      <c r="H89" s="391"/>
      <c r="I89" s="1309"/>
      <c r="J89" s="2020"/>
      <c r="K89" s="3411"/>
      <c r="L89" s="3014" t="s">
        <v>27</v>
      </c>
      <c r="M89" s="3005"/>
      <c r="N89" s="53">
        <f ca="1">ROUND(SUM(N83:N88),0)</f>
        <v>413</v>
      </c>
      <c r="O89" s="3015">
        <f ca="1">N89/N69</f>
        <v>1.6366806689387333E-2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14419</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2653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2581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54" t="s">
        <v>447</v>
      </c>
      <c r="F94" s="3353"/>
      <c r="G94" s="3353"/>
      <c r="H94" s="3390"/>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81</v>
      </c>
      <c r="D95" s="400">
        <f>'数据-取费表'!B48+'数据-取费表'!B49</f>
        <v>4.0500000000000001E-2</v>
      </c>
      <c r="E95" s="26" t="s">
        <v>449</v>
      </c>
      <c r="F95" s="401"/>
      <c r="G95" s="402" t="s">
        <v>2428</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72</v>
      </c>
      <c r="D96" s="404">
        <f>'数据-取费表'!B43</f>
        <v>5.000000000000001E-3</v>
      </c>
      <c r="E96" s="3382" t="s">
        <v>2427</v>
      </c>
      <c r="F96" s="3383"/>
      <c r="G96" s="3383"/>
      <c r="H96" s="3384"/>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11766</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4.4349792687523557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6131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93" t="s">
        <v>454</v>
      </c>
      <c r="B101" s="3394"/>
      <c r="C101" s="3394"/>
      <c r="D101" s="3394"/>
      <c r="E101" s="3394"/>
      <c r="F101" s="3394"/>
      <c r="G101" s="3394"/>
      <c r="H101" s="3394"/>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91" t="s">
        <v>428</v>
      </c>
      <c r="B102" s="3392"/>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14419</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767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577</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2438</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22</v>
      </c>
      <c r="D107" s="404">
        <f>'数据-取费表'!B48+'数据-取费表'!B49</f>
        <v>4.0500000000000001E-2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85" t="s">
        <v>462</v>
      </c>
      <c r="F109" s="3383"/>
      <c r="G109" s="3383"/>
      <c r="H109" s="1923" t="s">
        <v>2278</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85" t="s">
        <v>464</v>
      </c>
      <c r="F110" s="3383"/>
      <c r="G110" s="3383"/>
      <c r="H110" s="3384"/>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72</v>
      </c>
      <c r="D111" s="404">
        <f>'数据-取费表'!B43</f>
        <v>5.000000000000001E-3</v>
      </c>
      <c r="E111" s="3382" t="s">
        <v>2427</v>
      </c>
      <c r="F111" s="3383"/>
      <c r="G111" s="3383"/>
      <c r="H111" s="3384"/>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85" t="s">
        <v>2452</v>
      </c>
      <c r="F112" s="3383"/>
      <c r="G112" s="3383"/>
      <c r="H112" s="3384"/>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13652</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17.79921773142112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7923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2651</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35934</v>
      </c>
      <c r="D13" s="449"/>
      <c r="E13" s="363"/>
      <c r="F13" s="450"/>
      <c r="G13" s="442"/>
      <c r="H13" s="445"/>
      <c r="I13" s="445"/>
      <c r="J13" s="445"/>
      <c r="K13" s="446"/>
    </row>
    <row r="14" spans="1:41" s="2098" customFormat="1" ht="13.5" customHeight="1">
      <c r="A14" s="1615" t="s">
        <v>1848</v>
      </c>
      <c r="B14" s="447" t="s">
        <v>480</v>
      </c>
      <c r="C14" s="53">
        <f ca="1">ROUND(C13*F14,0)</f>
        <v>1797</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5" t="s">
        <v>1850</v>
      </c>
      <c r="B16" s="447" t="s">
        <v>484</v>
      </c>
      <c r="C16" s="53">
        <f ca="1">ROUND(D16*E16/10000,0)</f>
        <v>3267</v>
      </c>
      <c r="D16" s="449">
        <f ca="1">IF(B1="",'数据-汇总表'!E3,INDIRECT("'数据-取费表'!K"&amp;$K$1)+INDIRECT("'数据-取费表'!S"&amp;$K$1))</f>
        <v>163338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539</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41537</v>
      </c>
      <c r="D18" s="459"/>
      <c r="E18" s="460"/>
      <c r="F18" s="460"/>
      <c r="G18" s="1320" t="s">
        <v>2431</v>
      </c>
      <c r="H18" s="445"/>
      <c r="I18" s="445"/>
      <c r="J18" s="445"/>
      <c r="K18" s="446"/>
    </row>
    <row r="19" spans="1:14" s="2101" customFormat="1" ht="13.5" customHeight="1">
      <c r="A19" s="1616" t="s">
        <v>1853</v>
      </c>
      <c r="B19" s="457" t="s">
        <v>493</v>
      </c>
      <c r="C19" s="458">
        <f ca="1">ROUND(C18*F19,0)</f>
        <v>831</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9">
        <f>F20</f>
        <v>2.5000000000000001E-2</v>
      </c>
      <c r="D20" s="467" t="s">
        <v>505</v>
      </c>
      <c r="E20" s="467"/>
      <c r="F20" s="484">
        <f>'数据-取费表'!B38</f>
        <v>2.5000000000000001E-2</v>
      </c>
      <c r="G20" s="1320" t="s">
        <v>506</v>
      </c>
      <c r="H20" s="445"/>
      <c r="I20" s="445"/>
      <c r="J20" s="445"/>
      <c r="K20" s="446"/>
      <c r="L20" s="2103"/>
      <c r="M20" s="2103"/>
      <c r="N20" s="2103"/>
    </row>
    <row r="21" spans="1:14" s="2103" customFormat="1" ht="13.5" customHeight="1">
      <c r="A21" s="1616" t="s">
        <v>1857</v>
      </c>
      <c r="B21" s="459" t="s">
        <v>494</v>
      </c>
      <c r="C21" s="468">
        <f ca="1">C22</f>
        <v>3054</v>
      </c>
      <c r="D21" s="465">
        <f ca="1">C23</f>
        <v>1.8E-3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2453</v>
      </c>
    </row>
    <row r="22" spans="1:14" s="2102" customFormat="1" ht="13.5" customHeight="1">
      <c r="A22" s="1615" t="s">
        <v>1847</v>
      </c>
      <c r="B22" s="1321" t="s">
        <v>2434</v>
      </c>
      <c r="C22" s="485">
        <f ca="1">ROUND(IF('数据-取费表'!B22&lt;=1,(C18+C19)*F21*'数据-取费表'!B20/2,(C18+C19)*(POWER((1+F21),'数据-取费表'!B20/2)-1)),0)</f>
        <v>3054</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1" t="s">
        <v>2831</v>
      </c>
      <c r="C24" s="476">
        <f ca="1">C25</f>
        <v>8474</v>
      </c>
      <c r="D24" s="487">
        <f ca="1">C26</f>
        <v>5.0000000000000001E-3</v>
      </c>
      <c r="E24" s="467" t="s">
        <v>507</v>
      </c>
      <c r="F24" s="477">
        <f ca="1">IF(B1="",'数据-取费表'!Q16,INDIRECT("'数据-取费表'!q"&amp;$K$1))</f>
        <v>0.2</v>
      </c>
      <c r="G24" s="442"/>
      <c r="H24" s="445"/>
      <c r="I24" s="445"/>
      <c r="J24" s="445"/>
      <c r="K24" s="446"/>
    </row>
    <row r="25" spans="1:14" s="2102" customFormat="1" ht="13.5" customHeight="1">
      <c r="A25" s="1615" t="s">
        <v>1847</v>
      </c>
      <c r="B25" s="1321" t="s">
        <v>2435</v>
      </c>
      <c r="C25" s="488">
        <f ca="1">ROUND((C18+C19)*F24,0)</f>
        <v>8474</v>
      </c>
      <c r="D25" s="470"/>
      <c r="E25" s="471"/>
      <c r="F25" s="478"/>
      <c r="G25" s="1319" t="s">
        <v>2432</v>
      </c>
      <c r="H25" s="455"/>
      <c r="I25" s="455"/>
      <c r="J25" s="455"/>
      <c r="K25" s="456"/>
    </row>
    <row r="26" spans="1:14" s="2102" customFormat="1" ht="13.5" customHeight="1">
      <c r="A26" s="1615" t="s">
        <v>1848</v>
      </c>
      <c r="B26" s="1321" t="s">
        <v>509</v>
      </c>
      <c r="C26" s="489">
        <f ca="1">ROUND(F20*F24,4)</f>
        <v>5.0000000000000001E-3</v>
      </c>
      <c r="D26" s="470"/>
      <c r="E26" s="479"/>
      <c r="F26" s="478"/>
      <c r="G26" s="1319" t="s">
        <v>510</v>
      </c>
      <c r="H26" s="455"/>
      <c r="I26" s="455"/>
      <c r="J26" s="455"/>
      <c r="K26" s="456"/>
    </row>
    <row r="27" spans="1:14" s="2102" customFormat="1" ht="13.5" customHeight="1">
      <c r="A27" s="1619" t="s">
        <v>1866</v>
      </c>
      <c r="B27" s="457" t="s">
        <v>511</v>
      </c>
      <c r="C27" s="2980">
        <f>ROUND(F27/(1+'数据-取费表'!C42),4)</f>
        <v>5.2400000000000002E-2</v>
      </c>
      <c r="D27" s="460" t="s">
        <v>2829</v>
      </c>
      <c r="E27" s="460"/>
      <c r="F27" s="464">
        <f>'数据-取费表'!B41</f>
        <v>5.5000000000000007E-2</v>
      </c>
      <c r="G27" s="1942" t="s">
        <v>2290</v>
      </c>
      <c r="H27" s="445"/>
      <c r="I27" s="445"/>
      <c r="J27" s="445"/>
      <c r="K27" s="446"/>
    </row>
    <row r="28" spans="1:14" s="2103" customFormat="1" ht="13.5" customHeight="1">
      <c r="A28" s="1619" t="s">
        <v>1867</v>
      </c>
      <c r="B28" s="474" t="s">
        <v>512</v>
      </c>
      <c r="C28" s="468">
        <f ca="1">ROUND((C18+C19+C21+C24)/(1-C20-D21-D24-C27),0)</f>
        <v>58851</v>
      </c>
      <c r="D28" s="475"/>
      <c r="E28" s="467"/>
      <c r="F28" s="469"/>
      <c r="G28" s="1320" t="s">
        <v>2433</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L41" sqref="L41"/>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24305</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1488</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4464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298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36" t="s">
        <v>522</v>
      </c>
      <c r="D6" s="3437"/>
      <c r="E6" s="3436" t="s">
        <v>523</v>
      </c>
      <c r="F6" s="3437"/>
      <c r="G6" s="3436" t="s">
        <v>524</v>
      </c>
      <c r="H6" s="3437"/>
      <c r="I6" s="3436" t="s">
        <v>525</v>
      </c>
      <c r="J6" s="3437"/>
      <c r="K6" s="512" t="s">
        <v>526</v>
      </c>
      <c r="L6" s="2115"/>
      <c r="M6" s="2114"/>
      <c r="N6" s="2114"/>
      <c r="O6" s="2116"/>
      <c r="P6" s="3438" t="s">
        <v>527</v>
      </c>
      <c r="Q6" s="3439"/>
      <c r="R6" s="3444" t="s">
        <v>523</v>
      </c>
      <c r="S6" s="3445"/>
      <c r="T6" s="3444" t="s">
        <v>524</v>
      </c>
      <c r="U6" s="3445"/>
      <c r="V6" s="3431" t="s">
        <v>525</v>
      </c>
      <c r="W6" s="3431"/>
      <c r="X6" s="1550"/>
      <c r="Y6" s="3444" t="s">
        <v>527</v>
      </c>
      <c r="Z6" s="3445"/>
      <c r="AA6" s="3433" t="s">
        <v>523</v>
      </c>
      <c r="AB6" s="3434" t="s">
        <v>524</v>
      </c>
      <c r="AC6" s="3433" t="s">
        <v>525</v>
      </c>
    </row>
    <row r="7" spans="1:30" ht="20.25">
      <c r="A7" s="513"/>
      <c r="B7" s="514"/>
      <c r="C7" s="3454" t="s">
        <v>2927</v>
      </c>
      <c r="D7" s="3453"/>
      <c r="E7" s="3452" t="s">
        <v>3069</v>
      </c>
      <c r="F7" s="3453"/>
      <c r="G7" s="3452" t="s">
        <v>3070</v>
      </c>
      <c r="H7" s="3453"/>
      <c r="I7" s="3452" t="s">
        <v>3071</v>
      </c>
      <c r="J7" s="3453"/>
      <c r="K7" s="512"/>
      <c r="L7" s="2115"/>
      <c r="M7" s="2114"/>
      <c r="N7" s="2114"/>
      <c r="O7" s="2116"/>
      <c r="P7" s="3440"/>
      <c r="Q7" s="3441"/>
      <c r="R7" s="3446"/>
      <c r="S7" s="3447"/>
      <c r="T7" s="3446"/>
      <c r="U7" s="3447"/>
      <c r="V7" s="3431"/>
      <c r="W7" s="3431"/>
      <c r="X7" s="1550"/>
      <c r="Y7" s="3446"/>
      <c r="Z7" s="3447"/>
      <c r="AA7" s="3434"/>
      <c r="AB7" s="3434"/>
      <c r="AC7" s="3434"/>
    </row>
    <row r="8" spans="1:30" ht="21" thickBot="1">
      <c r="A8" s="513"/>
      <c r="B8" s="514"/>
      <c r="C8" s="3455" t="s">
        <v>2931</v>
      </c>
      <c r="D8" s="3456"/>
      <c r="E8" s="3455" t="s">
        <v>2931</v>
      </c>
      <c r="F8" s="3456"/>
      <c r="G8" s="3450" t="s">
        <v>2931</v>
      </c>
      <c r="H8" s="3451"/>
      <c r="I8" s="3450" t="s">
        <v>2931</v>
      </c>
      <c r="J8" s="3451"/>
      <c r="K8" s="512" t="s">
        <v>528</v>
      </c>
      <c r="L8" s="2115"/>
      <c r="M8" s="2114"/>
      <c r="N8" s="2114"/>
      <c r="O8" s="2116"/>
      <c r="P8" s="3442"/>
      <c r="Q8" s="3443"/>
      <c r="R8" s="3446"/>
      <c r="S8" s="3447"/>
      <c r="T8" s="3448"/>
      <c r="U8" s="3449"/>
      <c r="V8" s="3431"/>
      <c r="W8" s="3431"/>
      <c r="X8" s="1550"/>
      <c r="Y8" s="3448"/>
      <c r="Z8" s="3449"/>
      <c r="AA8" s="3435"/>
      <c r="AB8" s="3435"/>
      <c r="AC8" s="3435"/>
    </row>
    <row r="9" spans="1:30" s="1213" customFormat="1" ht="21" thickBot="1">
      <c r="A9" s="2864"/>
      <c r="B9" s="2871" t="s">
        <v>529</v>
      </c>
      <c r="C9" s="2863">
        <f>'数据-取费表'!B2</f>
        <v>43691</v>
      </c>
      <c r="D9" s="518">
        <v>100</v>
      </c>
      <c r="E9" s="519">
        <v>43436</v>
      </c>
      <c r="F9" s="520">
        <f>SUMIF(72:72,YEAR(E9)&amp;"-"&amp;INT((MONTH(E9)+2)/3),73:73)</f>
        <v>99</v>
      </c>
      <c r="G9" s="521">
        <v>43070</v>
      </c>
      <c r="H9" s="518">
        <f>SUMIF(72:72,YEAR(G9)&amp;"-"&amp;INT((MONTH(G9)+2)/3),73:73)</f>
        <v>98</v>
      </c>
      <c r="I9" s="521">
        <v>43070</v>
      </c>
      <c r="J9" s="518">
        <f>SUMIF(72:72,YEAR(I9)&amp;"-"&amp;INT((MONTH(I9)+2)/3),73:73)</f>
        <v>98</v>
      </c>
      <c r="K9" s="522"/>
      <c r="L9" s="2117"/>
      <c r="M9" s="2114"/>
      <c r="N9" s="2114"/>
      <c r="O9" s="2118"/>
      <c r="P9" s="3462" t="s">
        <v>530</v>
      </c>
      <c r="Q9" s="3464"/>
      <c r="R9" s="1551" t="s">
        <v>8</v>
      </c>
      <c r="S9" s="1552">
        <f t="shared" ref="S9:S17" si="0">F9</f>
        <v>99</v>
      </c>
      <c r="T9" s="1551" t="s">
        <v>8</v>
      </c>
      <c r="U9" s="1552">
        <f t="shared" ref="U9:U17" si="1">H9</f>
        <v>98</v>
      </c>
      <c r="V9" s="1551" t="s">
        <v>8</v>
      </c>
      <c r="W9" s="1552">
        <f t="shared" ref="W9:W17" si="2">J9</f>
        <v>98</v>
      </c>
      <c r="X9" s="1553"/>
      <c r="Y9" s="3462" t="s">
        <v>530</v>
      </c>
      <c r="Z9" s="3463"/>
      <c r="AA9" s="1554">
        <f>D9/F9</f>
        <v>1.0101010101010102</v>
      </c>
      <c r="AB9" s="1554">
        <f>D9/H9</f>
        <v>1.0204081632653061</v>
      </c>
      <c r="AC9" s="1554">
        <f>D9/J9</f>
        <v>1.0204081632653061</v>
      </c>
    </row>
    <row r="10" spans="1:30" s="1213" customFormat="1" ht="21" thickBot="1">
      <c r="A10" s="2865"/>
      <c r="B10" s="287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7"/>
      <c r="M10" s="2114"/>
      <c r="N10" s="2114"/>
      <c r="O10" s="2118"/>
      <c r="P10" s="3462" t="s">
        <v>533</v>
      </c>
      <c r="Q10" s="3463"/>
      <c r="R10" s="1551" t="s">
        <v>8</v>
      </c>
      <c r="S10" s="1552">
        <f t="shared" si="0"/>
        <v>100</v>
      </c>
      <c r="T10" s="1551" t="s">
        <v>8</v>
      </c>
      <c r="U10" s="1552">
        <f t="shared" si="1"/>
        <v>100</v>
      </c>
      <c r="V10" s="1551" t="s">
        <v>8</v>
      </c>
      <c r="W10" s="1552">
        <f t="shared" si="2"/>
        <v>100</v>
      </c>
      <c r="X10" s="1553"/>
      <c r="Y10" s="3462" t="s">
        <v>533</v>
      </c>
      <c r="Z10" s="3463"/>
      <c r="AA10" s="1554">
        <f t="shared" ref="AA10:AA47" si="3">D10/F10</f>
        <v>1</v>
      </c>
      <c r="AB10" s="1554">
        <f t="shared" ref="AB10:AB47" si="4">D10/H10</f>
        <v>1</v>
      </c>
      <c r="AC10" s="1554">
        <f t="shared" ref="AC10:AC47" si="5">D10/J10</f>
        <v>1</v>
      </c>
    </row>
    <row r="11" spans="1:30" s="1213" customFormat="1" ht="20.25">
      <c r="A11" s="2866"/>
      <c r="B11" s="2873" t="s">
        <v>2755</v>
      </c>
      <c r="C11" s="2860" t="s">
        <v>3096</v>
      </c>
      <c r="D11" s="252">
        <v>100</v>
      </c>
      <c r="E11" s="2860" t="s">
        <v>3096</v>
      </c>
      <c r="F11" s="252">
        <f>SUMIF(77:77,E11,78:78)-SUMIF(77:77,C11,78:78)+100</f>
        <v>100</v>
      </c>
      <c r="G11" s="2860" t="s">
        <v>3096</v>
      </c>
      <c r="H11" s="252">
        <f>SUMIF(77:77,G11,78:78)-SUMIF(77:77,C11,78:78)+100</f>
        <v>100</v>
      </c>
      <c r="I11" s="2860" t="s">
        <v>3096</v>
      </c>
      <c r="J11" s="252">
        <f>SUMIF(77:77,I11,78:78)-SUMIF(77:77,C11,78:78)+100</f>
        <v>100</v>
      </c>
      <c r="K11" s="522"/>
      <c r="L11" s="2117"/>
      <c r="M11" s="2114"/>
      <c r="N11" s="2114"/>
      <c r="O11" s="2119"/>
      <c r="P11" s="3430" t="s">
        <v>535</v>
      </c>
      <c r="Q11" s="1144" t="str">
        <f t="shared" ref="Q11:Q17" si="6">B11</f>
        <v>用途</v>
      </c>
      <c r="R11" s="1551" t="s">
        <v>8</v>
      </c>
      <c r="S11" s="1552">
        <f t="shared" si="0"/>
        <v>100</v>
      </c>
      <c r="T11" s="1551" t="s">
        <v>8</v>
      </c>
      <c r="U11" s="1552">
        <f t="shared" si="1"/>
        <v>100</v>
      </c>
      <c r="V11" s="1551" t="s">
        <v>8</v>
      </c>
      <c r="W11" s="1552">
        <f t="shared" si="2"/>
        <v>100</v>
      </c>
      <c r="X11" s="1553"/>
      <c r="Y11" s="3376" t="s">
        <v>536</v>
      </c>
      <c r="Z11" s="1143" t="str">
        <f t="shared" ref="Z11:Z17" si="7">Q11</f>
        <v>用途</v>
      </c>
      <c r="AA11" s="1554">
        <f t="shared" si="3"/>
        <v>1</v>
      </c>
      <c r="AB11" s="1554">
        <f t="shared" si="4"/>
        <v>1</v>
      </c>
      <c r="AC11" s="1554">
        <f t="shared" si="5"/>
        <v>1</v>
      </c>
    </row>
    <row r="12" spans="1:30" s="1331" customFormat="1" ht="27">
      <c r="A12" s="2867"/>
      <c r="B12" s="2872" t="s">
        <v>2756</v>
      </c>
      <c r="C12" s="908">
        <f>项目基本情况!E19</f>
        <v>38.479999999999997</v>
      </c>
      <c r="D12" s="253">
        <v>100</v>
      </c>
      <c r="E12" s="527" t="s">
        <v>3087</v>
      </c>
      <c r="F12" s="253">
        <f>ROUND(100/'数据-取费表'!G16,0)</f>
        <v>101</v>
      </c>
      <c r="G12" s="528" t="s">
        <v>3087</v>
      </c>
      <c r="H12" s="253">
        <f>ROUND(100/'数据-取费表'!G16,0)</f>
        <v>101</v>
      </c>
      <c r="I12" s="528" t="s">
        <v>3087</v>
      </c>
      <c r="J12" s="253">
        <f>ROUND(100/'数据-取费表'!G16,0)</f>
        <v>101</v>
      </c>
      <c r="K12" s="529"/>
      <c r="L12" s="2120"/>
      <c r="M12" s="2114"/>
      <c r="N12" s="2114"/>
      <c r="O12" s="2121"/>
      <c r="P12" s="3430"/>
      <c r="Q12" s="1144" t="str">
        <f t="shared" si="6"/>
        <v>土地使用年限（年）</v>
      </c>
      <c r="R12" s="1551" t="s">
        <v>8</v>
      </c>
      <c r="S12" s="1552">
        <f t="shared" si="0"/>
        <v>101</v>
      </c>
      <c r="T12" s="1551" t="s">
        <v>8</v>
      </c>
      <c r="U12" s="1552">
        <f t="shared" si="1"/>
        <v>101</v>
      </c>
      <c r="V12" s="1551" t="s">
        <v>8</v>
      </c>
      <c r="W12" s="1552">
        <f t="shared" si="2"/>
        <v>101</v>
      </c>
      <c r="X12" s="1553"/>
      <c r="Y12" s="3376"/>
      <c r="Z12" s="1143" t="str">
        <f t="shared" si="7"/>
        <v>土地使用年限（年）</v>
      </c>
      <c r="AA12" s="1554">
        <f t="shared" si="3"/>
        <v>0.99009900990099009</v>
      </c>
      <c r="AB12" s="1554">
        <f t="shared" si="4"/>
        <v>0.99009900990099009</v>
      </c>
      <c r="AC12" s="1554">
        <f t="shared" si="5"/>
        <v>0.99009900990099009</v>
      </c>
    </row>
    <row r="13" spans="1:30" ht="20.25">
      <c r="A13" s="2868"/>
      <c r="B13" s="2872" t="s">
        <v>2757</v>
      </c>
      <c r="C13" s="532">
        <v>3</v>
      </c>
      <c r="D13" s="253">
        <v>100</v>
      </c>
      <c r="E13" s="531">
        <v>3</v>
      </c>
      <c r="F13" s="253">
        <f>LOOKUP(E13,82:82,83:83)-LOOKUP(C13,82:82,83:83)+100</f>
        <v>100</v>
      </c>
      <c r="G13" s="532">
        <v>3</v>
      </c>
      <c r="H13" s="253">
        <f>LOOKUP(G13,82:82,83:83)-LOOKUP(C13,82:82,83:83)+100</f>
        <v>100</v>
      </c>
      <c r="I13" s="531">
        <v>3</v>
      </c>
      <c r="J13" s="253">
        <f>LOOKUP(I13,82:82,83:83)-LOOKUP(C13,82:82,83:83)+100</f>
        <v>100</v>
      </c>
      <c r="K13" s="533"/>
      <c r="L13" s="2122"/>
      <c r="M13" s="2114"/>
      <c r="N13" s="2114"/>
      <c r="O13" s="2123"/>
      <c r="P13" s="3430"/>
      <c r="Q13" s="1144" t="str">
        <f t="shared" si="6"/>
        <v>容积率</v>
      </c>
      <c r="R13" s="1551" t="s">
        <v>8</v>
      </c>
      <c r="S13" s="1552">
        <f t="shared" si="0"/>
        <v>100</v>
      </c>
      <c r="T13" s="1551" t="s">
        <v>8</v>
      </c>
      <c r="U13" s="1552">
        <f t="shared" si="1"/>
        <v>100</v>
      </c>
      <c r="V13" s="1551" t="s">
        <v>8</v>
      </c>
      <c r="W13" s="1552">
        <f t="shared" si="2"/>
        <v>100</v>
      </c>
      <c r="X13" s="1553"/>
      <c r="Y13" s="3376"/>
      <c r="Z13" s="1143" t="str">
        <f t="shared" si="7"/>
        <v>容积率</v>
      </c>
      <c r="AA13" s="1554">
        <f t="shared" si="3"/>
        <v>1</v>
      </c>
      <c r="AB13" s="1554">
        <f t="shared" si="4"/>
        <v>1</v>
      </c>
      <c r="AC13" s="1554">
        <f t="shared" si="5"/>
        <v>1</v>
      </c>
    </row>
    <row r="14" spans="1:30" s="1213" customFormat="1" ht="20.25" hidden="1">
      <c r="A14" s="2865"/>
      <c r="B14" s="2874" t="s">
        <v>2758</v>
      </c>
      <c r="C14" s="2861"/>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430"/>
      <c r="Q14" s="1144" t="str">
        <f t="shared" si="6"/>
        <v>配建</v>
      </c>
      <c r="R14" s="1551" t="s">
        <v>8</v>
      </c>
      <c r="S14" s="1552">
        <f t="shared" si="0"/>
        <v>100</v>
      </c>
      <c r="T14" s="1551" t="s">
        <v>8</v>
      </c>
      <c r="U14" s="1552">
        <f t="shared" si="1"/>
        <v>100</v>
      </c>
      <c r="V14" s="1551" t="s">
        <v>8</v>
      </c>
      <c r="W14" s="1552">
        <f t="shared" si="2"/>
        <v>100</v>
      </c>
      <c r="X14" s="1553"/>
      <c r="Y14" s="3376"/>
      <c r="Z14" s="1143" t="str">
        <f t="shared" si="7"/>
        <v>配建</v>
      </c>
      <c r="AA14" s="1554">
        <f>D14/F14</f>
        <v>1</v>
      </c>
      <c r="AB14" s="1554">
        <f>D14/H14</f>
        <v>1</v>
      </c>
      <c r="AC14" s="1554">
        <f>D14/J14</f>
        <v>1</v>
      </c>
    </row>
    <row r="15" spans="1:30" ht="20.25" hidden="1">
      <c r="A15" s="2869"/>
      <c r="B15" s="2875">
        <v>111</v>
      </c>
      <c r="C15" s="910"/>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30"/>
      <c r="Q15" s="1144">
        <f t="shared" si="6"/>
        <v>111</v>
      </c>
      <c r="R15" s="1551" t="s">
        <v>8</v>
      </c>
      <c r="S15" s="1552">
        <f t="shared" si="0"/>
        <v>100</v>
      </c>
      <c r="T15" s="1551" t="s">
        <v>8</v>
      </c>
      <c r="U15" s="1552">
        <f t="shared" si="1"/>
        <v>100</v>
      </c>
      <c r="V15" s="1551" t="s">
        <v>8</v>
      </c>
      <c r="W15" s="1552">
        <f t="shared" si="2"/>
        <v>100</v>
      </c>
      <c r="X15" s="1553"/>
      <c r="Y15" s="3376"/>
      <c r="Z15" s="1143">
        <f t="shared" si="7"/>
        <v>111</v>
      </c>
      <c r="AA15" s="1554">
        <f>D15/F15</f>
        <v>1</v>
      </c>
      <c r="AB15" s="1554">
        <f>D15/H15</f>
        <v>1</v>
      </c>
      <c r="AC15" s="1554">
        <f>D15/J15</f>
        <v>1</v>
      </c>
    </row>
    <row r="16" spans="1:30" ht="21" hidden="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30"/>
      <c r="Q16" s="1144">
        <f t="shared" si="6"/>
        <v>111</v>
      </c>
      <c r="R16" s="1551" t="s">
        <v>8</v>
      </c>
      <c r="S16" s="1552">
        <f t="shared" si="0"/>
        <v>100</v>
      </c>
      <c r="T16" s="1551" t="s">
        <v>8</v>
      </c>
      <c r="U16" s="1552">
        <f t="shared" si="1"/>
        <v>100</v>
      </c>
      <c r="V16" s="1551" t="s">
        <v>8</v>
      </c>
      <c r="W16" s="1552">
        <f t="shared" si="2"/>
        <v>100</v>
      </c>
      <c r="X16" s="1553"/>
      <c r="Y16" s="3376"/>
      <c r="Z16" s="1143">
        <f t="shared" si="7"/>
        <v>111</v>
      </c>
      <c r="AA16" s="1554">
        <f>D16/F16</f>
        <v>1</v>
      </c>
      <c r="AB16" s="1554">
        <f>D16/H16</f>
        <v>1</v>
      </c>
      <c r="AC16" s="1554">
        <f>D16/J16</f>
        <v>1</v>
      </c>
    </row>
    <row r="17" spans="1:29" ht="99.75" hidden="1">
      <c r="A17" s="2862"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4"/>
      <c r="M17" s="2114"/>
      <c r="N17" s="2114"/>
      <c r="O17" s="2123"/>
      <c r="P17" s="3465" t="s">
        <v>540</v>
      </c>
      <c r="Q17" s="1555" t="str">
        <f t="shared" si="6"/>
        <v>居住社区成熟度</v>
      </c>
      <c r="R17" s="1556" t="s">
        <v>8</v>
      </c>
      <c r="S17" s="1557">
        <f t="shared" si="0"/>
        <v>100</v>
      </c>
      <c r="T17" s="1556" t="s">
        <v>8</v>
      </c>
      <c r="U17" s="1557">
        <f t="shared" si="1"/>
        <v>100</v>
      </c>
      <c r="V17" s="1556" t="s">
        <v>8</v>
      </c>
      <c r="W17" s="1557">
        <f t="shared" si="2"/>
        <v>100</v>
      </c>
      <c r="X17" s="1550"/>
      <c r="Y17" s="3465" t="s">
        <v>540</v>
      </c>
      <c r="Z17" s="1558" t="str">
        <f t="shared" si="7"/>
        <v>居住社区成熟度</v>
      </c>
      <c r="AA17" s="1559">
        <f t="shared" si="3"/>
        <v>1</v>
      </c>
      <c r="AB17" s="1559">
        <f t="shared" si="4"/>
        <v>1</v>
      </c>
      <c r="AC17" s="1559">
        <f t="shared" si="5"/>
        <v>1</v>
      </c>
    </row>
    <row r="18" spans="1:29" ht="20.25" hidden="1">
      <c r="A18" s="530"/>
      <c r="B18" s="551"/>
      <c r="C18" s="552"/>
      <c r="D18" s="555"/>
      <c r="E18" s="556"/>
      <c r="F18" s="553"/>
      <c r="G18" s="554"/>
      <c r="H18" s="557"/>
      <c r="I18" s="556"/>
      <c r="J18" s="553"/>
      <c r="K18" s="529"/>
      <c r="L18" s="2124"/>
      <c r="M18" s="2114"/>
      <c r="N18" s="2114"/>
      <c r="O18" s="2123"/>
      <c r="P18" s="3466"/>
      <c r="Q18" s="1555"/>
      <c r="R18" s="1556"/>
      <c r="S18" s="1557"/>
      <c r="T18" s="1556"/>
      <c r="U18" s="1557"/>
      <c r="V18" s="1556"/>
      <c r="W18" s="1557"/>
      <c r="X18" s="1550"/>
      <c r="Y18" s="3466"/>
      <c r="Z18" s="1558"/>
      <c r="AA18" s="1559">
        <v>1</v>
      </c>
      <c r="AB18" s="1559">
        <v>1</v>
      </c>
      <c r="AC18" s="1559">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4"/>
      <c r="M19" s="2114"/>
      <c r="N19" s="2114"/>
      <c r="O19" s="2123"/>
      <c r="P19" s="3466"/>
      <c r="Q19" s="1555" t="str">
        <f>B19</f>
        <v>商业繁华度</v>
      </c>
      <c r="R19" s="1556" t="s">
        <v>8</v>
      </c>
      <c r="S19" s="1557">
        <f>F19</f>
        <v>100</v>
      </c>
      <c r="T19" s="1556" t="s">
        <v>8</v>
      </c>
      <c r="U19" s="1557">
        <f>H19</f>
        <v>100</v>
      </c>
      <c r="V19" s="1556" t="s">
        <v>8</v>
      </c>
      <c r="W19" s="1557">
        <f>J19</f>
        <v>100</v>
      </c>
      <c r="X19" s="1550"/>
      <c r="Y19" s="3466"/>
      <c r="Z19" s="1558" t="str">
        <f>Q19</f>
        <v>商业繁华度</v>
      </c>
      <c r="AA19" s="1559">
        <f t="shared" si="3"/>
        <v>1</v>
      </c>
      <c r="AB19" s="1559">
        <f t="shared" si="4"/>
        <v>1</v>
      </c>
      <c r="AC19" s="1559">
        <f t="shared" si="5"/>
        <v>1</v>
      </c>
    </row>
    <row r="20" spans="1:29" ht="20.25">
      <c r="A20" s="530"/>
      <c r="B20" s="564"/>
      <c r="C20" s="565" t="s">
        <v>3080</v>
      </c>
      <c r="D20" s="561"/>
      <c r="E20" s="565" t="s">
        <v>3080</v>
      </c>
      <c r="F20" s="557"/>
      <c r="G20" s="565" t="s">
        <v>3080</v>
      </c>
      <c r="H20" s="553"/>
      <c r="I20" s="565" t="s">
        <v>3080</v>
      </c>
      <c r="J20" s="553"/>
      <c r="K20" s="529"/>
      <c r="L20" s="2124"/>
      <c r="M20" s="2114"/>
      <c r="N20" s="2114"/>
      <c r="O20" s="2123"/>
      <c r="P20" s="3466"/>
      <c r="Q20" s="1555"/>
      <c r="R20" s="1556"/>
      <c r="S20" s="1557"/>
      <c r="T20" s="1556"/>
      <c r="U20" s="1557"/>
      <c r="V20" s="1556"/>
      <c r="W20" s="1557"/>
      <c r="X20" s="1550"/>
      <c r="Y20" s="3466"/>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66"/>
      <c r="Q21" s="1555" t="str">
        <f>B21</f>
        <v>办公集聚程度</v>
      </c>
      <c r="R21" s="1556" t="s">
        <v>8</v>
      </c>
      <c r="S21" s="1557">
        <f>F21</f>
        <v>100</v>
      </c>
      <c r="T21" s="1556" t="s">
        <v>8</v>
      </c>
      <c r="U21" s="1557">
        <f>H21</f>
        <v>100</v>
      </c>
      <c r="V21" s="1556" t="s">
        <v>8</v>
      </c>
      <c r="W21" s="1557">
        <f>J21</f>
        <v>100</v>
      </c>
      <c r="X21" s="1550"/>
      <c r="Y21" s="3466"/>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66"/>
      <c r="Q22" s="1555"/>
      <c r="R22" s="1556"/>
      <c r="S22" s="1557"/>
      <c r="T22" s="1556"/>
      <c r="U22" s="1557"/>
      <c r="V22" s="1556"/>
      <c r="W22" s="1557"/>
      <c r="X22" s="1550"/>
      <c r="Y22" s="3466"/>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466"/>
      <c r="Q23" s="1555" t="str">
        <f>B23</f>
        <v>交通便捷度</v>
      </c>
      <c r="R23" s="1556" t="s">
        <v>8</v>
      </c>
      <c r="S23" s="1557">
        <f>F23</f>
        <v>100</v>
      </c>
      <c r="T23" s="1556" t="s">
        <v>8</v>
      </c>
      <c r="U23" s="1557">
        <f>H23</f>
        <v>100</v>
      </c>
      <c r="V23" s="1556" t="s">
        <v>8</v>
      </c>
      <c r="W23" s="1557">
        <f>J23</f>
        <v>100</v>
      </c>
      <c r="X23" s="1550"/>
      <c r="Y23" s="3466"/>
      <c r="Z23" s="1558" t="str">
        <f>Q23</f>
        <v>交通便捷度</v>
      </c>
      <c r="AA23" s="1559">
        <f t="shared" si="3"/>
        <v>1</v>
      </c>
      <c r="AB23" s="1559">
        <f t="shared" si="4"/>
        <v>1</v>
      </c>
      <c r="AC23" s="1559">
        <f t="shared" si="5"/>
        <v>1</v>
      </c>
    </row>
    <row r="24" spans="1:29" ht="20.25">
      <c r="A24" s="530"/>
      <c r="B24" s="576"/>
      <c r="C24" s="565" t="s">
        <v>3080</v>
      </c>
      <c r="D24" s="555"/>
      <c r="E24" s="565" t="s">
        <v>3080</v>
      </c>
      <c r="F24" s="553"/>
      <c r="G24" s="565" t="s">
        <v>3080</v>
      </c>
      <c r="H24" s="553"/>
      <c r="I24" s="565" t="s">
        <v>3080</v>
      </c>
      <c r="J24" s="553"/>
      <c r="K24" s="529"/>
      <c r="L24" s="2124"/>
      <c r="M24" s="2114"/>
      <c r="N24" s="2114"/>
      <c r="O24" s="2123"/>
      <c r="P24" s="3466"/>
      <c r="Q24" s="1555"/>
      <c r="R24" s="1556"/>
      <c r="S24" s="1557"/>
      <c r="T24" s="1556"/>
      <c r="U24" s="1557"/>
      <c r="V24" s="1556"/>
      <c r="W24" s="1557"/>
      <c r="X24" s="1550"/>
      <c r="Y24" s="3466"/>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66"/>
      <c r="Q25" s="1555" t="str">
        <f t="shared" ref="Q25:Q39" si="8">B25</f>
        <v>区域土地利用方向</v>
      </c>
      <c r="R25" s="1556" t="s">
        <v>8</v>
      </c>
      <c r="S25" s="1557">
        <f>F25</f>
        <v>100</v>
      </c>
      <c r="T25" s="1556" t="s">
        <v>8</v>
      </c>
      <c r="U25" s="1557">
        <f>H25</f>
        <v>100</v>
      </c>
      <c r="V25" s="1556" t="s">
        <v>8</v>
      </c>
      <c r="W25" s="1557">
        <f>J25</f>
        <v>100</v>
      </c>
      <c r="X25" s="1550"/>
      <c r="Y25" s="3466"/>
      <c r="Z25" s="1558" t="str">
        <f>Q25</f>
        <v>区域土地利用方向</v>
      </c>
      <c r="AA25" s="1559">
        <f t="shared" si="3"/>
        <v>1</v>
      </c>
      <c r="AB25" s="1559">
        <f t="shared" si="4"/>
        <v>1</v>
      </c>
      <c r="AC25" s="1559">
        <f t="shared" si="5"/>
        <v>1</v>
      </c>
    </row>
    <row r="26" spans="1:29" ht="20.25">
      <c r="A26" s="513"/>
      <c r="B26" s="1004"/>
      <c r="C26" s="552" t="s">
        <v>3078</v>
      </c>
      <c r="D26" s="555"/>
      <c r="E26" s="552" t="s">
        <v>3078</v>
      </c>
      <c r="F26" s="553"/>
      <c r="G26" s="552" t="s">
        <v>3078</v>
      </c>
      <c r="H26" s="553"/>
      <c r="I26" s="552" t="s">
        <v>3078</v>
      </c>
      <c r="J26" s="553"/>
      <c r="K26" s="529"/>
      <c r="L26" s="2124"/>
      <c r="M26" s="2114"/>
      <c r="N26" s="2114"/>
      <c r="O26" s="2123"/>
      <c r="P26" s="3466"/>
      <c r="Q26" s="1555"/>
      <c r="R26" s="1556"/>
      <c r="S26" s="1557"/>
      <c r="T26" s="1556"/>
      <c r="U26" s="1557"/>
      <c r="V26" s="1556"/>
      <c r="W26" s="1557"/>
      <c r="X26" s="1550"/>
      <c r="Y26" s="3466"/>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66"/>
      <c r="Q27" s="1555" t="str">
        <f t="shared" si="8"/>
        <v>自然及人文环境状况</v>
      </c>
      <c r="R27" s="1556" t="s">
        <v>8</v>
      </c>
      <c r="S27" s="1557">
        <f>F27</f>
        <v>100</v>
      </c>
      <c r="T27" s="1556" t="s">
        <v>8</v>
      </c>
      <c r="U27" s="1557">
        <f>H27</f>
        <v>100</v>
      </c>
      <c r="V27" s="1556" t="s">
        <v>8</v>
      </c>
      <c r="W27" s="1557">
        <f>J27</f>
        <v>100</v>
      </c>
      <c r="X27" s="1550"/>
      <c r="Y27" s="3466"/>
      <c r="Z27" s="1558" t="str">
        <f>Q27</f>
        <v>自然及人文环境状况</v>
      </c>
      <c r="AA27" s="1559">
        <f t="shared" si="3"/>
        <v>1</v>
      </c>
      <c r="AB27" s="1559">
        <f t="shared" si="4"/>
        <v>1</v>
      </c>
      <c r="AC27" s="1559">
        <f t="shared" si="5"/>
        <v>1</v>
      </c>
    </row>
    <row r="28" spans="1:29" ht="20.25">
      <c r="A28" s="513"/>
      <c r="B28" s="564"/>
      <c r="C28" s="552" t="s">
        <v>3078</v>
      </c>
      <c r="D28" s="555"/>
      <c r="E28" s="552" t="s">
        <v>3078</v>
      </c>
      <c r="F28" s="553"/>
      <c r="G28" s="552" t="s">
        <v>3078</v>
      </c>
      <c r="H28" s="553"/>
      <c r="I28" s="552" t="s">
        <v>3078</v>
      </c>
      <c r="J28" s="553"/>
      <c r="K28" s="529"/>
      <c r="L28" s="2124"/>
      <c r="M28" s="2114"/>
      <c r="N28" s="2114"/>
      <c r="O28" s="2123"/>
      <c r="P28" s="3466"/>
      <c r="Q28" s="1555"/>
      <c r="R28" s="1556"/>
      <c r="S28" s="1557"/>
      <c r="T28" s="1556"/>
      <c r="U28" s="1557"/>
      <c r="V28" s="1556"/>
      <c r="W28" s="1557"/>
      <c r="X28" s="1550"/>
      <c r="Y28" s="3466"/>
      <c r="Z28" s="1558"/>
      <c r="AA28" s="1559">
        <v>1</v>
      </c>
      <c r="AB28" s="1559">
        <v>1</v>
      </c>
      <c r="AC28" s="1559">
        <v>1</v>
      </c>
    </row>
    <row r="29" spans="1:29" s="1213" customFormat="1" ht="42.75">
      <c r="A29" s="575"/>
      <c r="B29" s="2552" t="s">
        <v>2547</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66"/>
      <c r="Q29" s="1144" t="str">
        <f t="shared" si="8"/>
        <v>公共配套设施</v>
      </c>
      <c r="R29" s="1551" t="s">
        <v>8</v>
      </c>
      <c r="S29" s="1552">
        <f>F29</f>
        <v>100</v>
      </c>
      <c r="T29" s="1551" t="s">
        <v>8</v>
      </c>
      <c r="U29" s="1552">
        <f>H29</f>
        <v>100</v>
      </c>
      <c r="V29" s="1551" t="s">
        <v>8</v>
      </c>
      <c r="W29" s="1552">
        <f>J29</f>
        <v>100</v>
      </c>
      <c r="X29" s="1553"/>
      <c r="Y29" s="3466"/>
      <c r="Z29" s="1143" t="str">
        <f>Q29</f>
        <v>公共配套设施</v>
      </c>
      <c r="AA29" s="1559">
        <f>D29/F29</f>
        <v>1</v>
      </c>
      <c r="AB29" s="1559">
        <f>D29/H29</f>
        <v>1</v>
      </c>
      <c r="AC29" s="1559">
        <f>D29/J29</f>
        <v>1</v>
      </c>
    </row>
    <row r="30" spans="1:29" s="1213" customFormat="1" ht="20.25">
      <c r="A30" s="575"/>
      <c r="B30" s="564"/>
      <c r="C30" s="577" t="s">
        <v>3080</v>
      </c>
      <c r="D30" s="555"/>
      <c r="E30" s="577" t="s">
        <v>3080</v>
      </c>
      <c r="F30" s="553"/>
      <c r="G30" s="577" t="s">
        <v>3080</v>
      </c>
      <c r="H30" s="553"/>
      <c r="I30" s="577" t="s">
        <v>3080</v>
      </c>
      <c r="J30" s="553"/>
      <c r="K30" s="529"/>
      <c r="L30" s="2117"/>
      <c r="M30" s="2114"/>
      <c r="N30" s="2114"/>
      <c r="O30" s="2119"/>
      <c r="P30" s="3466"/>
      <c r="Q30" s="1144"/>
      <c r="R30" s="1551"/>
      <c r="S30" s="1552"/>
      <c r="T30" s="1551"/>
      <c r="U30" s="1552"/>
      <c r="V30" s="1551"/>
      <c r="W30" s="1552"/>
      <c r="X30" s="1553"/>
      <c r="Y30" s="3466"/>
      <c r="Z30" s="1143"/>
      <c r="AA30" s="1559">
        <v>1</v>
      </c>
      <c r="AB30" s="1559">
        <v>1</v>
      </c>
      <c r="AC30" s="1559">
        <v>1</v>
      </c>
    </row>
    <row r="31" spans="1:29" s="1213" customFormat="1" ht="28.5">
      <c r="A31" s="575"/>
      <c r="B31" s="2552"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66"/>
      <c r="Q31" s="2539" t="str">
        <f t="shared" ref="Q31" si="9">B31</f>
        <v>基础设施水平</v>
      </c>
      <c r="R31" s="1551" t="s">
        <v>8</v>
      </c>
      <c r="S31" s="1552">
        <f>F31</f>
        <v>100</v>
      </c>
      <c r="T31" s="1551" t="s">
        <v>8</v>
      </c>
      <c r="U31" s="1552">
        <f>H31</f>
        <v>100</v>
      </c>
      <c r="V31" s="1551" t="s">
        <v>8</v>
      </c>
      <c r="W31" s="1552">
        <f>J31</f>
        <v>100</v>
      </c>
      <c r="X31" s="1553"/>
      <c r="Y31" s="3466"/>
      <c r="Z31" s="2536" t="str">
        <f>Q31</f>
        <v>基础设施水平</v>
      </c>
      <c r="AA31" s="1559">
        <f>D31/F31</f>
        <v>1</v>
      </c>
      <c r="AB31" s="1559">
        <f>D31/H31</f>
        <v>1</v>
      </c>
      <c r="AC31" s="1559">
        <f>D31/J31</f>
        <v>1</v>
      </c>
    </row>
    <row r="32" spans="1:29" s="1213" customFormat="1" ht="21" thickBot="1">
      <c r="A32" s="575"/>
      <c r="B32" s="564"/>
      <c r="C32" s="577" t="s">
        <v>3101</v>
      </c>
      <c r="D32" s="555"/>
      <c r="E32" s="577" t="s">
        <v>3101</v>
      </c>
      <c r="F32" s="553"/>
      <c r="G32" s="577" t="s">
        <v>3101</v>
      </c>
      <c r="H32" s="553"/>
      <c r="I32" s="577" t="s">
        <v>3101</v>
      </c>
      <c r="J32" s="553"/>
      <c r="K32" s="529"/>
      <c r="L32" s="2117"/>
      <c r="M32" s="2114"/>
      <c r="N32" s="2114"/>
      <c r="O32" s="2119"/>
      <c r="P32" s="3466"/>
      <c r="Q32" s="2539"/>
      <c r="R32" s="1551"/>
      <c r="S32" s="1552"/>
      <c r="T32" s="1551"/>
      <c r="U32" s="1552"/>
      <c r="V32" s="1551"/>
      <c r="W32" s="1552"/>
      <c r="X32" s="1553"/>
      <c r="Y32" s="3466"/>
      <c r="Z32" s="2536"/>
      <c r="AA32" s="1559">
        <v>1</v>
      </c>
      <c r="AB32" s="1559">
        <v>1</v>
      </c>
      <c r="AC32" s="1559">
        <v>1</v>
      </c>
    </row>
    <row r="33" spans="1:29" ht="21" hidden="1" thickBot="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6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66"/>
      <c r="Z33" s="1558" t="str">
        <f t="shared" ref="Z33:Z47" si="13">Q33</f>
        <v>临街状况</v>
      </c>
      <c r="AA33" s="1559">
        <f t="shared" si="3"/>
        <v>1</v>
      </c>
      <c r="AB33" s="1559">
        <f t="shared" si="4"/>
        <v>1</v>
      </c>
      <c r="AC33" s="1559">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66"/>
      <c r="Q34" s="1555" t="str">
        <f t="shared" si="8"/>
        <v>毗邻道路的类型与等级</v>
      </c>
      <c r="R34" s="1556" t="s">
        <v>8</v>
      </c>
      <c r="S34" s="1557">
        <f t="shared" si="10"/>
        <v>100</v>
      </c>
      <c r="T34" s="1556" t="s">
        <v>8</v>
      </c>
      <c r="U34" s="1557">
        <f t="shared" si="11"/>
        <v>100</v>
      </c>
      <c r="V34" s="1556" t="s">
        <v>8</v>
      </c>
      <c r="W34" s="1557">
        <f t="shared" si="12"/>
        <v>100</v>
      </c>
      <c r="X34" s="1550"/>
      <c r="Y34" s="3466"/>
      <c r="Z34" s="1558" t="str">
        <f t="shared" si="13"/>
        <v>毗邻道路的类型与等级</v>
      </c>
      <c r="AA34" s="1559">
        <f t="shared" si="3"/>
        <v>1</v>
      </c>
      <c r="AB34" s="1559">
        <f t="shared" si="4"/>
        <v>1</v>
      </c>
      <c r="AC34" s="1559">
        <f t="shared" si="5"/>
        <v>1</v>
      </c>
    </row>
    <row r="35" spans="1:29" ht="21" hidden="1" thickBot="1">
      <c r="A35" s="530"/>
      <c r="B35" s="564"/>
      <c r="C35" s="552"/>
      <c r="D35" s="555"/>
      <c r="E35" s="574"/>
      <c r="F35" s="553"/>
      <c r="G35" s="552"/>
      <c r="H35" s="553"/>
      <c r="I35" s="574"/>
      <c r="J35" s="553"/>
      <c r="K35" s="579"/>
      <c r="L35" s="2124"/>
      <c r="M35" s="2114"/>
      <c r="N35" s="2114"/>
      <c r="O35" s="2123"/>
      <c r="P35" s="3466"/>
      <c r="Q35" s="1555"/>
      <c r="R35" s="1556"/>
      <c r="S35" s="1557"/>
      <c r="T35" s="1556"/>
      <c r="U35" s="1557"/>
      <c r="V35" s="1556"/>
      <c r="W35" s="1557"/>
      <c r="X35" s="1550"/>
      <c r="Y35" s="3466"/>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66"/>
      <c r="Q36" s="1555" t="str">
        <f t="shared" si="8"/>
        <v>土地级别</v>
      </c>
      <c r="R36" s="1556" t="s">
        <v>8</v>
      </c>
      <c r="S36" s="1557">
        <f t="shared" si="10"/>
        <v>100</v>
      </c>
      <c r="T36" s="1556" t="s">
        <v>8</v>
      </c>
      <c r="U36" s="1557">
        <f t="shared" si="11"/>
        <v>100</v>
      </c>
      <c r="V36" s="1556" t="s">
        <v>8</v>
      </c>
      <c r="W36" s="1557">
        <f t="shared" si="12"/>
        <v>100</v>
      </c>
      <c r="X36" s="1550"/>
      <c r="Y36" s="3466"/>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66"/>
      <c r="Q37" s="1555">
        <f t="shared" si="8"/>
        <v>111</v>
      </c>
      <c r="R37" s="1556" t="s">
        <v>8</v>
      </c>
      <c r="S37" s="1557">
        <f t="shared" si="10"/>
        <v>100</v>
      </c>
      <c r="T37" s="1556" t="s">
        <v>8</v>
      </c>
      <c r="U37" s="1557">
        <f t="shared" si="11"/>
        <v>100</v>
      </c>
      <c r="V37" s="1556" t="s">
        <v>8</v>
      </c>
      <c r="W37" s="1557">
        <f t="shared" si="12"/>
        <v>100</v>
      </c>
      <c r="X37" s="1550"/>
      <c r="Y37" s="3466"/>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67" t="s">
        <v>550</v>
      </c>
      <c r="Q38" s="1555">
        <f t="shared" si="8"/>
        <v>111</v>
      </c>
      <c r="R38" s="1556" t="s">
        <v>8</v>
      </c>
      <c r="S38" s="1557">
        <f t="shared" si="10"/>
        <v>100</v>
      </c>
      <c r="T38" s="1556" t="s">
        <v>8</v>
      </c>
      <c r="U38" s="1557">
        <f t="shared" si="11"/>
        <v>100</v>
      </c>
      <c r="V38" s="1556" t="s">
        <v>8</v>
      </c>
      <c r="W38" s="1557">
        <f t="shared" si="12"/>
        <v>100</v>
      </c>
      <c r="X38" s="1550"/>
      <c r="Y38" s="3468"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68"/>
      <c r="Q39" s="1555">
        <f t="shared" si="8"/>
        <v>111</v>
      </c>
      <c r="R39" s="1560" t="s">
        <v>8</v>
      </c>
      <c r="S39" s="1561">
        <f t="shared" si="10"/>
        <v>100</v>
      </c>
      <c r="T39" s="1560" t="s">
        <v>8</v>
      </c>
      <c r="U39" s="1561">
        <f t="shared" si="11"/>
        <v>100</v>
      </c>
      <c r="V39" s="1560" t="s">
        <v>8</v>
      </c>
      <c r="W39" s="1561">
        <f t="shared" si="12"/>
        <v>100</v>
      </c>
      <c r="X39" s="1562"/>
      <c r="Y39" s="3468"/>
      <c r="Z39" s="1563">
        <f t="shared" si="13"/>
        <v>111</v>
      </c>
      <c r="AA39" s="1559">
        <f t="shared" si="3"/>
        <v>1</v>
      </c>
      <c r="AB39" s="1559">
        <f t="shared" si="4"/>
        <v>1</v>
      </c>
      <c r="AC39" s="1559">
        <f t="shared" si="5"/>
        <v>1</v>
      </c>
    </row>
    <row r="40" spans="1:29" ht="20.25">
      <c r="A40" s="2859" t="s">
        <v>2754</v>
      </c>
      <c r="B40" s="593" t="s">
        <v>552</v>
      </c>
      <c r="C40" s="594">
        <f>'[2]数据-基础表'!A3</f>
        <v>54446</v>
      </c>
      <c r="D40" s="595">
        <v>100</v>
      </c>
      <c r="E40" s="594">
        <v>81424</v>
      </c>
      <c r="F40" s="595">
        <f>LOOKUP(E40,119:119,120:120)-LOOKUP(C40,119:119,120:120)+100</f>
        <v>100</v>
      </c>
      <c r="G40" s="594">
        <v>79489</v>
      </c>
      <c r="H40" s="595">
        <f>LOOKUP(G40,119:119,120:120)-LOOKUP(C40,119:119,120:120)+100</f>
        <v>100</v>
      </c>
      <c r="I40" s="596">
        <v>91900</v>
      </c>
      <c r="J40" s="595">
        <f>LOOKUP(I40,119:119,120:120)-LOOKUP(C40,119:119,120:120)+100</f>
        <v>100</v>
      </c>
      <c r="K40" s="579"/>
      <c r="L40" s="2124"/>
      <c r="M40" s="2114"/>
      <c r="N40" s="2114"/>
      <c r="O40" s="2123"/>
      <c r="P40" s="3468"/>
      <c r="Q40" s="1555" t="str">
        <f>B40</f>
        <v>宗地面积</v>
      </c>
      <c r="R40" s="1556" t="s">
        <v>8</v>
      </c>
      <c r="S40" s="1557">
        <f t="shared" si="10"/>
        <v>100</v>
      </c>
      <c r="T40" s="1556" t="s">
        <v>8</v>
      </c>
      <c r="U40" s="1557">
        <f t="shared" si="11"/>
        <v>100</v>
      </c>
      <c r="V40" s="1556" t="s">
        <v>8</v>
      </c>
      <c r="W40" s="1557">
        <f t="shared" si="12"/>
        <v>100</v>
      </c>
      <c r="X40" s="1550"/>
      <c r="Y40" s="3468"/>
      <c r="Z40" s="1558" t="str">
        <f t="shared" si="13"/>
        <v>宗地面积</v>
      </c>
      <c r="AA40" s="1559">
        <f t="shared" si="3"/>
        <v>1</v>
      </c>
      <c r="AB40" s="1559">
        <f t="shared" si="4"/>
        <v>1</v>
      </c>
      <c r="AC40" s="1559">
        <f t="shared" si="5"/>
        <v>1</v>
      </c>
    </row>
    <row r="41" spans="1:29" ht="20.25">
      <c r="A41" s="592"/>
      <c r="B41" s="525" t="s">
        <v>553</v>
      </c>
      <c r="C41" s="597" t="s">
        <v>3089</v>
      </c>
      <c r="D41" s="538">
        <v>100</v>
      </c>
      <c r="E41" s="597" t="s">
        <v>3089</v>
      </c>
      <c r="F41" s="538">
        <f>SUMIF(121:121,E41,122:122)-SUMIF(121:121,C41,122:122)+100</f>
        <v>100</v>
      </c>
      <c r="G41" s="597" t="s">
        <v>3089</v>
      </c>
      <c r="H41" s="538">
        <f>SUMIF(121:121,G41,122:122)-SUMIF(121:121,C41,122:122)+100</f>
        <v>100</v>
      </c>
      <c r="I41" s="597" t="s">
        <v>3089</v>
      </c>
      <c r="J41" s="538">
        <f>SUMIF(121:121,I41,122:122)-SUMIF(121:121,C41,122:122)+100</f>
        <v>100</v>
      </c>
      <c r="K41" s="582">
        <v>1</v>
      </c>
      <c r="L41" s="2124"/>
      <c r="M41" s="2114"/>
      <c r="N41" s="2114"/>
      <c r="O41" s="2123"/>
      <c r="P41" s="3468"/>
      <c r="Q41" s="1555" t="str">
        <f t="shared" ref="Q41:Q47" si="14">B41</f>
        <v>宗地形状</v>
      </c>
      <c r="R41" s="1556" t="s">
        <v>8</v>
      </c>
      <c r="S41" s="1557">
        <f t="shared" si="10"/>
        <v>100</v>
      </c>
      <c r="T41" s="1556" t="s">
        <v>8</v>
      </c>
      <c r="U41" s="1557">
        <f t="shared" si="11"/>
        <v>100</v>
      </c>
      <c r="V41" s="1556" t="s">
        <v>8</v>
      </c>
      <c r="W41" s="1557">
        <f t="shared" si="12"/>
        <v>100</v>
      </c>
      <c r="X41" s="1550"/>
      <c r="Y41" s="3468"/>
      <c r="Z41" s="1558" t="str">
        <f t="shared" si="13"/>
        <v>宗地形状</v>
      </c>
      <c r="AA41" s="1559">
        <f t="shared" si="3"/>
        <v>1</v>
      </c>
      <c r="AB41" s="1559">
        <f t="shared" si="4"/>
        <v>1</v>
      </c>
      <c r="AC41" s="1559">
        <f t="shared" si="5"/>
        <v>1</v>
      </c>
    </row>
    <row r="42" spans="1:29" ht="20.25">
      <c r="A42" s="592"/>
      <c r="B42" s="525" t="s">
        <v>554</v>
      </c>
      <c r="C42" s="597" t="s">
        <v>3078</v>
      </c>
      <c r="D42" s="538">
        <v>100</v>
      </c>
      <c r="E42" s="597" t="s">
        <v>3078</v>
      </c>
      <c r="F42" s="538">
        <f>SUMIF(123:123,E42,124:124)-SUMIF(123:123,C42,124:124)+100</f>
        <v>100</v>
      </c>
      <c r="G42" s="597" t="s">
        <v>3078</v>
      </c>
      <c r="H42" s="538">
        <f>SUMIF(123:123,G42,124:124)-SUMIF(123:123,C42,124:124)+100</f>
        <v>100</v>
      </c>
      <c r="I42" s="597" t="s">
        <v>3078</v>
      </c>
      <c r="J42" s="538">
        <f>SUMIF(123:123,I42,124:124)-SUMIF(123:123,C42,124:124)+100</f>
        <v>100</v>
      </c>
      <c r="K42" s="582">
        <v>1</v>
      </c>
      <c r="L42" s="2124"/>
      <c r="M42" s="2114"/>
      <c r="N42" s="2114"/>
      <c r="O42" s="2123"/>
      <c r="P42" s="3468"/>
      <c r="Q42" s="1555" t="str">
        <f t="shared" si="14"/>
        <v>临街宽度及深度</v>
      </c>
      <c r="R42" s="1556" t="s">
        <v>8</v>
      </c>
      <c r="S42" s="1557">
        <f t="shared" si="10"/>
        <v>100</v>
      </c>
      <c r="T42" s="1556" t="s">
        <v>8</v>
      </c>
      <c r="U42" s="1557">
        <f t="shared" si="11"/>
        <v>100</v>
      </c>
      <c r="V42" s="1556" t="s">
        <v>8</v>
      </c>
      <c r="W42" s="1557">
        <f t="shared" si="12"/>
        <v>100</v>
      </c>
      <c r="X42" s="1550"/>
      <c r="Y42" s="3468"/>
      <c r="Z42" s="1558" t="str">
        <f t="shared" si="13"/>
        <v>临街宽度及深度</v>
      </c>
      <c r="AA42" s="1559">
        <f t="shared" si="3"/>
        <v>1</v>
      </c>
      <c r="AB42" s="1559">
        <f t="shared" si="4"/>
        <v>1</v>
      </c>
      <c r="AC42" s="1559">
        <f t="shared" si="5"/>
        <v>1</v>
      </c>
    </row>
    <row r="43" spans="1:29" s="1213" customFormat="1" ht="20.25">
      <c r="A43" s="598"/>
      <c r="B43" s="1877" t="s">
        <v>2423</v>
      </c>
      <c r="C43" s="599" t="s">
        <v>3088</v>
      </c>
      <c r="D43" s="253">
        <v>100</v>
      </c>
      <c r="E43" s="599" t="s">
        <v>3088</v>
      </c>
      <c r="F43" s="538">
        <f>SUMIF(125:125,E43,126:126)-SUMIF(125:125,C43,126:126)+100</f>
        <v>100</v>
      </c>
      <c r="G43" s="599" t="s">
        <v>3088</v>
      </c>
      <c r="H43" s="538">
        <f>SUMIF(125:125,G43,126:126)-SUMIF(125:125,C43,126:126)+100</f>
        <v>100</v>
      </c>
      <c r="I43" s="599" t="s">
        <v>3088</v>
      </c>
      <c r="J43" s="538">
        <f>SUMIF(125:125,I43,126:126)-SUMIF(125:125,C43,126:126)+100</f>
        <v>100</v>
      </c>
      <c r="K43" s="582"/>
      <c r="L43" s="2117"/>
      <c r="M43" s="2114"/>
      <c r="N43" s="2114"/>
      <c r="O43" s="2119"/>
      <c r="P43" s="3468"/>
      <c r="Q43" s="1555" t="str">
        <f t="shared" si="14"/>
        <v>宗地开发程度</v>
      </c>
      <c r="R43" s="1551" t="s">
        <v>8</v>
      </c>
      <c r="S43" s="1552">
        <f t="shared" si="10"/>
        <v>100</v>
      </c>
      <c r="T43" s="1551" t="s">
        <v>8</v>
      </c>
      <c r="U43" s="1552">
        <f t="shared" si="11"/>
        <v>100</v>
      </c>
      <c r="V43" s="1551" t="s">
        <v>8</v>
      </c>
      <c r="W43" s="1552">
        <f t="shared" si="12"/>
        <v>100</v>
      </c>
      <c r="X43" s="1553"/>
      <c r="Y43" s="3468"/>
      <c r="Z43" s="1143" t="str">
        <f t="shared" si="13"/>
        <v>宗地开发程度</v>
      </c>
      <c r="AA43" s="1554">
        <f t="shared" si="3"/>
        <v>1</v>
      </c>
      <c r="AB43" s="1554">
        <f t="shared" si="4"/>
        <v>1</v>
      </c>
      <c r="AC43" s="1554">
        <f t="shared" si="5"/>
        <v>1</v>
      </c>
    </row>
    <row r="44" spans="1:29" ht="21" thickBot="1">
      <c r="A44" s="592"/>
      <c r="B44" s="525" t="s">
        <v>555</v>
      </c>
      <c r="C44" s="597" t="s">
        <v>3078</v>
      </c>
      <c r="D44" s="538">
        <v>100</v>
      </c>
      <c r="E44" s="597" t="s">
        <v>3078</v>
      </c>
      <c r="F44" s="538">
        <f>SUMIF(127:127,E44,128:128)-SUMIF(127:127,C44,128:128)+100</f>
        <v>100</v>
      </c>
      <c r="G44" s="597" t="s">
        <v>3078</v>
      </c>
      <c r="H44" s="538">
        <f>SUMIF(127:127,G44,128:128)-SUMIF(127:127,C44,128:128)+100</f>
        <v>100</v>
      </c>
      <c r="I44" s="597" t="s">
        <v>3078</v>
      </c>
      <c r="J44" s="538">
        <f>SUMIF(127:127,I44,128:128)-SUMIF(127:127,C44,128:128)+100</f>
        <v>100</v>
      </c>
      <c r="K44" s="582"/>
      <c r="L44" s="2124"/>
      <c r="M44" s="2114"/>
      <c r="N44" s="2114"/>
      <c r="O44" s="2123"/>
      <c r="P44" s="3468" t="s">
        <v>550</v>
      </c>
      <c r="Q44" s="1555" t="str">
        <f t="shared" si="14"/>
        <v>工程地质条件</v>
      </c>
      <c r="R44" s="1556" t="s">
        <v>8</v>
      </c>
      <c r="S44" s="1557">
        <f t="shared" si="10"/>
        <v>100</v>
      </c>
      <c r="T44" s="1556" t="s">
        <v>8</v>
      </c>
      <c r="U44" s="1557">
        <f t="shared" si="11"/>
        <v>100</v>
      </c>
      <c r="V44" s="1556" t="s">
        <v>8</v>
      </c>
      <c r="W44" s="1557">
        <f t="shared" si="12"/>
        <v>100</v>
      </c>
      <c r="X44" s="1550"/>
      <c r="Y44" s="3468"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68"/>
      <c r="Q45" s="1555">
        <f t="shared" si="14"/>
        <v>111</v>
      </c>
      <c r="R45" s="1556" t="s">
        <v>8</v>
      </c>
      <c r="S45" s="1557">
        <f t="shared" si="10"/>
        <v>100</v>
      </c>
      <c r="T45" s="1556" t="s">
        <v>8</v>
      </c>
      <c r="U45" s="1557">
        <f t="shared" si="11"/>
        <v>100</v>
      </c>
      <c r="V45" s="1556" t="s">
        <v>8</v>
      </c>
      <c r="W45" s="1557">
        <f t="shared" si="12"/>
        <v>100</v>
      </c>
      <c r="X45" s="1550"/>
      <c r="Y45" s="3468"/>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68"/>
      <c r="Q46" s="1555">
        <f t="shared" si="14"/>
        <v>111</v>
      </c>
      <c r="R46" s="1556" t="s">
        <v>8</v>
      </c>
      <c r="S46" s="1557">
        <f t="shared" si="10"/>
        <v>100</v>
      </c>
      <c r="T46" s="1556" t="s">
        <v>8</v>
      </c>
      <c r="U46" s="1557">
        <f t="shared" si="11"/>
        <v>100</v>
      </c>
      <c r="V46" s="1556" t="s">
        <v>8</v>
      </c>
      <c r="W46" s="1557">
        <f t="shared" si="12"/>
        <v>100</v>
      </c>
      <c r="X46" s="1550"/>
      <c r="Y46" s="3468"/>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68"/>
      <c r="Q47" s="1555">
        <f t="shared" si="14"/>
        <v>111</v>
      </c>
      <c r="R47" s="1560" t="s">
        <v>8</v>
      </c>
      <c r="S47" s="1561">
        <f t="shared" si="10"/>
        <v>100</v>
      </c>
      <c r="T47" s="1560" t="s">
        <v>8</v>
      </c>
      <c r="U47" s="1561">
        <f t="shared" si="11"/>
        <v>100</v>
      </c>
      <c r="V47" s="1560" t="s">
        <v>8</v>
      </c>
      <c r="W47" s="1561">
        <f t="shared" si="12"/>
        <v>100</v>
      </c>
      <c r="X47" s="1562"/>
      <c r="Y47" s="3468"/>
      <c r="Z47" s="1563">
        <f t="shared" si="13"/>
        <v>111</v>
      </c>
      <c r="AA47" s="1559">
        <f t="shared" si="3"/>
        <v>1</v>
      </c>
      <c r="AB47" s="1559">
        <f t="shared" si="4"/>
        <v>1</v>
      </c>
      <c r="AC47" s="1559">
        <f t="shared" si="5"/>
        <v>1</v>
      </c>
    </row>
    <row r="48" spans="1:29" ht="20.25">
      <c r="A48" s="605" t="s">
        <v>556</v>
      </c>
      <c r="B48" s="606" t="s">
        <v>3068</v>
      </c>
      <c r="C48" s="607" t="s">
        <v>1</v>
      </c>
      <c r="D48" s="608"/>
      <c r="E48" s="609">
        <v>1535</v>
      </c>
      <c r="F48" s="610"/>
      <c r="G48" s="3198">
        <v>1449.83</v>
      </c>
      <c r="H48" s="612"/>
      <c r="I48" s="3199">
        <v>1448.75</v>
      </c>
      <c r="J48" s="612"/>
      <c r="K48" s="1333"/>
      <c r="L48" s="2126"/>
      <c r="M48" s="2114"/>
      <c r="N48" s="2114"/>
      <c r="O48" s="2127"/>
      <c r="P48" s="3430" t="str">
        <f>A48</f>
        <v>成交单价</v>
      </c>
      <c r="Q48" s="3430"/>
      <c r="R48" s="3431">
        <f>E48</f>
        <v>1535</v>
      </c>
      <c r="S48" s="3431"/>
      <c r="T48" s="3431">
        <f>G48</f>
        <v>1449.83</v>
      </c>
      <c r="U48" s="3431"/>
      <c r="V48" s="3431">
        <f>I48</f>
        <v>1448.75</v>
      </c>
      <c r="W48" s="3431"/>
      <c r="X48" s="1542"/>
      <c r="Y48" s="1564"/>
      <c r="Z48" s="1542"/>
      <c r="AA48" s="1542"/>
      <c r="AB48" s="1542"/>
      <c r="AC48" s="1542"/>
    </row>
    <row r="49" spans="1:29" ht="21" thickBot="1">
      <c r="A49" s="613" t="s">
        <v>2692</v>
      </c>
      <c r="B49" s="614"/>
      <c r="C49" s="615">
        <f>R50</f>
        <v>1488</v>
      </c>
      <c r="D49" s="616"/>
      <c r="E49" s="615">
        <f>R49</f>
        <v>1535</v>
      </c>
      <c r="F49" s="617"/>
      <c r="G49" s="618">
        <f>T49</f>
        <v>1465</v>
      </c>
      <c r="H49" s="616"/>
      <c r="I49" s="615">
        <f>V49</f>
        <v>1464</v>
      </c>
      <c r="J49" s="616"/>
      <c r="K49" s="1334"/>
      <c r="L49" s="2126"/>
      <c r="M49" s="2114"/>
      <c r="N49" s="2114"/>
      <c r="O49" s="2127"/>
      <c r="P49" s="3430" t="str">
        <f>A49</f>
        <v>比较价格（元/平方米）</v>
      </c>
      <c r="Q49" s="3430"/>
      <c r="R49" s="3432">
        <f>ROUND(PRODUCT(R48,AA9:AA47),0)</f>
        <v>1535</v>
      </c>
      <c r="S49" s="3432"/>
      <c r="T49" s="3432">
        <f>ROUND(PRODUCT(T48,AB9:AB47),0)</f>
        <v>1465</v>
      </c>
      <c r="U49" s="3432"/>
      <c r="V49" s="3432">
        <f>ROUND(PRODUCT(V48,AC9:AC47),0)</f>
        <v>1464</v>
      </c>
      <c r="W49" s="3432"/>
      <c r="X49" s="1542"/>
      <c r="Y49" s="1542"/>
      <c r="Z49" s="1542"/>
      <c r="AA49" s="1542"/>
      <c r="AB49" s="1542"/>
      <c r="AC49" s="1542"/>
    </row>
    <row r="50" spans="1:29" ht="21" thickBot="1">
      <c r="A50" s="619" t="s">
        <v>2933</v>
      </c>
      <c r="B50" s="620"/>
      <c r="C50" s="621">
        <f>R50</f>
        <v>1488</v>
      </c>
      <c r="D50" s="621"/>
      <c r="E50" s="621"/>
      <c r="F50" s="621"/>
      <c r="G50" s="621"/>
      <c r="H50" s="621"/>
      <c r="I50" s="621"/>
      <c r="J50" s="621"/>
      <c r="K50" s="1335"/>
      <c r="L50" s="2126"/>
      <c r="M50" s="2114"/>
      <c r="N50" s="2114"/>
      <c r="O50" s="2127"/>
      <c r="P50" s="3427" t="str">
        <f>A50</f>
        <v>估价对象XX用房的比较价格（楼面单价，元/平方米）</v>
      </c>
      <c r="Q50" s="3428"/>
      <c r="R50" s="3429">
        <f>ROUND(AVERAGE(R49:V49),0)</f>
        <v>1488</v>
      </c>
      <c r="S50" s="3429"/>
      <c r="T50" s="3429"/>
      <c r="U50" s="3429"/>
      <c r="V50" s="3429"/>
      <c r="W50" s="342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v>
      </c>
      <c r="F53" s="625" t="str">
        <f>IF(OR(E53&gt;=0.3,E53&lt;=-0.3),"超过30%","")</f>
        <v/>
      </c>
      <c r="G53" s="624">
        <f>IF(G48&lt;G49,G49/G48-1,G48/G49-1)</f>
        <v>1.0463295696736985E-2</v>
      </c>
      <c r="H53" s="625" t="str">
        <f>IF(OR(G53&gt;=0.3,G53&lt;=-0.3),"超过30%","")</f>
        <v/>
      </c>
      <c r="I53" s="624">
        <f>IF(I48&lt;I49,I49/I48-1,I48/I49-1)</f>
        <v>1.0526315789473717E-2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4.7781569965870352E-2</v>
      </c>
      <c r="F54" s="625" t="str">
        <f>IF(OR(E54&gt;=0.2,E54&lt;=-0.2),"超过20%","")</f>
        <v/>
      </c>
      <c r="G54" s="624">
        <f>IF(G49&lt;I49,I49/G49-1,G49/I49-1)</f>
        <v>6.8306010928953498E-4</v>
      </c>
      <c r="H54" s="625" t="str">
        <f>IF(OR(G54&gt;=0.2,G54&lt;=-0.2),"超过20%","")</f>
        <v/>
      </c>
      <c r="I54" s="624">
        <f>IF(I49&lt;E49,E49/I49-1,I49/E49-1)</f>
        <v>4.8497267759562757E-2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5.8744818358014372E-2</v>
      </c>
      <c r="F55" s="625" t="str">
        <f>IF(OR(E55&gt;=0.3,E55&lt;=-0.3),"超过30%","")</f>
        <v/>
      </c>
      <c r="G55" s="624">
        <f>IF(G48&lt;I48,I48/G48-1,G48/I48-1)</f>
        <v>7.4547023295945536E-4</v>
      </c>
      <c r="H55" s="625" t="str">
        <f>IF(OR(G55&gt;=0.3,G55&lt;=-0.3),"超过30%","")</f>
        <v/>
      </c>
      <c r="I55" s="624">
        <f>IF(I48&lt;E48,E48/I48-1,I48/E48-1)</f>
        <v>5.9534081104400283E-2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2292</v>
      </c>
      <c r="E57" s="629" t="s">
        <v>562</v>
      </c>
      <c r="F57" s="630" t="s">
        <v>563</v>
      </c>
      <c r="G57" s="3457" t="s">
        <v>2280</v>
      </c>
      <c r="H57" s="3458"/>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1488</v>
      </c>
      <c r="C58" s="633">
        <v>1</v>
      </c>
      <c r="D58" s="2210">
        <v>1</v>
      </c>
      <c r="E58" s="633">
        <f>'数据-汇总表'!E8+'数据-汇总表'!E9</f>
        <v>163338</v>
      </c>
      <c r="F58" s="634">
        <f t="shared" ref="F58:F67" si="15">ROUND(B58*E58/10000,0)</f>
        <v>24305</v>
      </c>
      <c r="G58" s="3459"/>
      <c r="H58" s="346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61" t="s">
        <v>2281</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6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6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6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2327</v>
      </c>
      <c r="B63" s="636">
        <f t="shared" si="17"/>
        <v>0</v>
      </c>
      <c r="C63" s="376">
        <f t="shared" si="16"/>
        <v>0</v>
      </c>
      <c r="D63" s="2211">
        <v>0.25</v>
      </c>
      <c r="E63" s="639">
        <f>'数据-汇总表'!E11</f>
        <v>0</v>
      </c>
      <c r="F63" s="634">
        <f t="shared" si="15"/>
        <v>0</v>
      </c>
      <c r="G63" s="1927" t="s">
        <v>2282</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2281</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2282</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2293</v>
      </c>
      <c r="E68" s="641">
        <f>IF(B48="楼面地价",SUM(E58:E67),'数据-汇总表'!D3)</f>
        <v>163338</v>
      </c>
      <c r="F68" s="642">
        <f>IF(B48="楼面地价",SUM(F58:F67),ROUND(C50*E68/10000,0))</f>
        <v>24305</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2019-8-1</v>
      </c>
      <c r="D70" s="2751">
        <f>EDATE(C70,-3)</f>
        <v>43586</v>
      </c>
      <c r="E70" s="2751">
        <f t="shared" ref="E70:N70" si="18">EDATE(D70,-3)</f>
        <v>43497</v>
      </c>
      <c r="F70" s="2751">
        <f t="shared" si="18"/>
        <v>43405</v>
      </c>
      <c r="G70" s="2751">
        <f t="shared" si="18"/>
        <v>43313</v>
      </c>
      <c r="H70" s="2751">
        <f t="shared" si="18"/>
        <v>43221</v>
      </c>
      <c r="I70" s="2751">
        <f t="shared" si="18"/>
        <v>43132</v>
      </c>
      <c r="J70" s="2751">
        <f t="shared" si="18"/>
        <v>43040</v>
      </c>
      <c r="K70" s="2751">
        <f t="shared" si="18"/>
        <v>42948</v>
      </c>
      <c r="L70" s="2751">
        <f t="shared" si="18"/>
        <v>42856</v>
      </c>
      <c r="M70" s="2751">
        <f t="shared" si="18"/>
        <v>42767</v>
      </c>
      <c r="N70" s="2751">
        <f t="shared" si="18"/>
        <v>42675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2531</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2646</v>
      </c>
      <c r="B73" s="477" t="str">
        <f>"北京市平均增长率"&amp;TEXT(SUMIF(基准地价!N21:N25,A73,基准地价!P21:P25),"0.00%")</f>
        <v>北京市平均增长率2.04%</v>
      </c>
      <c r="C73" s="892">
        <v>100</v>
      </c>
      <c r="D73" s="3200">
        <v>100</v>
      </c>
      <c r="E73" s="3200">
        <v>99</v>
      </c>
      <c r="F73" s="3200">
        <v>99</v>
      </c>
      <c r="G73" s="3200">
        <v>99</v>
      </c>
      <c r="H73" s="3200">
        <v>99</v>
      </c>
      <c r="I73" s="3200">
        <v>98</v>
      </c>
      <c r="J73" s="3200">
        <v>98</v>
      </c>
      <c r="K73" s="3200">
        <v>98</v>
      </c>
      <c r="L73" s="3200">
        <v>98</v>
      </c>
      <c r="M73" s="3200">
        <v>97</v>
      </c>
      <c r="N73" s="3200">
        <v>97</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2645</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2860" t="s">
        <v>3096</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v>6</v>
      </c>
      <c r="J82" s="539">
        <v>7</v>
      </c>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2547</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2549</v>
      </c>
      <c r="C104" s="2559" t="s">
        <v>2550</v>
      </c>
      <c r="D104" s="2559" t="s">
        <v>2551</v>
      </c>
      <c r="E104" s="2559" t="s">
        <v>2552</v>
      </c>
      <c r="F104" s="2559" t="s">
        <v>2553</v>
      </c>
      <c r="G104" s="2559" t="s">
        <v>2554</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201" t="s">
        <v>3072</v>
      </c>
      <c r="D108" s="3202" t="s">
        <v>3073</v>
      </c>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1" t="str">
        <f t="shared" si="25"/>
        <v>(含)-</v>
      </c>
      <c r="K118" s="3041" t="str">
        <f t="shared" si="25"/>
        <v>(含)-</v>
      </c>
      <c r="L118" s="3042" t="str">
        <f t="shared" si="25"/>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3203">
        <v>0</v>
      </c>
      <c r="D119" s="3203">
        <v>20000</v>
      </c>
      <c r="E119" s="3203">
        <v>50000</v>
      </c>
      <c r="F119" s="3203">
        <v>100000</v>
      </c>
      <c r="G119" s="3203"/>
      <c r="H119" s="3203"/>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3204">
        <v>100</v>
      </c>
      <c r="D120" s="3205">
        <v>101</v>
      </c>
      <c r="E120" s="3204">
        <v>102</v>
      </c>
      <c r="F120" s="3205">
        <v>103</v>
      </c>
      <c r="G120" s="3204"/>
      <c r="H120" s="3205"/>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206" t="s">
        <v>3074</v>
      </c>
      <c r="D121" s="3206" t="s">
        <v>3075</v>
      </c>
      <c r="E121" s="3206" t="s">
        <v>3076</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t="s">
        <v>3077</v>
      </c>
      <c r="D123" s="686" t="s">
        <v>3078</v>
      </c>
      <c r="E123" s="686" t="s">
        <v>3079</v>
      </c>
      <c r="F123" s="716" t="s">
        <v>3080</v>
      </c>
      <c r="G123" s="716" t="s">
        <v>3081</v>
      </c>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2424</v>
      </c>
      <c r="C125" s="1369" t="s">
        <v>3082</v>
      </c>
      <c r="D125" s="1369" t="s">
        <v>3083</v>
      </c>
      <c r="E125" s="1369" t="s">
        <v>3084</v>
      </c>
      <c r="F125" s="1369" t="s">
        <v>3085</v>
      </c>
      <c r="G125" s="1369" t="s">
        <v>3086</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t="s">
        <v>3077</v>
      </c>
      <c r="D127" s="686" t="s">
        <v>3078</v>
      </c>
      <c r="E127" s="716" t="s">
        <v>3079</v>
      </c>
      <c r="F127" s="716" t="s">
        <v>3080</v>
      </c>
      <c r="G127" s="716" t="s">
        <v>3081</v>
      </c>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62" t="str">
        <f>项目基本情况!B1</f>
        <v>出让国有建设用地使用权抵押价格预评估</v>
      </c>
      <c r="C37" s="3262"/>
      <c r="D37" s="3262"/>
      <c r="E37" s="3262"/>
      <c r="F37" s="3262"/>
      <c r="G37" s="3262"/>
      <c r="H37" s="3262"/>
      <c r="I37" s="3262"/>
    </row>
    <row r="38" spans="1:9">
      <c r="A38" s="1638"/>
      <c r="B38" s="1638"/>
    </row>
    <row r="39" spans="1:9">
      <c r="A39" s="1636" t="s">
        <v>1900</v>
      </c>
      <c r="B39" s="1636" t="s">
        <v>2045</v>
      </c>
    </row>
    <row r="40" spans="1:9">
      <c r="A40" s="1636"/>
      <c r="B40" s="1636">
        <f>项目基本情况!B5</f>
        <v>0</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36" t="s">
        <v>522</v>
      </c>
      <c r="D6" s="3437"/>
      <c r="E6" s="3471" t="s">
        <v>523</v>
      </c>
      <c r="F6" s="3472"/>
      <c r="G6" s="3436" t="s">
        <v>524</v>
      </c>
      <c r="H6" s="3437"/>
      <c r="I6" s="3436" t="s">
        <v>525</v>
      </c>
      <c r="J6" s="3437"/>
      <c r="K6" s="512" t="s">
        <v>526</v>
      </c>
      <c r="L6" s="2115"/>
      <c r="M6" s="2116"/>
      <c r="N6" s="2116"/>
      <c r="O6" s="2116"/>
      <c r="P6" s="3438" t="s">
        <v>527</v>
      </c>
      <c r="Q6" s="3439"/>
      <c r="R6" s="3444" t="s">
        <v>523</v>
      </c>
      <c r="S6" s="3445"/>
      <c r="T6" s="3444" t="s">
        <v>524</v>
      </c>
      <c r="U6" s="3445"/>
      <c r="V6" s="3431" t="s">
        <v>525</v>
      </c>
      <c r="W6" s="3431"/>
      <c r="X6" s="1550"/>
      <c r="Y6" s="3444" t="s">
        <v>527</v>
      </c>
      <c r="Z6" s="3445"/>
      <c r="AA6" s="3433" t="s">
        <v>523</v>
      </c>
      <c r="AB6" s="3434" t="s">
        <v>524</v>
      </c>
      <c r="AC6" s="3433" t="s">
        <v>525</v>
      </c>
    </row>
    <row r="7" spans="1:29" ht="15">
      <c r="A7" s="513"/>
      <c r="B7" s="514"/>
      <c r="C7" s="3454" t="s">
        <v>2927</v>
      </c>
      <c r="D7" s="3453"/>
      <c r="E7" s="3473" t="s">
        <v>2928</v>
      </c>
      <c r="F7" s="3474"/>
      <c r="G7" s="3454" t="s">
        <v>2929</v>
      </c>
      <c r="H7" s="3453"/>
      <c r="I7" s="3454" t="s">
        <v>2930</v>
      </c>
      <c r="J7" s="3453"/>
      <c r="K7" s="512"/>
      <c r="L7" s="2115"/>
      <c r="M7" s="2116"/>
      <c r="N7" s="2116"/>
      <c r="O7" s="2116"/>
      <c r="P7" s="3440"/>
      <c r="Q7" s="3441"/>
      <c r="R7" s="3446"/>
      <c r="S7" s="3447"/>
      <c r="T7" s="3446"/>
      <c r="U7" s="3447"/>
      <c r="V7" s="3431"/>
      <c r="W7" s="3431"/>
      <c r="X7" s="1550"/>
      <c r="Y7" s="3446"/>
      <c r="Z7" s="3447"/>
      <c r="AA7" s="3434"/>
      <c r="AB7" s="3434"/>
      <c r="AC7" s="3434"/>
    </row>
    <row r="8" spans="1:29" ht="15.75" thickBot="1">
      <c r="A8" s="515"/>
      <c r="B8" s="516"/>
      <c r="C8" s="3450" t="s">
        <v>2931</v>
      </c>
      <c r="D8" s="3451"/>
      <c r="E8" s="3469" t="s">
        <v>2931</v>
      </c>
      <c r="F8" s="3470"/>
      <c r="G8" s="3450" t="s">
        <v>2931</v>
      </c>
      <c r="H8" s="3451"/>
      <c r="I8" s="3450" t="s">
        <v>2931</v>
      </c>
      <c r="J8" s="3451"/>
      <c r="K8" s="512" t="s">
        <v>528</v>
      </c>
      <c r="L8" s="2115"/>
      <c r="M8" s="2116"/>
      <c r="N8" s="2116"/>
      <c r="O8" s="2116"/>
      <c r="P8" s="3442"/>
      <c r="Q8" s="3443"/>
      <c r="R8" s="3446"/>
      <c r="S8" s="3447"/>
      <c r="T8" s="3448"/>
      <c r="U8" s="3449"/>
      <c r="V8" s="3431"/>
      <c r="W8" s="3431"/>
      <c r="X8" s="1550"/>
      <c r="Y8" s="3448"/>
      <c r="Z8" s="3449"/>
      <c r="AA8" s="3435"/>
      <c r="AB8" s="3435"/>
      <c r="AC8" s="3435"/>
    </row>
    <row r="9" spans="1:29" s="1213" customFormat="1" ht="15.75" thickBot="1">
      <c r="A9" s="2864"/>
      <c r="B9" s="2871" t="s">
        <v>529</v>
      </c>
      <c r="C9" s="517">
        <f>'数据-取费表'!B2</f>
        <v>43691</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62" t="s">
        <v>530</v>
      </c>
      <c r="Q9" s="3464"/>
      <c r="R9" s="1551" t="s">
        <v>8</v>
      </c>
      <c r="S9" s="1552">
        <f t="shared" ref="S9:S17" si="0">F9</f>
        <v>0</v>
      </c>
      <c r="T9" s="1551" t="s">
        <v>8</v>
      </c>
      <c r="U9" s="1552">
        <f t="shared" ref="U9:U17" si="1">H9</f>
        <v>0</v>
      </c>
      <c r="V9" s="1551" t="s">
        <v>8</v>
      </c>
      <c r="W9" s="1552">
        <f t="shared" ref="W9:W17" si="2">J9</f>
        <v>0</v>
      </c>
      <c r="X9" s="1553"/>
      <c r="Y9" s="3462" t="s">
        <v>530</v>
      </c>
      <c r="Z9" s="3463"/>
      <c r="AA9" s="1554" t="e">
        <f>D9/F9</f>
        <v>#DIV/0!</v>
      </c>
      <c r="AB9" s="1554" t="e">
        <f>D9/H9</f>
        <v>#DIV/0!</v>
      </c>
      <c r="AC9" s="1554" t="e">
        <f>D9/J9</f>
        <v>#DIV/0!</v>
      </c>
    </row>
    <row r="10" spans="1:29" s="1213"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62" t="s">
        <v>533</v>
      </c>
      <c r="Q10" s="3463"/>
      <c r="R10" s="1551" t="s">
        <v>8</v>
      </c>
      <c r="S10" s="1552">
        <f t="shared" si="0"/>
        <v>0</v>
      </c>
      <c r="T10" s="1551" t="s">
        <v>8</v>
      </c>
      <c r="U10" s="1552">
        <f t="shared" si="1"/>
        <v>0</v>
      </c>
      <c r="V10" s="1551" t="s">
        <v>8</v>
      </c>
      <c r="W10" s="1552">
        <f t="shared" si="2"/>
        <v>0</v>
      </c>
      <c r="X10" s="1553"/>
      <c r="Y10" s="3462" t="s">
        <v>533</v>
      </c>
      <c r="Z10" s="3463"/>
      <c r="AA10" s="1554" t="e">
        <f t="shared" ref="AA10:AA42" si="3">D10/F10</f>
        <v>#DIV/0!</v>
      </c>
      <c r="AB10" s="1554" t="e">
        <f t="shared" ref="AB10:AB42" si="4">D10/H10</f>
        <v>#DIV/0!</v>
      </c>
      <c r="AC10" s="1554" t="e">
        <f t="shared" ref="AC10:AC42" si="5">D10/J10</f>
        <v>#DIV/0!</v>
      </c>
    </row>
    <row r="11" spans="1:29" s="1213" customFormat="1" ht="15">
      <c r="A11" s="2866"/>
      <c r="B11" s="2873" t="s">
        <v>2755</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30" t="s">
        <v>535</v>
      </c>
      <c r="Q11" s="1144" t="str">
        <f t="shared" ref="Q11:Q17" si="6">B11</f>
        <v>用途</v>
      </c>
      <c r="R11" s="1551" t="s">
        <v>8</v>
      </c>
      <c r="S11" s="1552">
        <f t="shared" si="0"/>
        <v>100</v>
      </c>
      <c r="T11" s="1551" t="s">
        <v>8</v>
      </c>
      <c r="U11" s="1552">
        <f t="shared" si="1"/>
        <v>100</v>
      </c>
      <c r="V11" s="1551" t="s">
        <v>8</v>
      </c>
      <c r="W11" s="1552">
        <f t="shared" si="2"/>
        <v>100</v>
      </c>
      <c r="X11" s="1553"/>
      <c r="Y11" s="3376" t="s">
        <v>536</v>
      </c>
      <c r="Z11" s="1143" t="str">
        <f t="shared" ref="Z11:Z17" si="7">Q11</f>
        <v>用途</v>
      </c>
      <c r="AA11" s="1554">
        <f t="shared" si="3"/>
        <v>1</v>
      </c>
      <c r="AB11" s="1554">
        <f t="shared" si="4"/>
        <v>1</v>
      </c>
      <c r="AC11" s="1554">
        <f t="shared" si="5"/>
        <v>1</v>
      </c>
    </row>
    <row r="12" spans="1:29" s="1331" customFormat="1" ht="27">
      <c r="A12" s="2867"/>
      <c r="B12" s="2872" t="s">
        <v>2756</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430"/>
      <c r="Q12" s="1144" t="str">
        <f t="shared" si="6"/>
        <v>土地使用年限（年）</v>
      </c>
      <c r="R12" s="1551" t="s">
        <v>8</v>
      </c>
      <c r="S12" s="1552">
        <f t="shared" si="0"/>
        <v>101</v>
      </c>
      <c r="T12" s="1551" t="s">
        <v>8</v>
      </c>
      <c r="U12" s="1552">
        <f t="shared" si="1"/>
        <v>101</v>
      </c>
      <c r="V12" s="1551" t="s">
        <v>8</v>
      </c>
      <c r="W12" s="1552">
        <f t="shared" si="2"/>
        <v>101</v>
      </c>
      <c r="X12" s="1553"/>
      <c r="Y12" s="3376"/>
      <c r="Z12" s="1143" t="str">
        <f t="shared" si="7"/>
        <v>土地使用年限（年）</v>
      </c>
      <c r="AA12" s="1554">
        <f t="shared" si="3"/>
        <v>0.99009900990099009</v>
      </c>
      <c r="AB12" s="1554">
        <f t="shared" si="4"/>
        <v>0.99009900990099009</v>
      </c>
      <c r="AC12" s="1554">
        <f t="shared" si="5"/>
        <v>0.99009900990099009</v>
      </c>
    </row>
    <row r="13" spans="1:29" ht="15">
      <c r="A13" s="2868"/>
      <c r="B13" s="2872"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30"/>
      <c r="Q13" s="1144" t="str">
        <f t="shared" si="6"/>
        <v>容积率</v>
      </c>
      <c r="R13" s="1551" t="s">
        <v>8</v>
      </c>
      <c r="S13" s="1552" t="e">
        <f t="shared" si="0"/>
        <v>#N/A</v>
      </c>
      <c r="T13" s="1551" t="s">
        <v>8</v>
      </c>
      <c r="U13" s="1552" t="e">
        <f t="shared" si="1"/>
        <v>#N/A</v>
      </c>
      <c r="V13" s="1551" t="s">
        <v>8</v>
      </c>
      <c r="W13" s="1552" t="e">
        <f t="shared" si="2"/>
        <v>#N/A</v>
      </c>
      <c r="X13" s="1553"/>
      <c r="Y13" s="3376"/>
      <c r="Z13" s="1143" t="str">
        <f t="shared" si="7"/>
        <v>容积率</v>
      </c>
      <c r="AA13" s="1554" t="e">
        <f t="shared" si="3"/>
        <v>#N/A</v>
      </c>
      <c r="AB13" s="1554" t="e">
        <f t="shared" si="4"/>
        <v>#N/A</v>
      </c>
      <c r="AC13" s="1554" t="e">
        <f t="shared" si="5"/>
        <v>#N/A</v>
      </c>
    </row>
    <row r="14" spans="1:29" s="1213"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30"/>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30"/>
      <c r="Q15" s="1144">
        <f t="shared" si="6"/>
        <v>111</v>
      </c>
      <c r="R15" s="1551" t="s">
        <v>8</v>
      </c>
      <c r="S15" s="1552">
        <f t="shared" si="0"/>
        <v>100</v>
      </c>
      <c r="T15" s="1551" t="s">
        <v>8</v>
      </c>
      <c r="U15" s="1552">
        <f t="shared" si="1"/>
        <v>100</v>
      </c>
      <c r="V15" s="1551" t="s">
        <v>8</v>
      </c>
      <c r="W15" s="1552">
        <f t="shared" si="2"/>
        <v>100</v>
      </c>
      <c r="X15" s="1553"/>
      <c r="Y15" s="3376"/>
      <c r="Z15" s="1143">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30"/>
      <c r="Q16" s="1144">
        <f t="shared" si="6"/>
        <v>111</v>
      </c>
      <c r="R16" s="1551" t="s">
        <v>8</v>
      </c>
      <c r="S16" s="1552">
        <f t="shared" si="0"/>
        <v>100</v>
      </c>
      <c r="T16" s="1551" t="s">
        <v>8</v>
      </c>
      <c r="U16" s="1552">
        <f t="shared" si="1"/>
        <v>100</v>
      </c>
      <c r="V16" s="1551" t="s">
        <v>8</v>
      </c>
      <c r="W16" s="1552">
        <f t="shared" si="2"/>
        <v>100</v>
      </c>
      <c r="X16" s="1553"/>
      <c r="Y16" s="3376"/>
      <c r="Z16" s="1143">
        <f t="shared" si="7"/>
        <v>111</v>
      </c>
      <c r="AA16" s="1554">
        <f t="shared" si="3"/>
        <v>1</v>
      </c>
      <c r="AB16" s="1554">
        <f t="shared" si="4"/>
        <v>1</v>
      </c>
      <c r="AC16" s="1554">
        <f t="shared" si="5"/>
        <v>1</v>
      </c>
    </row>
    <row r="17" spans="1:29" ht="57">
      <c r="A17" s="2862"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65" t="s">
        <v>540</v>
      </c>
      <c r="Q17" s="1555" t="str">
        <f t="shared" si="6"/>
        <v>产业集聚程度</v>
      </c>
      <c r="R17" s="1556" t="s">
        <v>8</v>
      </c>
      <c r="S17" s="1557">
        <f t="shared" si="0"/>
        <v>100</v>
      </c>
      <c r="T17" s="1556" t="s">
        <v>8</v>
      </c>
      <c r="U17" s="1557">
        <f t="shared" si="1"/>
        <v>100</v>
      </c>
      <c r="V17" s="1556" t="s">
        <v>8</v>
      </c>
      <c r="W17" s="1557">
        <f t="shared" si="2"/>
        <v>100</v>
      </c>
      <c r="X17" s="1550"/>
      <c r="Y17" s="3465"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66"/>
      <c r="Q18" s="1555"/>
      <c r="R18" s="1556"/>
      <c r="S18" s="1557"/>
      <c r="T18" s="1556"/>
      <c r="U18" s="1557"/>
      <c r="V18" s="1556"/>
      <c r="W18" s="1557"/>
      <c r="X18" s="1550"/>
      <c r="Y18" s="3466"/>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66"/>
      <c r="Q19" s="1555" t="str">
        <f>B19</f>
        <v>交通便捷度</v>
      </c>
      <c r="R19" s="1556" t="s">
        <v>8</v>
      </c>
      <c r="S19" s="1557">
        <f>F19</f>
        <v>100</v>
      </c>
      <c r="T19" s="1556" t="s">
        <v>8</v>
      </c>
      <c r="U19" s="1557">
        <f>H19</f>
        <v>100</v>
      </c>
      <c r="V19" s="1556" t="s">
        <v>8</v>
      </c>
      <c r="W19" s="1557">
        <f>J19</f>
        <v>100</v>
      </c>
      <c r="X19" s="1550"/>
      <c r="Y19" s="3466"/>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66"/>
      <c r="Q20" s="1555"/>
      <c r="R20" s="1556"/>
      <c r="S20" s="1557"/>
      <c r="T20" s="1556"/>
      <c r="U20" s="1557"/>
      <c r="V20" s="1556"/>
      <c r="W20" s="1557"/>
      <c r="X20" s="1550"/>
      <c r="Y20" s="3466"/>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66"/>
      <c r="Q21" s="1555" t="str">
        <f t="shared" ref="Q21:Q35" si="8">B21</f>
        <v>区域土地利用方向</v>
      </c>
      <c r="R21" s="1556" t="s">
        <v>8</v>
      </c>
      <c r="S21" s="1557">
        <f>F21</f>
        <v>100</v>
      </c>
      <c r="T21" s="1556" t="s">
        <v>8</v>
      </c>
      <c r="U21" s="1557">
        <f>H21</f>
        <v>100</v>
      </c>
      <c r="V21" s="1556" t="s">
        <v>8</v>
      </c>
      <c r="W21" s="1557">
        <f>J21</f>
        <v>100</v>
      </c>
      <c r="X21" s="1550"/>
      <c r="Y21" s="346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66"/>
      <c r="Q22" s="1555"/>
      <c r="R22" s="1556"/>
      <c r="S22" s="1557"/>
      <c r="T22" s="1556"/>
      <c r="U22" s="1557"/>
      <c r="V22" s="1556"/>
      <c r="W22" s="1557"/>
      <c r="X22" s="1550"/>
      <c r="Y22" s="3466"/>
      <c r="Z22" s="1558"/>
      <c r="AA22" s="1559"/>
      <c r="AB22" s="1559"/>
      <c r="AC22" s="1559"/>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66"/>
      <c r="Q23" s="1555" t="str">
        <f t="shared" si="8"/>
        <v>环境状况</v>
      </c>
      <c r="R23" s="1556" t="s">
        <v>8</v>
      </c>
      <c r="S23" s="1557">
        <f>F23</f>
        <v>100</v>
      </c>
      <c r="T23" s="1556" t="s">
        <v>8</v>
      </c>
      <c r="U23" s="1557">
        <f>H23</f>
        <v>100</v>
      </c>
      <c r="V23" s="1556" t="s">
        <v>8</v>
      </c>
      <c r="W23" s="1557">
        <f>J23</f>
        <v>100</v>
      </c>
      <c r="X23" s="1550"/>
      <c r="Y23" s="346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66"/>
      <c r="Q24" s="1555"/>
      <c r="R24" s="1556"/>
      <c r="S24" s="1557"/>
      <c r="T24" s="1556"/>
      <c r="U24" s="1557"/>
      <c r="V24" s="1556"/>
      <c r="W24" s="1557"/>
      <c r="X24" s="1550"/>
      <c r="Y24" s="3466"/>
      <c r="Z24" s="1558"/>
      <c r="AA24" s="1559">
        <v>1</v>
      </c>
      <c r="AB24" s="1559">
        <v>1</v>
      </c>
      <c r="AC24" s="1559">
        <v>1</v>
      </c>
    </row>
    <row r="25" spans="1:29" s="1213" customFormat="1" ht="42.75">
      <c r="A25" s="575"/>
      <c r="B25" s="2554"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66"/>
      <c r="Q25" s="1144" t="str">
        <f t="shared" si="8"/>
        <v>公共配套设施</v>
      </c>
      <c r="R25" s="1551" t="s">
        <v>8</v>
      </c>
      <c r="S25" s="1552">
        <f>F25</f>
        <v>100</v>
      </c>
      <c r="T25" s="1551" t="s">
        <v>8</v>
      </c>
      <c r="U25" s="1552">
        <f>H25</f>
        <v>100</v>
      </c>
      <c r="V25" s="1551" t="s">
        <v>8</v>
      </c>
      <c r="W25" s="1552">
        <f>J25</f>
        <v>100</v>
      </c>
      <c r="X25" s="1553"/>
      <c r="Y25" s="3466"/>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66"/>
      <c r="Q26" s="1144"/>
      <c r="R26" s="1551"/>
      <c r="S26" s="1552"/>
      <c r="T26" s="1551"/>
      <c r="U26" s="1552"/>
      <c r="V26" s="1551"/>
      <c r="W26" s="1552"/>
      <c r="X26" s="1553"/>
      <c r="Y26" s="3466"/>
      <c r="Z26" s="1143"/>
      <c r="AA26" s="1554">
        <v>1</v>
      </c>
      <c r="AB26" s="1554">
        <v>1</v>
      </c>
      <c r="AC26" s="1554">
        <v>1</v>
      </c>
    </row>
    <row r="27" spans="1:29" s="1213" customFormat="1" ht="28.5">
      <c r="A27" s="575"/>
      <c r="B27" s="2554"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66"/>
      <c r="Q27" s="2539" t="str">
        <f t="shared" ref="Q27" si="9">B27</f>
        <v>基础设施水平</v>
      </c>
      <c r="R27" s="1551" t="s">
        <v>8</v>
      </c>
      <c r="S27" s="1552">
        <f>F27</f>
        <v>100</v>
      </c>
      <c r="T27" s="1551" t="s">
        <v>8</v>
      </c>
      <c r="U27" s="1552">
        <f>H27</f>
        <v>100</v>
      </c>
      <c r="V27" s="1551" t="s">
        <v>8</v>
      </c>
      <c r="W27" s="1552">
        <f>J27</f>
        <v>100</v>
      </c>
      <c r="X27" s="1553"/>
      <c r="Y27" s="3466"/>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66"/>
      <c r="Q28" s="2539"/>
      <c r="R28" s="1551"/>
      <c r="S28" s="1552"/>
      <c r="T28" s="1551"/>
      <c r="U28" s="1552"/>
      <c r="V28" s="1551"/>
      <c r="W28" s="1552"/>
      <c r="X28" s="1553"/>
      <c r="Y28" s="3466"/>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6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66"/>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66"/>
      <c r="Q30" s="1555" t="str">
        <f t="shared" si="8"/>
        <v>毗邻道路的类型与等级</v>
      </c>
      <c r="R30" s="1556" t="s">
        <v>8</v>
      </c>
      <c r="S30" s="1557">
        <f t="shared" si="10"/>
        <v>100</v>
      </c>
      <c r="T30" s="1556" t="s">
        <v>8</v>
      </c>
      <c r="U30" s="1557">
        <f t="shared" si="11"/>
        <v>100</v>
      </c>
      <c r="V30" s="1556" t="s">
        <v>8</v>
      </c>
      <c r="W30" s="1557">
        <f t="shared" si="12"/>
        <v>100</v>
      </c>
      <c r="X30" s="1550"/>
      <c r="Y30" s="346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66"/>
      <c r="Q31" s="1555"/>
      <c r="R31" s="1556"/>
      <c r="S31" s="1557"/>
      <c r="T31" s="1556"/>
      <c r="U31" s="1557"/>
      <c r="V31" s="1556"/>
      <c r="W31" s="1557"/>
      <c r="X31" s="1550"/>
      <c r="Y31" s="3466"/>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66"/>
      <c r="Q32" s="1555" t="str">
        <f t="shared" si="8"/>
        <v>土地级别</v>
      </c>
      <c r="R32" s="1556" t="s">
        <v>8</v>
      </c>
      <c r="S32" s="1557">
        <f t="shared" si="10"/>
        <v>100</v>
      </c>
      <c r="T32" s="1556" t="s">
        <v>8</v>
      </c>
      <c r="U32" s="1557">
        <f t="shared" si="11"/>
        <v>100</v>
      </c>
      <c r="V32" s="1556" t="s">
        <v>8</v>
      </c>
      <c r="W32" s="1557">
        <f t="shared" si="12"/>
        <v>100</v>
      </c>
      <c r="X32" s="1550"/>
      <c r="Y32" s="346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66"/>
      <c r="Q33" s="1555">
        <f t="shared" si="8"/>
        <v>111</v>
      </c>
      <c r="R33" s="1556" t="s">
        <v>8</v>
      </c>
      <c r="S33" s="1557">
        <f t="shared" si="10"/>
        <v>100</v>
      </c>
      <c r="T33" s="1556" t="s">
        <v>8</v>
      </c>
      <c r="U33" s="1557">
        <f t="shared" si="11"/>
        <v>100</v>
      </c>
      <c r="V33" s="1556" t="s">
        <v>8</v>
      </c>
      <c r="W33" s="1557">
        <f t="shared" si="12"/>
        <v>100</v>
      </c>
      <c r="X33" s="1550"/>
      <c r="Y33" s="346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67" t="s">
        <v>550</v>
      </c>
      <c r="Q34" s="1555">
        <f t="shared" si="8"/>
        <v>111</v>
      </c>
      <c r="R34" s="1556" t="s">
        <v>8</v>
      </c>
      <c r="S34" s="1557">
        <f t="shared" si="10"/>
        <v>100</v>
      </c>
      <c r="T34" s="1556" t="s">
        <v>8</v>
      </c>
      <c r="U34" s="1557">
        <f t="shared" si="11"/>
        <v>100</v>
      </c>
      <c r="V34" s="1556" t="s">
        <v>8</v>
      </c>
      <c r="W34" s="1557">
        <f t="shared" si="12"/>
        <v>100</v>
      </c>
      <c r="X34" s="1550"/>
      <c r="Y34" s="3468"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68"/>
      <c r="Q35" s="1555">
        <f t="shared" si="8"/>
        <v>111</v>
      </c>
      <c r="R35" s="1560" t="s">
        <v>8</v>
      </c>
      <c r="S35" s="1561">
        <f t="shared" si="10"/>
        <v>100</v>
      </c>
      <c r="T35" s="1560" t="s">
        <v>8</v>
      </c>
      <c r="U35" s="1561">
        <f t="shared" si="11"/>
        <v>100</v>
      </c>
      <c r="V35" s="1560" t="s">
        <v>8</v>
      </c>
      <c r="W35" s="1561">
        <f t="shared" si="12"/>
        <v>100</v>
      </c>
      <c r="X35" s="1562"/>
      <c r="Y35" s="3468"/>
      <c r="Z35" s="1563">
        <f t="shared" si="13"/>
        <v>111</v>
      </c>
      <c r="AA35" s="1559">
        <f t="shared" si="3"/>
        <v>1</v>
      </c>
      <c r="AB35" s="1559">
        <f t="shared" si="4"/>
        <v>1</v>
      </c>
      <c r="AC35" s="1559">
        <f t="shared" si="5"/>
        <v>1</v>
      </c>
    </row>
    <row r="36" spans="1:29" ht="15">
      <c r="A36" s="2859"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68"/>
      <c r="Q36" s="1555" t="str">
        <f>B36</f>
        <v>宗地面积</v>
      </c>
      <c r="R36" s="1556" t="s">
        <v>8</v>
      </c>
      <c r="S36" s="1557" t="e">
        <f t="shared" si="10"/>
        <v>#N/A</v>
      </c>
      <c r="T36" s="1556" t="s">
        <v>8</v>
      </c>
      <c r="U36" s="1557" t="e">
        <f t="shared" si="11"/>
        <v>#N/A</v>
      </c>
      <c r="V36" s="1556" t="s">
        <v>8</v>
      </c>
      <c r="W36" s="1557" t="e">
        <f t="shared" si="12"/>
        <v>#N/A</v>
      </c>
      <c r="X36" s="1550"/>
      <c r="Y36" s="3468"/>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68"/>
      <c r="Q37" s="1555" t="str">
        <f t="shared" ref="Q37:Q42" si="14">B37</f>
        <v>宗地形状</v>
      </c>
      <c r="R37" s="1556" t="s">
        <v>8</v>
      </c>
      <c r="S37" s="1557">
        <f t="shared" si="10"/>
        <v>100</v>
      </c>
      <c r="T37" s="1556" t="s">
        <v>8</v>
      </c>
      <c r="U37" s="1557">
        <f t="shared" si="11"/>
        <v>100</v>
      </c>
      <c r="V37" s="1556" t="s">
        <v>8</v>
      </c>
      <c r="W37" s="1557">
        <f t="shared" si="12"/>
        <v>100</v>
      </c>
      <c r="X37" s="1550"/>
      <c r="Y37" s="3468"/>
      <c r="Z37" s="1558" t="str">
        <f t="shared" si="13"/>
        <v>宗地形状</v>
      </c>
      <c r="AA37" s="1559">
        <f t="shared" si="3"/>
        <v>1</v>
      </c>
      <c r="AB37" s="1559">
        <f t="shared" si="4"/>
        <v>1</v>
      </c>
      <c r="AC37" s="1559">
        <f t="shared" si="5"/>
        <v>1</v>
      </c>
    </row>
    <row r="38" spans="1:29" s="1213" customFormat="1" ht="15">
      <c r="A38" s="598"/>
      <c r="B38" s="1877"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68"/>
      <c r="Q38" s="1555" t="str">
        <f t="shared" si="14"/>
        <v>宗地开发程度</v>
      </c>
      <c r="R38" s="1551" t="s">
        <v>8</v>
      </c>
      <c r="S38" s="1552">
        <f t="shared" si="10"/>
        <v>100</v>
      </c>
      <c r="T38" s="1551" t="s">
        <v>8</v>
      </c>
      <c r="U38" s="1552">
        <f t="shared" si="11"/>
        <v>100</v>
      </c>
      <c r="V38" s="1551" t="s">
        <v>8</v>
      </c>
      <c r="W38" s="1552">
        <f t="shared" si="12"/>
        <v>100</v>
      </c>
      <c r="X38" s="1553"/>
      <c r="Y38" s="3468"/>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68" t="s">
        <v>601</v>
      </c>
      <c r="Q39" s="1555" t="str">
        <f t="shared" si="14"/>
        <v>工程地质条件</v>
      </c>
      <c r="R39" s="1556" t="s">
        <v>8</v>
      </c>
      <c r="S39" s="1557">
        <f t="shared" si="10"/>
        <v>100</v>
      </c>
      <c r="T39" s="1556" t="s">
        <v>8</v>
      </c>
      <c r="U39" s="1557">
        <f t="shared" si="11"/>
        <v>100</v>
      </c>
      <c r="V39" s="1556" t="s">
        <v>8</v>
      </c>
      <c r="W39" s="1557">
        <f t="shared" si="12"/>
        <v>100</v>
      </c>
      <c r="X39" s="1550"/>
      <c r="Y39" s="3468"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68"/>
      <c r="Q40" s="1555">
        <f t="shared" si="14"/>
        <v>111</v>
      </c>
      <c r="R40" s="1556" t="s">
        <v>8</v>
      </c>
      <c r="S40" s="1557">
        <f t="shared" si="10"/>
        <v>100</v>
      </c>
      <c r="T40" s="1556" t="s">
        <v>8</v>
      </c>
      <c r="U40" s="1557">
        <f t="shared" si="11"/>
        <v>100</v>
      </c>
      <c r="V40" s="1556" t="s">
        <v>8</v>
      </c>
      <c r="W40" s="1557">
        <f t="shared" si="12"/>
        <v>100</v>
      </c>
      <c r="X40" s="1550"/>
      <c r="Y40" s="346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68"/>
      <c r="Q41" s="1555">
        <f t="shared" si="14"/>
        <v>111</v>
      </c>
      <c r="R41" s="1556" t="s">
        <v>8</v>
      </c>
      <c r="S41" s="1557">
        <f t="shared" si="10"/>
        <v>100</v>
      </c>
      <c r="T41" s="1556" t="s">
        <v>8</v>
      </c>
      <c r="U41" s="1557">
        <f t="shared" si="11"/>
        <v>100</v>
      </c>
      <c r="V41" s="1556" t="s">
        <v>8</v>
      </c>
      <c r="W41" s="1557">
        <f t="shared" si="12"/>
        <v>100</v>
      </c>
      <c r="X41" s="1550"/>
      <c r="Y41" s="3468"/>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68"/>
      <c r="Q42" s="1555">
        <f t="shared" si="14"/>
        <v>111</v>
      </c>
      <c r="R42" s="1560" t="s">
        <v>8</v>
      </c>
      <c r="S42" s="1561">
        <f t="shared" si="10"/>
        <v>100</v>
      </c>
      <c r="T42" s="1560" t="s">
        <v>8</v>
      </c>
      <c r="U42" s="1561">
        <f t="shared" si="11"/>
        <v>100</v>
      </c>
      <c r="V42" s="1560" t="s">
        <v>8</v>
      </c>
      <c r="W42" s="1561">
        <f t="shared" si="12"/>
        <v>100</v>
      </c>
      <c r="X42" s="1562"/>
      <c r="Y42" s="3468"/>
      <c r="Z42" s="1563">
        <f t="shared" si="13"/>
        <v>111</v>
      </c>
      <c r="AA42" s="1559">
        <f t="shared" si="3"/>
        <v>1</v>
      </c>
      <c r="AB42" s="1559">
        <f t="shared" si="4"/>
        <v>1</v>
      </c>
      <c r="AC42" s="1559">
        <f t="shared" si="5"/>
        <v>1</v>
      </c>
    </row>
    <row r="43" spans="1:29" ht="15">
      <c r="A43" s="605" t="s">
        <v>556</v>
      </c>
      <c r="B43" s="606" t="s">
        <v>2932</v>
      </c>
      <c r="C43" s="607" t="s">
        <v>1</v>
      </c>
      <c r="D43" s="608"/>
      <c r="E43" s="609"/>
      <c r="F43" s="610"/>
      <c r="G43" s="611"/>
      <c r="H43" s="612"/>
      <c r="I43" s="609"/>
      <c r="J43" s="612"/>
      <c r="K43" s="1333"/>
      <c r="L43" s="2126"/>
      <c r="M43" s="2116"/>
      <c r="N43" s="2116"/>
      <c r="O43" s="2127"/>
      <c r="P43" s="3430" t="str">
        <f>A43</f>
        <v>成交单价</v>
      </c>
      <c r="Q43" s="3430"/>
      <c r="R43" s="3431">
        <f>E43</f>
        <v>0</v>
      </c>
      <c r="S43" s="3431"/>
      <c r="T43" s="3431">
        <f>G43</f>
        <v>0</v>
      </c>
      <c r="U43" s="3431"/>
      <c r="V43" s="3431">
        <f>I43</f>
        <v>0</v>
      </c>
      <c r="W43" s="3431"/>
      <c r="X43" s="1542"/>
      <c r="Y43" s="1564"/>
      <c r="Z43" s="1542"/>
      <c r="AA43" s="1542"/>
      <c r="AB43" s="1542"/>
      <c r="AC43" s="1542"/>
    </row>
    <row r="44" spans="1:29" ht="15.75" thickBot="1">
      <c r="A44" s="613" t="s">
        <v>2692</v>
      </c>
      <c r="B44" s="614"/>
      <c r="C44" s="615" t="e">
        <f>R45</f>
        <v>#DIV/0!</v>
      </c>
      <c r="D44" s="616"/>
      <c r="E44" s="615" t="e">
        <f>R44</f>
        <v>#DIV/0!</v>
      </c>
      <c r="F44" s="617"/>
      <c r="G44" s="618" t="e">
        <f>T44</f>
        <v>#DIV/0!</v>
      </c>
      <c r="H44" s="616"/>
      <c r="I44" s="615" t="e">
        <f>V44</f>
        <v>#DIV/0!</v>
      </c>
      <c r="J44" s="616"/>
      <c r="K44" s="1334"/>
      <c r="L44" s="2126"/>
      <c r="M44" s="2116"/>
      <c r="N44" s="2116"/>
      <c r="O44" s="2127"/>
      <c r="P44" s="3430" t="str">
        <f>A44</f>
        <v>比较价格（元/平方米）</v>
      </c>
      <c r="Q44" s="3430"/>
      <c r="R44" s="3432" t="e">
        <f>ROUND(PRODUCT(R43,AA9:AA42),0)</f>
        <v>#DIV/0!</v>
      </c>
      <c r="S44" s="3432"/>
      <c r="T44" s="3432" t="e">
        <f>ROUND(PRODUCT(T43,AB9:AB42),0)</f>
        <v>#DIV/0!</v>
      </c>
      <c r="U44" s="3432"/>
      <c r="V44" s="3432" t="e">
        <f>ROUND(PRODUCT(V43,AC9:AC42),0)</f>
        <v>#DIV/0!</v>
      </c>
      <c r="W44" s="3432"/>
      <c r="X44" s="1542"/>
      <c r="Y44" s="1542"/>
      <c r="Z44" s="1542"/>
      <c r="AA44" s="1542"/>
      <c r="AB44" s="1542"/>
      <c r="AC44" s="1542"/>
    </row>
    <row r="45" spans="1:29" ht="15.75" thickBot="1">
      <c r="A45" s="619" t="s">
        <v>2933</v>
      </c>
      <c r="B45" s="620"/>
      <c r="C45" s="621" t="e">
        <f>R45</f>
        <v>#DIV/0!</v>
      </c>
      <c r="D45" s="621"/>
      <c r="E45" s="621"/>
      <c r="F45" s="621"/>
      <c r="G45" s="621"/>
      <c r="H45" s="621"/>
      <c r="I45" s="621"/>
      <c r="J45" s="621"/>
      <c r="K45" s="1335"/>
      <c r="L45" s="2126"/>
      <c r="M45" s="2116"/>
      <c r="N45" s="2116"/>
      <c r="O45" s="2127"/>
      <c r="P45" s="3427" t="str">
        <f>A45</f>
        <v>估价对象XX用房的比较价格（楼面单价，元/平方米）</v>
      </c>
      <c r="Q45" s="3428"/>
      <c r="R45" s="3429" t="e">
        <f>ROUND(AVERAGE(R44:V44),0)</f>
        <v>#DIV/0!</v>
      </c>
      <c r="S45" s="3429"/>
      <c r="T45" s="3429"/>
      <c r="U45" s="3429"/>
      <c r="V45" s="3429"/>
      <c r="W45" s="342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2292</v>
      </c>
      <c r="E52" s="629" t="s">
        <v>562</v>
      </c>
      <c r="F52" s="1933" t="s">
        <v>563</v>
      </c>
      <c r="G52" s="3475" t="s">
        <v>2283</v>
      </c>
      <c r="H52" s="3476"/>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163338</v>
      </c>
      <c r="F53" s="1932" t="e">
        <f t="shared" ref="F53:F62" si="15">ROUND(B53*E53/10000,0)</f>
        <v>#DIV/0!</v>
      </c>
      <c r="G53" s="3477"/>
      <c r="H53" s="347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79" t="s">
        <v>2284</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79"/>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79"/>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79"/>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2327</v>
      </c>
      <c r="B58" s="636" t="e">
        <f t="shared" si="17"/>
        <v>#DIV/0!</v>
      </c>
      <c r="C58" s="376">
        <f t="shared" si="16"/>
        <v>0</v>
      </c>
      <c r="D58" s="2211">
        <v>0.25</v>
      </c>
      <c r="E58" s="639">
        <f>'数据-汇总表'!E11</f>
        <v>0</v>
      </c>
      <c r="F58" s="1932" t="e">
        <f t="shared" si="15"/>
        <v>#DIV/0!</v>
      </c>
      <c r="G58" s="1938" t="s">
        <v>2285</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2284</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2285</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2293</v>
      </c>
      <c r="E63" s="641">
        <f>IF(B43="楼面地价",SUM(E53:E62),'数据-汇总表'!D3)</f>
        <v>54446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2019-8-1</v>
      </c>
      <c r="D65" s="2751">
        <f>EDATE(C65,-3)</f>
        <v>43586</v>
      </c>
      <c r="E65" s="2751">
        <f t="shared" ref="E65:N65" si="18">EDATE(D65,-3)</f>
        <v>43497</v>
      </c>
      <c r="F65" s="2751">
        <f t="shared" si="18"/>
        <v>43405</v>
      </c>
      <c r="G65" s="2751">
        <f t="shared" si="18"/>
        <v>43313</v>
      </c>
      <c r="H65" s="2751">
        <f t="shared" si="18"/>
        <v>43221</v>
      </c>
      <c r="I65" s="2751">
        <f t="shared" si="18"/>
        <v>43132</v>
      </c>
      <c r="J65" s="2751">
        <f t="shared" si="18"/>
        <v>43040</v>
      </c>
      <c r="K65" s="2751">
        <f t="shared" si="18"/>
        <v>42948</v>
      </c>
      <c r="L65" s="2751">
        <f t="shared" si="18"/>
        <v>42856</v>
      </c>
      <c r="M65" s="2751">
        <f t="shared" si="18"/>
        <v>42767</v>
      </c>
      <c r="N65" s="2751">
        <f t="shared" si="18"/>
        <v>42675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2532</v>
      </c>
      <c r="B67" s="644"/>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2648</v>
      </c>
      <c r="B68" s="477" t="str">
        <f>"北京市平均增长率"&amp;TEXT(基准地价!P24,"0.00%")</f>
        <v>北京市平均增长率1.40%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2547</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2549</v>
      </c>
      <c r="C95" s="2559" t="s">
        <v>2550</v>
      </c>
      <c r="D95" s="2559" t="s">
        <v>2551</v>
      </c>
      <c r="E95" s="2559" t="s">
        <v>2552</v>
      </c>
      <c r="F95" s="2559" t="s">
        <v>2553</v>
      </c>
      <c r="G95" s="2559" t="s">
        <v>2554</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2424</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13"/>
      <c r="G1" s="1394"/>
      <c r="H1" s="1394"/>
      <c r="I1" s="1394"/>
      <c r="J1" s="1394"/>
      <c r="K1" s="1394"/>
      <c r="L1" s="1864" t="s">
        <v>2237</v>
      </c>
      <c r="M1" s="1865">
        <f>SUMPRODUCT((区片价!B5:B9=I2)*(区片价!C3:F3=E2)*(区片价!C5:F9))</f>
        <v>0</v>
      </c>
      <c r="N1" s="1866">
        <f>SUMPRODUCT((因素修正幅度!B5:B9=I2)*(因素修正幅度!C3:F3=E2)*(因素修正幅度!C5:F9))</f>
        <v>0</v>
      </c>
      <c r="O1" s="1394"/>
      <c r="P1" s="1394"/>
      <c r="Q1" s="2171"/>
      <c r="R1" s="2888" t="s">
        <v>2761</v>
      </c>
      <c r="S1" s="2888" t="s">
        <v>2762</v>
      </c>
      <c r="T1" s="2888" t="s">
        <v>2783</v>
      </c>
      <c r="U1" s="2888" t="s">
        <v>2784</v>
      </c>
      <c r="V1" s="2888" t="s">
        <v>2785</v>
      </c>
      <c r="W1" s="2171"/>
      <c r="X1" s="2171"/>
      <c r="Y1" s="2171"/>
      <c r="Z1" s="2171"/>
      <c r="AA1" s="2171"/>
      <c r="AB1" s="2171"/>
      <c r="AC1" s="2172"/>
    </row>
    <row r="2" spans="1:39" ht="15.75">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2238</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1686</v>
      </c>
      <c r="B3" s="1035" t="e">
        <f>ROUND(B2*10000/D1,0)</f>
        <v>#DIV/0!</v>
      </c>
      <c r="C3" s="1400" t="s">
        <v>926</v>
      </c>
      <c r="D3" s="1401" t="s">
        <v>927</v>
      </c>
      <c r="E3" s="1405"/>
      <c r="F3" s="1406"/>
      <c r="G3" s="1036">
        <f>IF(F3="宗地容积率",'数据-汇总表'!I4,IF(F3="估价对象容积率",'数据-汇总表'!I6,'数据-汇总表'!I7))</f>
        <v>3</v>
      </c>
      <c r="H3" s="1407" t="s">
        <v>928</v>
      </c>
      <c r="I3" s="1037">
        <v>8</v>
      </c>
      <c r="J3" s="1403" t="s">
        <v>929</v>
      </c>
      <c r="K3" s="1403"/>
      <c r="L3" s="1867" t="s">
        <v>2239</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2279</v>
      </c>
      <c r="B4" s="2414" t="e">
        <f>ROUND(B2*10000/F1,0)</f>
        <v>#DIV/0!</v>
      </c>
      <c r="C4" s="1876" t="s">
        <v>2253</v>
      </c>
      <c r="D4" s="1876" t="e">
        <f>ROUND(B2/(F1/666.67),0)</f>
        <v>#DIV/0!</v>
      </c>
      <c r="E4" s="1876" t="s">
        <v>2254</v>
      </c>
      <c r="F4" s="1874"/>
      <c r="G4" s="1874"/>
      <c r="H4" s="1874"/>
      <c r="I4" s="1874"/>
      <c r="J4" s="1875"/>
      <c r="K4" s="3145"/>
      <c r="L4" s="1867" t="s">
        <v>2240</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1822</v>
      </c>
      <c r="B5" s="1408" t="s">
        <v>930</v>
      </c>
      <c r="C5" s="1038" t="e">
        <f>ROUND(IF(E2="商业",C6*C7+C16,(IF(E2="住宅",C6*C12+C16,C6+C16))),0)</f>
        <v>#DIV/0!</v>
      </c>
      <c r="D5" s="3069" t="e">
        <f>ROUND(C6+C16,0)</f>
        <v>#DIV/0!</v>
      </c>
      <c r="E5" s="3069"/>
      <c r="F5" s="1409"/>
      <c r="G5" s="1410"/>
      <c r="H5" s="1410"/>
      <c r="I5" s="1410"/>
      <c r="J5" s="1411"/>
      <c r="K5" s="3146"/>
      <c r="L5" s="1867" t="s">
        <v>2241</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39">
        <f>SUMIF(L1:L12,基准地价!G2,M1:M12)</f>
        <v>0</v>
      </c>
      <c r="D6" s="1416" t="s">
        <v>1694</v>
      </c>
      <c r="E6" s="1417"/>
      <c r="F6" s="1417"/>
      <c r="G6" s="1418"/>
      <c r="H6" s="1418"/>
      <c r="I6" s="1418"/>
      <c r="J6" s="1419"/>
      <c r="K6" s="1449"/>
      <c r="L6" s="1867" t="s">
        <v>2242</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91" t="str">
        <f>IF(E2="商业",IF(C8="不临58条商业街","",2),"")</f>
        <v/>
      </c>
      <c r="B7" s="1420" t="s">
        <v>931</v>
      </c>
      <c r="C7" s="1040" t="e">
        <f>IF(C8="不临58条商业街",1,ROUND(1+(1.6*E8+1.2*E9+0.8*E10+0.4*E11)*C9,4))</f>
        <v>#DIV/0!</v>
      </c>
      <c r="D7" s="1421" t="s">
        <v>932</v>
      </c>
      <c r="E7" s="1041"/>
      <c r="F7" s="1422"/>
      <c r="G7" s="1423"/>
      <c r="H7" s="1423"/>
      <c r="I7" s="1423"/>
      <c r="J7" s="1424"/>
      <c r="K7" s="1449"/>
      <c r="L7" s="1867" t="s">
        <v>2243</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2764</v>
      </c>
      <c r="X7" s="2879">
        <f>G2</f>
        <v>0</v>
      </c>
      <c r="Y7" s="2879" t="s">
        <v>2765</v>
      </c>
      <c r="Z7" s="2880">
        <f>G3</f>
        <v>3</v>
      </c>
      <c r="AA7" s="2174"/>
      <c r="AB7" s="2174"/>
      <c r="AC7" s="2175"/>
      <c r="AD7" s="2881"/>
      <c r="AE7" s="2881"/>
      <c r="AF7" s="2881"/>
      <c r="AG7" s="2881"/>
      <c r="AH7" s="2881"/>
      <c r="AI7" s="2881"/>
      <c r="AJ7" s="2882"/>
    </row>
    <row r="8" spans="1:39" ht="15">
      <c r="A8" s="3492"/>
      <c r="B8" s="1407" t="s">
        <v>933</v>
      </c>
      <c r="C8" s="1513"/>
      <c r="D8" s="1042" t="s">
        <v>934</v>
      </c>
      <c r="E8" s="1043" t="e">
        <f>ROUND(C11/E7,4)</f>
        <v>#DIV/0!</v>
      </c>
      <c r="F8" s="1425" t="s">
        <v>935</v>
      </c>
      <c r="G8" s="1426"/>
      <c r="H8" s="1426"/>
      <c r="I8" s="1426"/>
      <c r="J8" s="1427"/>
      <c r="K8" s="1449"/>
      <c r="L8" s="1867" t="s">
        <v>2244</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81" t="s">
        <v>2782</v>
      </c>
      <c r="X8" s="3482"/>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92"/>
      <c r="B9" s="1407" t="s">
        <v>936</v>
      </c>
      <c r="C9" s="1044">
        <f>SUMIF(修正!C59:C119,C8,修正!E59:E119)</f>
        <v>0</v>
      </c>
      <c r="D9" s="1045" t="s">
        <v>937</v>
      </c>
      <c r="E9" s="1045" t="e">
        <f>ROUND(C11/E7,4)</f>
        <v>#DIV/0!</v>
      </c>
      <c r="F9" s="1425" t="s">
        <v>938</v>
      </c>
      <c r="G9" s="1426"/>
      <c r="H9" s="1426"/>
      <c r="I9" s="1426"/>
      <c r="J9" s="1427"/>
      <c r="K9" s="1449"/>
      <c r="L9" s="1867" t="s">
        <v>2245</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80" t="s">
        <v>2778</v>
      </c>
      <c r="X9" s="2883" t="s">
        <v>2779</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92"/>
      <c r="B10" s="1407" t="s">
        <v>939</v>
      </c>
      <c r="C10" s="1045">
        <f>SUMIF(修正!C59:C119,C8,修正!F59:F119)</f>
        <v>0</v>
      </c>
      <c r="D10" s="1045" t="s">
        <v>940</v>
      </c>
      <c r="E10" s="1045" t="e">
        <f>ROUND(C11/E7,4)</f>
        <v>#DIV/0!</v>
      </c>
      <c r="F10" s="1425" t="s">
        <v>941</v>
      </c>
      <c r="G10" s="1426"/>
      <c r="H10" s="1426"/>
      <c r="I10" s="1426"/>
      <c r="J10" s="1427"/>
      <c r="K10" s="1449"/>
      <c r="L10" s="1867" t="s">
        <v>2246</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8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92"/>
      <c r="B11" s="1428" t="s">
        <v>942</v>
      </c>
      <c r="C11" s="1046">
        <f>C10/4</f>
        <v>0</v>
      </c>
      <c r="D11" s="1046" t="s">
        <v>943</v>
      </c>
      <c r="E11" s="1046" t="e">
        <f>ROUND(C11/E7,4)</f>
        <v>#DIV/0!</v>
      </c>
      <c r="F11" s="1429" t="s">
        <v>944</v>
      </c>
      <c r="G11" s="1430"/>
      <c r="H11" s="1430"/>
      <c r="I11" s="1430"/>
      <c r="J11" s="1431"/>
      <c r="K11" s="1449"/>
      <c r="L11" s="1867" t="s">
        <v>2247</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80" t="s">
        <v>2780</v>
      </c>
      <c r="X11" s="1045" t="s">
        <v>2765</v>
      </c>
      <c r="Y11" s="1635">
        <f>$G$3</f>
        <v>3</v>
      </c>
      <c r="Z11" s="1635">
        <f t="shared" ref="Z11:AJ11" si="3">$G$3</f>
        <v>3</v>
      </c>
      <c r="AA11" s="1635">
        <f t="shared" si="3"/>
        <v>3</v>
      </c>
      <c r="AB11" s="1635">
        <f t="shared" si="3"/>
        <v>3</v>
      </c>
      <c r="AC11" s="1635">
        <f t="shared" si="3"/>
        <v>3</v>
      </c>
      <c r="AD11" s="1635">
        <f t="shared" si="3"/>
        <v>3</v>
      </c>
      <c r="AE11" s="1635">
        <f t="shared" si="3"/>
        <v>3</v>
      </c>
      <c r="AF11" s="1635">
        <f t="shared" si="3"/>
        <v>3</v>
      </c>
      <c r="AG11" s="1635">
        <f t="shared" si="3"/>
        <v>3</v>
      </c>
      <c r="AH11" s="1635">
        <f t="shared" si="3"/>
        <v>3</v>
      </c>
      <c r="AI11" s="1635">
        <f t="shared" si="3"/>
        <v>3</v>
      </c>
      <c r="AJ11" s="1635">
        <f t="shared" si="3"/>
        <v>3</v>
      </c>
    </row>
    <row r="12" spans="1:39" ht="25.5" thickBot="1">
      <c r="A12" s="3491" t="s">
        <v>1870</v>
      </c>
      <c r="B12" s="1432" t="s">
        <v>945</v>
      </c>
      <c r="C12" s="1040">
        <f>ROUND(C15*D15*E15*F15*G15*H15*I15*J15,4)</f>
        <v>1</v>
      </c>
      <c r="D12" s="1433" t="s">
        <v>946</v>
      </c>
      <c r="E12" s="1434"/>
      <c r="F12" s="1434"/>
      <c r="G12" s="1435"/>
      <c r="H12" s="1435"/>
      <c r="I12" s="1435"/>
      <c r="J12" s="1436"/>
      <c r="K12" s="1449"/>
      <c r="L12" s="1870" t="s">
        <v>2248</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80"/>
      <c r="X12" s="2886" t="s">
        <v>2781</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93"/>
      <c r="B13" s="1437" t="s">
        <v>1695</v>
      </c>
      <c r="C13" s="1438" t="s">
        <v>1696</v>
      </c>
      <c r="D13" s="1082" t="s">
        <v>1697</v>
      </c>
      <c r="E13" s="1082" t="s">
        <v>1698</v>
      </c>
      <c r="F13" s="1439" t="s">
        <v>947</v>
      </c>
      <c r="G13" s="1440" t="s">
        <v>1641</v>
      </c>
      <c r="H13" s="1441" t="s">
        <v>1641</v>
      </c>
      <c r="I13" s="1442" t="s">
        <v>1641</v>
      </c>
      <c r="J13" s="1443" t="s">
        <v>1641</v>
      </c>
      <c r="K13" s="3161"/>
      <c r="L13" s="3161"/>
      <c r="M13" s="3161"/>
      <c r="N13" s="3161"/>
      <c r="O13" s="3161"/>
      <c r="P13" s="1394"/>
      <c r="Q13" s="2171"/>
      <c r="R13" s="2889">
        <v>12</v>
      </c>
      <c r="S13" s="2878"/>
      <c r="T13" s="2889" t="e">
        <f t="shared" si="0"/>
        <v>#DIV/0!</v>
      </c>
      <c r="U13" s="2878"/>
      <c r="V13" s="2889" t="e">
        <f t="shared" si="1"/>
        <v>#DIV/0!</v>
      </c>
      <c r="W13" s="3480"/>
      <c r="X13" s="2886"/>
      <c r="Y13" s="2885">
        <f>(-0.163*(Y12^2)-0.59*Y12+7617)*(10^(-4))/Y11</f>
        <v>0.25390000000000001</v>
      </c>
      <c r="Z13" s="2885">
        <f t="shared" ref="Z13:AJ13" si="5">(-0.163*(Z12^2)-0.59*Z12+7617)*(10^(-4))/Z11</f>
        <v>0.25390000000000001</v>
      </c>
      <c r="AA13" s="2885">
        <f t="shared" si="5"/>
        <v>0.25390000000000001</v>
      </c>
      <c r="AB13" s="2885">
        <f t="shared" si="5"/>
        <v>0.25390000000000001</v>
      </c>
      <c r="AC13" s="2885">
        <f t="shared" si="5"/>
        <v>0.25390000000000001</v>
      </c>
      <c r="AD13" s="2885">
        <f t="shared" si="5"/>
        <v>0.25390000000000001</v>
      </c>
      <c r="AE13" s="2885">
        <f t="shared" si="5"/>
        <v>0.25390000000000001</v>
      </c>
      <c r="AF13" s="2885">
        <f t="shared" si="5"/>
        <v>0.25390000000000001</v>
      </c>
      <c r="AG13" s="2885">
        <f t="shared" si="5"/>
        <v>0.25390000000000001</v>
      </c>
      <c r="AH13" s="2885">
        <f t="shared" si="5"/>
        <v>0.25390000000000001</v>
      </c>
      <c r="AI13" s="2885">
        <f t="shared" si="5"/>
        <v>0.25390000000000001</v>
      </c>
      <c r="AJ13" s="2885">
        <f t="shared" si="5"/>
        <v>0.25390000000000001</v>
      </c>
    </row>
    <row r="14" spans="1:39" ht="12.75" customHeight="1">
      <c r="A14" s="3493"/>
      <c r="B14" s="1444"/>
      <c r="C14" s="1445"/>
      <c r="D14" s="1446"/>
      <c r="E14" s="1446"/>
      <c r="F14" s="1447"/>
      <c r="G14" s="1448" t="s">
        <v>948</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94"/>
      <c r="B15" s="3166" t="s">
        <v>1699</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91" t="s">
        <v>1837</v>
      </c>
      <c r="B16" s="1420" t="s">
        <v>949</v>
      </c>
      <c r="C16" s="1049" t="e">
        <f>ROUND(IF(F17="与级别开发程度一致",0,(G17-E17)/C17),0)</f>
        <v>#DIV/0!</v>
      </c>
      <c r="D16" s="3488" t="s">
        <v>953</v>
      </c>
      <c r="E16" s="3489"/>
      <c r="F16" s="3488" t="s">
        <v>950</v>
      </c>
      <c r="G16" s="3489"/>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95"/>
      <c r="B17" s="3172" t="s">
        <v>952</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1828</v>
      </c>
      <c r="B18" s="3167" t="s">
        <v>954</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0">
        <f>ROUND(IF(H19="按公示增长率计算",SUMPRODUCT((地价!A3:A27=YEAR(G19)&amp;"-"&amp;ROUNDUP(MONTH(G19)/3,0))*(地价!X2:AB2=E2)*(地价!X3:AB27)),IF(H19="地价指数",M20/M19,(1+I19)^O19)),4)</f>
        <v>0</v>
      </c>
      <c r="D19" s="1459" t="s">
        <v>956</v>
      </c>
      <c r="E19" s="1051">
        <v>41640</v>
      </c>
      <c r="F19" s="1459" t="s">
        <v>957</v>
      </c>
      <c r="G19" s="1052">
        <f>'数据-取费表'!B2</f>
        <v>43691</v>
      </c>
      <c r="H19" s="1460" t="s">
        <v>2993</v>
      </c>
      <c r="I19" s="2737" t="str">
        <f>IF(H19="季度增幅（自定义）",SUMIF(N21:N24,E2,O21:O24),"")</f>
        <v/>
      </c>
      <c r="J19" s="1456"/>
      <c r="K19" s="3146"/>
      <c r="L19" s="2989" t="s">
        <v>2840</v>
      </c>
      <c r="M19" s="2990">
        <f>ROUND(SUMIF(地价!B2:F2,E2,地价!B27:F27),0)</f>
        <v>0</v>
      </c>
      <c r="N19" s="2739" t="s">
        <v>1675</v>
      </c>
      <c r="O19" s="2738">
        <f>ROUNDDOWN(DATEDIF(E19,G19,"M")/3,0)</f>
        <v>22</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1835</v>
      </c>
      <c r="B20" s="2732" t="s">
        <v>970</v>
      </c>
      <c r="C20" s="2733" t="e">
        <f>ROUND(POWER(1+G20,J20-I20)*(POWER(1+G20,I20)-1)/(POWER(1+G20,J20)-1),4)</f>
        <v>#DIV/0!</v>
      </c>
      <c r="D20" s="2734" t="s">
        <v>971</v>
      </c>
      <c r="E20" s="3044">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8"/>
      <c r="L20" s="2991" t="s">
        <v>2841</v>
      </c>
      <c r="M20" s="3155">
        <f>ROUND(SUMPRODUCT((地价!A4:A27=YEAR(G19)&amp;"-"&amp;ROUNDUP(MONTH(G19)/3,0))*(地价!B2:F2=E2)*(地价!B4:F27)),0)</f>
        <v>0</v>
      </c>
      <c r="N20" s="2742" t="s">
        <v>2644</v>
      </c>
      <c r="O20" s="2740" t="s">
        <v>2643</v>
      </c>
      <c r="P20" s="2741" t="s">
        <v>2649</v>
      </c>
      <c r="Q20" s="2877"/>
      <c r="R20" s="2177"/>
      <c r="S20" s="2177"/>
      <c r="T20" s="2177"/>
      <c r="U20" s="2177"/>
      <c r="V20" s="2177"/>
      <c r="W20" s="2177"/>
      <c r="X20" s="2177"/>
      <c r="Y20" s="1457"/>
      <c r="Z20" s="1457"/>
      <c r="AA20" s="1457"/>
      <c r="AB20" s="1457"/>
      <c r="AC20" s="1457"/>
      <c r="AD20" s="1457"/>
    </row>
    <row r="21" spans="1:40" s="1414" customFormat="1" ht="14.25">
      <c r="A21" s="1624" t="s">
        <v>1836</v>
      </c>
      <c r="B21" s="1465" t="s">
        <v>2760</v>
      </c>
      <c r="C21" s="1151">
        <f>IF(B21="容积率修正",IF(G3&lt;=10,D22,J22),C23)</f>
        <v>0</v>
      </c>
      <c r="D21" s="1466"/>
      <c r="E21" s="1466"/>
      <c r="F21" s="1466"/>
      <c r="G21" s="1466"/>
      <c r="H21" s="1466"/>
      <c r="I21" s="1466"/>
      <c r="J21" s="1467"/>
      <c r="K21" s="3146"/>
      <c r="L21" s="1466"/>
      <c r="M21" s="1466"/>
      <c r="N21" s="1463" t="s">
        <v>974</v>
      </c>
      <c r="O21" s="1526"/>
      <c r="P21" s="2729">
        <f>SUMPRODUCT((地价!A3:A27=YEAR(G19)&amp;"-"&amp;ROUNDUP(MONTH(G19)/3,0))*(地价!AD2:AH2=N21)*(地价!AD3:AH27))</f>
        <v>1.44E-2</v>
      </c>
      <c r="Q21" s="2877"/>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3" t="s">
        <v>1701</v>
      </c>
      <c r="D22" s="1053" t="b">
        <f>IF(E22=G22,F22,IF(G3&lt;=10,ROUND(F22+(H22-F22)*(G3-E22)/(G22-E22),4),"——"))</f>
        <v>0</v>
      </c>
      <c r="E22" s="1036">
        <f>ROUNDDOWN(G3,1)</f>
        <v>3</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9"/>
      <c r="L22" s="1466"/>
      <c r="M22" s="1466"/>
      <c r="N22" s="1463" t="s">
        <v>977</v>
      </c>
      <c r="O22" s="1526"/>
      <c r="P22" s="2729">
        <f>SUMPRODUCT((地价!A3:A27=YEAR(G19)&amp;"-"&amp;ROUNDUP(MONTH(G19)/3,0))*(地价!AD2:AH2=N22)*(地价!AD3:AH27))</f>
        <v>1.44E-2</v>
      </c>
      <c r="Q22" s="2877"/>
      <c r="R22" s="2177"/>
      <c r="S22" s="2177"/>
      <c r="T22" s="2177"/>
      <c r="U22" s="2177"/>
      <c r="V22" s="2177"/>
      <c r="W22" s="2177"/>
      <c r="X22" s="2177"/>
      <c r="Y22" s="1457"/>
      <c r="Z22" s="1457"/>
      <c r="AA22" s="1457"/>
      <c r="AB22" s="1457"/>
      <c r="AC22" s="1457"/>
      <c r="AD22" s="1457"/>
    </row>
    <row r="23" spans="1:40" ht="15.7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922</v>
      </c>
      <c r="O23" s="1526"/>
      <c r="P23" s="2729">
        <f>SUMPRODUCT((地价!A3:A27=YEAR(G19)&amp;"-"&amp;ROUNDUP(MONTH(G19)/3,0))*(地价!AD2:AH2=N23)*(地价!AD3:AH27))</f>
        <v>2.23E-2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5">
        <f>SUMIF(A44:A87,E2,B44:B87)</f>
        <v>0</v>
      </c>
      <c r="D24" s="1519"/>
      <c r="E24" s="1520"/>
      <c r="F24" s="1520"/>
      <c r="G24" s="1520"/>
      <c r="H24" s="1520"/>
      <c r="I24" s="1520"/>
      <c r="J24" s="1520"/>
      <c r="K24" s="3150"/>
      <c r="L24" s="1466"/>
      <c r="M24" s="1466"/>
      <c r="N24" s="1463" t="s">
        <v>980</v>
      </c>
      <c r="O24" s="3154"/>
      <c r="P24" s="2729">
        <f>SUMPRODUCT((地价!A3:A27=YEAR(G19)&amp;"-"&amp;ROUNDUP(MONTH(G19)/3,0))*(地价!AD2:AH2=N24)*(地价!AD3:AH27))</f>
        <v>1.4E-2</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6" t="s">
        <v>2647</v>
      </c>
      <c r="O25" s="3157"/>
      <c r="P25" s="2408">
        <f>SUMPRODUCT((地价!A3:A27=YEAR(G19)&amp;"-"&amp;ROUNDUP(MONTH(G19)/3,0))*(地价!AD2:AH2=N25)*(地价!AD3:AH27))</f>
        <v>2.0400000000000001E-2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992</v>
      </c>
      <c r="C29" s="1056" t="e">
        <f>ROUND(C5*C18*C19*C20*C21*C24,0)</f>
        <v>#DIV/0!</v>
      </c>
      <c r="D29" s="1488"/>
      <c r="E29" s="1831" t="e">
        <f>ROUND(C29*D29/10000,0)</f>
        <v>#DIV/0!</v>
      </c>
      <c r="F29" s="1489" t="s">
        <v>1700</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98" t="s">
        <v>2958</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99"/>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99"/>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500"/>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2985</v>
      </c>
      <c r="C41" s="837" t="e">
        <f>ROUND(POWER(1+E41,H41-G41)*(POWER(1+E41,G41)-1)/(POWER(1+E41,H41)-1),4)</f>
        <v>#DIV/0!</v>
      </c>
      <c r="D41" s="376" t="s">
        <v>2983</v>
      </c>
      <c r="E41" s="3143">
        <f>G20</f>
        <v>0</v>
      </c>
      <c r="F41" s="376" t="s">
        <v>2984</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9" t="s">
        <v>1008</v>
      </c>
      <c r="C46" s="2391" t="s">
        <v>1009</v>
      </c>
      <c r="D46" s="2392" t="s">
        <v>1010</v>
      </c>
      <c r="E46" s="2393" t="s">
        <v>1012</v>
      </c>
      <c r="F46" s="2394" t="s">
        <v>2249</v>
      </c>
      <c r="G46" s="2392" t="s">
        <v>1013</v>
      </c>
      <c r="H46" s="2375" t="s">
        <v>2417</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1022</v>
      </c>
      <c r="B50" s="3046" t="s">
        <v>2935</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1024</v>
      </c>
      <c r="B52" s="3045" t="s">
        <v>2934</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1027</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9"/>
      <c r="C57" s="2391" t="s">
        <v>1009</v>
      </c>
      <c r="D57" s="2392" t="s">
        <v>1010</v>
      </c>
      <c r="E57" s="2393" t="s">
        <v>1012</v>
      </c>
      <c r="F57" s="2394" t="s">
        <v>2250</v>
      </c>
      <c r="G57" s="2392" t="s">
        <v>1013</v>
      </c>
      <c r="H57" s="2375" t="s">
        <v>2417</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1029</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1022</v>
      </c>
      <c r="B61" s="3046" t="s">
        <v>2936</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1024</v>
      </c>
      <c r="B63" s="3045" t="s">
        <v>2934</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1027</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9"/>
      <c r="C68" s="2391" t="s">
        <v>1009</v>
      </c>
      <c r="D68" s="2392" t="s">
        <v>1010</v>
      </c>
      <c r="E68" s="2393" t="s">
        <v>1012</v>
      </c>
      <c r="F68" s="2394" t="s">
        <v>2251</v>
      </c>
      <c r="G68" s="2392" t="s">
        <v>1013</v>
      </c>
      <c r="H68" s="2375" t="s">
        <v>2417</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1031</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1033</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1024</v>
      </c>
      <c r="B75" s="3045" t="s">
        <v>2934</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1027</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1007</v>
      </c>
      <c r="B79" s="2369"/>
      <c r="C79" s="2391" t="s">
        <v>1009</v>
      </c>
      <c r="D79" s="2392" t="s">
        <v>1010</v>
      </c>
      <c r="E79" s="2393" t="s">
        <v>1012</v>
      </c>
      <c r="F79" s="2394" t="s">
        <v>2252</v>
      </c>
      <c r="G79" s="2392" t="s">
        <v>1013</v>
      </c>
      <c r="H79" s="2375" t="s">
        <v>2417</v>
      </c>
      <c r="I79" s="2392" t="s">
        <v>1011</v>
      </c>
      <c r="J79" s="2395" t="s">
        <v>1014</v>
      </c>
      <c r="K79" s="2395" t="s">
        <v>1015</v>
      </c>
      <c r="L79" s="2395" t="s">
        <v>1016</v>
      </c>
      <c r="M79" s="2395" t="s">
        <v>1017</v>
      </c>
      <c r="N79" s="2395" t="s">
        <v>1018</v>
      </c>
      <c r="AC79" s="1398"/>
      <c r="AD79" s="1397"/>
      <c r="AJ79" s="1396"/>
      <c r="AN79" s="1397"/>
    </row>
    <row r="80" spans="1:40" ht="36">
      <c r="A80" s="1060" t="s">
        <v>1036</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1032</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1021</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1033</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1025</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1026</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1024</v>
      </c>
      <c r="B86" s="3045" t="s">
        <v>2934</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1037</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96" t="s">
        <v>1632</v>
      </c>
      <c r="B90" s="3496"/>
      <c r="C90" s="3496"/>
      <c r="D90" s="3496"/>
      <c r="E90" s="3496"/>
      <c r="F90" s="3496"/>
      <c r="G90" s="3496"/>
      <c r="H90" s="3496"/>
      <c r="I90" s="3496"/>
      <c r="J90" s="3496"/>
      <c r="K90" s="2411"/>
      <c r="L90" s="2411"/>
      <c r="M90" s="2411"/>
      <c r="N90" s="2411"/>
    </row>
    <row r="91" spans="1:40">
      <c r="A91" s="3497" t="s">
        <v>1442</v>
      </c>
      <c r="B91" s="3497" t="s">
        <v>1633</v>
      </c>
      <c r="C91" s="1133" t="s">
        <v>1634</v>
      </c>
      <c r="D91" s="1134"/>
      <c r="E91" s="1134"/>
      <c r="F91" s="1134"/>
      <c r="G91" s="1134"/>
      <c r="H91" s="1134"/>
      <c r="I91" s="1134"/>
      <c r="J91" s="1135"/>
      <c r="K91" s="1127"/>
      <c r="L91" s="1127"/>
      <c r="M91" s="1127"/>
      <c r="N91" s="1127"/>
    </row>
    <row r="92" spans="1:40">
      <c r="A92" s="3497"/>
      <c r="B92" s="3497"/>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83"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8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8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8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8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8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84"/>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85"/>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83" t="s">
        <v>1636</v>
      </c>
      <c r="B101" s="1140" t="s">
        <v>905</v>
      </c>
      <c r="C101" s="1141">
        <f>$G$3</f>
        <v>3</v>
      </c>
      <c r="D101" s="1141">
        <f t="shared" ref="D101:N101" si="31">$G$3</f>
        <v>3</v>
      </c>
      <c r="E101" s="1141">
        <f t="shared" si="31"/>
        <v>3</v>
      </c>
      <c r="F101" s="1141">
        <f t="shared" si="31"/>
        <v>3</v>
      </c>
      <c r="G101" s="1141">
        <f t="shared" si="31"/>
        <v>3</v>
      </c>
      <c r="H101" s="1141">
        <f t="shared" si="31"/>
        <v>3</v>
      </c>
      <c r="I101" s="1141">
        <f t="shared" si="31"/>
        <v>3</v>
      </c>
      <c r="J101" s="1141">
        <f t="shared" si="31"/>
        <v>3</v>
      </c>
      <c r="K101" s="1141">
        <f t="shared" si="31"/>
        <v>3</v>
      </c>
      <c r="L101" s="1141">
        <f t="shared" si="31"/>
        <v>3</v>
      </c>
      <c r="M101" s="1141">
        <f t="shared" si="31"/>
        <v>3</v>
      </c>
      <c r="N101" s="1141">
        <f t="shared" si="31"/>
        <v>3</v>
      </c>
    </row>
    <row r="102" spans="1:14">
      <c r="A102" s="3484"/>
      <c r="B102" s="1136">
        <v>1</v>
      </c>
      <c r="C102" s="1137">
        <f>1.9362/C101</f>
        <v>0.64539999999999997</v>
      </c>
      <c r="D102" s="1137">
        <f>1.9362/D101</f>
        <v>0.64539999999999997</v>
      </c>
      <c r="E102" s="1137">
        <f>1.8629/E101</f>
        <v>0.62096666666666667</v>
      </c>
      <c r="F102" s="1137">
        <f>1.8629/F101</f>
        <v>0.62096666666666667</v>
      </c>
      <c r="G102" s="1137">
        <f>1.8629/G101</f>
        <v>0.62096666666666667</v>
      </c>
      <c r="H102" s="1137">
        <f>1.8629/H101</f>
        <v>0.62096666666666667</v>
      </c>
      <c r="I102" s="1137">
        <f>1.8629/I101</f>
        <v>0.62096666666666667</v>
      </c>
      <c r="J102" s="1137">
        <f>1.942/J101</f>
        <v>0.64733333333333332</v>
      </c>
      <c r="K102" s="1137">
        <f>1.942/K101</f>
        <v>0.64733333333333332</v>
      </c>
      <c r="L102" s="1137">
        <f>1.942/L101</f>
        <v>0.64733333333333332</v>
      </c>
      <c r="M102" s="1137">
        <f>1.942/M101</f>
        <v>0.64733333333333332</v>
      </c>
      <c r="N102" s="1137">
        <f>1.942/N101</f>
        <v>0.64733333333333332</v>
      </c>
    </row>
    <row r="103" spans="1:14">
      <c r="A103" s="3484"/>
      <c r="B103" s="1136">
        <v>2</v>
      </c>
      <c r="C103" s="1137">
        <f>1.4198/C101</f>
        <v>0.47326666666666667</v>
      </c>
      <c r="D103" s="1137">
        <f>1.4198/D101</f>
        <v>0.47326666666666667</v>
      </c>
      <c r="E103" s="1137">
        <f>1.3372/E101</f>
        <v>0.44573333333333331</v>
      </c>
      <c r="F103" s="1137">
        <f>1.3372/F101</f>
        <v>0.44573333333333331</v>
      </c>
      <c r="G103" s="1137">
        <f>1.3372/G101</f>
        <v>0.44573333333333331</v>
      </c>
      <c r="H103" s="1137">
        <f>1.3372/H101</f>
        <v>0.44573333333333331</v>
      </c>
      <c r="I103" s="1137">
        <f>1.3372/I101</f>
        <v>0.44573333333333331</v>
      </c>
      <c r="J103" s="1137">
        <f>1.2799/J101</f>
        <v>0.42663333333333336</v>
      </c>
      <c r="K103" s="1137">
        <f>1.2799/K101</f>
        <v>0.42663333333333336</v>
      </c>
      <c r="L103" s="1137">
        <f>1.2799/L101</f>
        <v>0.42663333333333336</v>
      </c>
      <c r="M103" s="1137">
        <f>1.2799/M101</f>
        <v>0.42663333333333336</v>
      </c>
      <c r="N103" s="1137">
        <f>1.2799/N101</f>
        <v>0.42663333333333336</v>
      </c>
    </row>
    <row r="104" spans="1:14">
      <c r="A104" s="3484"/>
      <c r="B104" s="1136">
        <v>3</v>
      </c>
      <c r="C104" s="1137">
        <f>1.1594/C101</f>
        <v>0.38646666666666668</v>
      </c>
      <c r="D104" s="1137">
        <f>1.1594/D101</f>
        <v>0.38646666666666668</v>
      </c>
      <c r="E104" s="1137">
        <f>1.0788/E101</f>
        <v>0.35959999999999998</v>
      </c>
      <c r="F104" s="1137">
        <f>1.0788/F101</f>
        <v>0.35959999999999998</v>
      </c>
      <c r="G104" s="1137">
        <f>1.0788/G101</f>
        <v>0.35959999999999998</v>
      </c>
      <c r="H104" s="1137">
        <f>1.0788/H101</f>
        <v>0.35959999999999998</v>
      </c>
      <c r="I104" s="1137">
        <f>1.0788/I101</f>
        <v>0.35959999999999998</v>
      </c>
      <c r="J104" s="1137">
        <f>1.0072/J101</f>
        <v>0.33573333333333338</v>
      </c>
      <c r="K104" s="1137">
        <f>1.0072/K101</f>
        <v>0.33573333333333338</v>
      </c>
      <c r="L104" s="1137">
        <f>1.0072/L101</f>
        <v>0.33573333333333338</v>
      </c>
      <c r="M104" s="1137">
        <f>1.0072/M101</f>
        <v>0.33573333333333338</v>
      </c>
      <c r="N104" s="1137">
        <f>1.0072/N101</f>
        <v>0.33573333333333338</v>
      </c>
    </row>
    <row r="105" spans="1:14">
      <c r="A105" s="3484"/>
      <c r="B105" s="1136">
        <v>4</v>
      </c>
      <c r="C105" s="1137">
        <f>0.9622/C101</f>
        <v>0.32073333333333337</v>
      </c>
      <c r="D105" s="1137">
        <f>0.9622/D101</f>
        <v>0.32073333333333337</v>
      </c>
      <c r="E105" s="1137">
        <f>0.8656/E101</f>
        <v>0.28853333333333336</v>
      </c>
      <c r="F105" s="1137">
        <f>0.8656/F101</f>
        <v>0.28853333333333336</v>
      </c>
      <c r="G105" s="1137">
        <f>0.8656/G101</f>
        <v>0.28853333333333336</v>
      </c>
      <c r="H105" s="1137">
        <f>0.8656/H101</f>
        <v>0.28853333333333336</v>
      </c>
      <c r="I105" s="1137">
        <f>0.8656/I101</f>
        <v>0.28853333333333336</v>
      </c>
      <c r="J105" s="1137">
        <f>0.7525/J101</f>
        <v>0.2508333333333333</v>
      </c>
      <c r="K105" s="1137">
        <f>0.7525/K101</f>
        <v>0.2508333333333333</v>
      </c>
      <c r="L105" s="1137">
        <f>0.7525/L101</f>
        <v>0.2508333333333333</v>
      </c>
      <c r="M105" s="1137">
        <f>0.7525/M101</f>
        <v>0.2508333333333333</v>
      </c>
      <c r="N105" s="1137">
        <f>0.7525/N101</f>
        <v>0.2508333333333333</v>
      </c>
    </row>
    <row r="106" spans="1:14">
      <c r="A106" s="3484"/>
      <c r="B106" s="1136">
        <v>5</v>
      </c>
      <c r="C106" s="1137">
        <f>0.8417/C101</f>
        <v>0.28056666666666669</v>
      </c>
      <c r="D106" s="1137">
        <f>0.8417/D101</f>
        <v>0.28056666666666669</v>
      </c>
      <c r="E106" s="1137">
        <f>0.7371/E101</f>
        <v>0.2457</v>
      </c>
      <c r="F106" s="1137">
        <f>0.7371/F101</f>
        <v>0.2457</v>
      </c>
      <c r="G106" s="1137">
        <f>0.7371/G101</f>
        <v>0.2457</v>
      </c>
      <c r="H106" s="1137">
        <f>0.7371/H101</f>
        <v>0.2457</v>
      </c>
      <c r="I106" s="1137">
        <f>0.7371/I101</f>
        <v>0.2457</v>
      </c>
      <c r="J106" s="1137">
        <f>0.5659/J101</f>
        <v>0.18863333333333332</v>
      </c>
      <c r="K106" s="1137">
        <f>0.5659/K101</f>
        <v>0.18863333333333332</v>
      </c>
      <c r="L106" s="1137">
        <f>0.5659/L101</f>
        <v>0.18863333333333332</v>
      </c>
      <c r="M106" s="1137">
        <f>0.5659/M101</f>
        <v>0.18863333333333332</v>
      </c>
      <c r="N106" s="1137">
        <f>0.5659/N101</f>
        <v>0.18863333333333332</v>
      </c>
    </row>
    <row r="107" spans="1:14">
      <c r="A107" s="3484"/>
      <c r="B107" s="1136">
        <v>6</v>
      </c>
      <c r="C107" s="1137">
        <f>0.7608/C101</f>
        <v>0.25359999999999999</v>
      </c>
      <c r="D107" s="1137">
        <f>0.7608/D101</f>
        <v>0.25359999999999999</v>
      </c>
      <c r="E107" s="1137">
        <f>0.6482/E101</f>
        <v>0.21606666666666666</v>
      </c>
      <c r="F107" s="1137">
        <f>0.6482/F101</f>
        <v>0.21606666666666666</v>
      </c>
      <c r="G107" s="1137">
        <f>0.6482/G101</f>
        <v>0.21606666666666666</v>
      </c>
      <c r="H107" s="1137">
        <f>0.6482/H101</f>
        <v>0.21606666666666666</v>
      </c>
      <c r="I107" s="1137">
        <f>0.6482/I101</f>
        <v>0.21606666666666666</v>
      </c>
      <c r="J107" s="1137">
        <f>0.4525/J101</f>
        <v>0.15083333333333335</v>
      </c>
      <c r="K107" s="1137">
        <f>0.4525/K101</f>
        <v>0.15083333333333335</v>
      </c>
      <c r="L107" s="1137">
        <f>0.4525/L101</f>
        <v>0.15083333333333335</v>
      </c>
      <c r="M107" s="1137">
        <f>0.4525/M101</f>
        <v>0.15083333333333335</v>
      </c>
      <c r="N107" s="1137">
        <f>0.4525/N101</f>
        <v>0.15083333333333335</v>
      </c>
    </row>
    <row r="108" spans="1:14">
      <c r="A108" s="3484"/>
      <c r="B108" s="3486"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85"/>
      <c r="B109" s="3487"/>
      <c r="C109" s="1139">
        <f>(-0.163*(C108^2)-0.59*C108+7617)*(10^(-4))/C101</f>
        <v>0.25339493333333335</v>
      </c>
      <c r="D109" s="1139">
        <f>(-0.163*(D108^2)-0.59*D108+7617)*(10^(-4))/D101</f>
        <v>0.25339493333333335</v>
      </c>
      <c r="E109" s="1139">
        <f>(-0.161*(E108^2)-7.509*E108+6533)*(10^(-4))/E101</f>
        <v>0.2154208</v>
      </c>
      <c r="F109" s="1139">
        <f>(-0.161*(F108^2)-7.509*F108+6533)*(10^(-4))/F101</f>
        <v>0.2154208</v>
      </c>
      <c r="G109" s="1139">
        <f>(-0.161*(G108^2)-7.509*G108+6533)*(10^(-4))/G101</f>
        <v>0.2154208</v>
      </c>
      <c r="H109" s="1139">
        <f>(-0.161*(H108^2)-7.509*H108+6533)*(10^(-4))/H101</f>
        <v>0.2154208</v>
      </c>
      <c r="I109" s="1139">
        <f>(-0.161*(I108^2)-7.509*I108+6533)*(10^(-4))/I101</f>
        <v>0.2154208</v>
      </c>
      <c r="J109" s="1139">
        <f>(-0.214*(J108^2)-21.991*J108+4665)*(10^(-4))/J101</f>
        <v>0.14917920000000001</v>
      </c>
      <c r="K109" s="1139">
        <f>(-0.214*(K108^2)-21.991*K108+4665)*(10^(-4))/K101</f>
        <v>0.14917920000000001</v>
      </c>
      <c r="L109" s="1139">
        <f>(-0.214*(L108^2)-21.991*L108+4665)*(10^(-4))/L101</f>
        <v>0.14917920000000001</v>
      </c>
      <c r="M109" s="1139">
        <f>(-0.214*(M108^2)-21.991*M108+4665)*(10^(-4))/M101</f>
        <v>0.14917920000000001</v>
      </c>
      <c r="N109" s="1139">
        <f>(-0.214*(N108^2)-21.991*N108+4665)*(10^(-4))/N101</f>
        <v>0.14917920000000001</v>
      </c>
    </row>
    <row r="110" spans="1:14">
      <c r="A110" s="3490" t="s">
        <v>1638</v>
      </c>
      <c r="B110" s="3490"/>
      <c r="C110" s="3490"/>
      <c r="D110" s="3490"/>
      <c r="E110" s="3490"/>
      <c r="F110" s="3490"/>
      <c r="G110" s="3490"/>
      <c r="H110" s="3490"/>
      <c r="I110" s="3490"/>
      <c r="J110" s="3490"/>
      <c r="K110" s="2409"/>
      <c r="L110" s="2409"/>
      <c r="M110" s="2409"/>
      <c r="N110" s="2409"/>
    </row>
    <row r="112" spans="1:14" ht="12.75" thickBot="1"/>
    <row r="113" spans="1:13" ht="25.5" thickBot="1">
      <c r="A113" s="1013" t="s">
        <v>895</v>
      </c>
      <c r="B113" s="2412">
        <f>G3</f>
        <v>3</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0.90529999999999999</v>
      </c>
      <c r="C115" s="1027">
        <f>B115</f>
        <v>0.90529999999999999</v>
      </c>
      <c r="D115" s="1027">
        <f>ROUND(0.8331-0.0109*B113,4)</f>
        <v>0.8004</v>
      </c>
      <c r="E115" s="1027">
        <f>D115</f>
        <v>0.8004</v>
      </c>
      <c r="F115" s="1027">
        <f>E115</f>
        <v>0.8004</v>
      </c>
      <c r="G115" s="1027">
        <f>F115</f>
        <v>0.8004</v>
      </c>
      <c r="H115" s="1027">
        <f>G115</f>
        <v>0.8004</v>
      </c>
      <c r="I115" s="1027">
        <f>ROUND(0.689-0.0155*B113,4)</f>
        <v>0.64249999999999996</v>
      </c>
      <c r="J115" s="1027">
        <f t="shared" ref="J115:M118" si="33">I115</f>
        <v>0.64249999999999996</v>
      </c>
      <c r="K115" s="1027">
        <f t="shared" si="33"/>
        <v>0.64249999999999996</v>
      </c>
      <c r="L115" s="1027">
        <f t="shared" si="33"/>
        <v>0.64249999999999996</v>
      </c>
      <c r="M115" s="1028">
        <f t="shared" si="33"/>
        <v>0.64249999999999996</v>
      </c>
    </row>
    <row r="116" spans="1:13" ht="12.75">
      <c r="A116" s="1026" t="s">
        <v>900</v>
      </c>
      <c r="B116" s="1027">
        <f>ROUND(0.949-0.012*B113,4)</f>
        <v>0.91300000000000003</v>
      </c>
      <c r="C116" s="1027">
        <f>B116</f>
        <v>0.91300000000000003</v>
      </c>
      <c r="D116" s="1027">
        <f>ROUND(0.8567-0.013*B113,4)</f>
        <v>0.81769999999999998</v>
      </c>
      <c r="E116" s="1027">
        <f t="shared" ref="E116:H117" si="34">D116</f>
        <v>0.81769999999999998</v>
      </c>
      <c r="F116" s="1027">
        <f t="shared" si="34"/>
        <v>0.81769999999999998</v>
      </c>
      <c r="G116" s="1027">
        <f t="shared" si="34"/>
        <v>0.81769999999999998</v>
      </c>
      <c r="H116" s="1027">
        <f t="shared" si="34"/>
        <v>0.81769999999999998</v>
      </c>
      <c r="I116" s="1027">
        <f>ROUND(0.7694-0.014*B113,4)</f>
        <v>0.72740000000000005</v>
      </c>
      <c r="J116" s="1027">
        <f t="shared" si="33"/>
        <v>0.72740000000000005</v>
      </c>
      <c r="K116" s="1027">
        <f t="shared" si="33"/>
        <v>0.72740000000000005</v>
      </c>
      <c r="L116" s="1027">
        <f t="shared" si="33"/>
        <v>0.72740000000000005</v>
      </c>
      <c r="M116" s="1028">
        <f t="shared" si="33"/>
        <v>0.72740000000000005</v>
      </c>
    </row>
    <row r="117" spans="1:13" ht="12.75">
      <c r="A117" s="1029" t="s">
        <v>901</v>
      </c>
      <c r="B117" s="1027">
        <f>ROUND(0.8808-0.006*B113,4)</f>
        <v>0.86280000000000001</v>
      </c>
      <c r="C117" s="1027">
        <f>B117</f>
        <v>0.86280000000000001</v>
      </c>
      <c r="D117" s="1027">
        <f>ROUND(0.8748-0.008*B113,4)</f>
        <v>0.8508</v>
      </c>
      <c r="E117" s="1027">
        <f t="shared" si="34"/>
        <v>0.8508</v>
      </c>
      <c r="F117" s="1027">
        <f t="shared" si="34"/>
        <v>0.8508</v>
      </c>
      <c r="G117" s="1027">
        <f t="shared" si="34"/>
        <v>0.8508</v>
      </c>
      <c r="H117" s="1027">
        <f t="shared" si="34"/>
        <v>0.8508</v>
      </c>
      <c r="I117" s="1027">
        <f>ROUND(0.7412-0.0095*B113,4)</f>
        <v>0.7127</v>
      </c>
      <c r="J117" s="1027">
        <f t="shared" si="33"/>
        <v>0.7127</v>
      </c>
      <c r="K117" s="1027">
        <f t="shared" si="33"/>
        <v>0.7127</v>
      </c>
      <c r="L117" s="1027">
        <f t="shared" si="33"/>
        <v>0.7127</v>
      </c>
      <c r="M117" s="1028">
        <f t="shared" si="33"/>
        <v>0.7127</v>
      </c>
    </row>
    <row r="118" spans="1:13" ht="13.5" thickBot="1">
      <c r="A118" s="1030" t="s">
        <v>902</v>
      </c>
      <c r="B118" s="1031">
        <f>ROUND(0.7275-0.01*B113,4)</f>
        <v>0.69750000000000001</v>
      </c>
      <c r="C118" s="1031">
        <f>B118</f>
        <v>0.69750000000000001</v>
      </c>
      <c r="D118" s="1031">
        <f>ROUND(0.7043-0.012*B113,4)</f>
        <v>0.66830000000000001</v>
      </c>
      <c r="E118" s="1031">
        <f>D118</f>
        <v>0.66830000000000001</v>
      </c>
      <c r="F118" s="1031">
        <f>E118</f>
        <v>0.66830000000000001</v>
      </c>
      <c r="G118" s="1031">
        <f>ROUND(0.6299-0.0122*B113,4)</f>
        <v>0.59330000000000005</v>
      </c>
      <c r="H118" s="1031">
        <f>G118</f>
        <v>0.59330000000000005</v>
      </c>
      <c r="I118" s="1031">
        <f>ROUND(0.5667-0.0136*B113,4)</f>
        <v>0.52590000000000003</v>
      </c>
      <c r="J118" s="1031">
        <f t="shared" si="33"/>
        <v>0.52590000000000003</v>
      </c>
      <c r="K118" s="1031">
        <f t="shared" si="33"/>
        <v>0.52590000000000003</v>
      </c>
      <c r="L118" s="1031">
        <f t="shared" si="33"/>
        <v>0.52590000000000003</v>
      </c>
      <c r="M118" s="1032">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97" t="s">
        <v>1006</v>
      </c>
      <c r="B18" s="1147" t="s">
        <v>1445</v>
      </c>
      <c r="C18" s="1124" t="s">
        <v>1446</v>
      </c>
      <c r="D18" s="1125"/>
      <c r="E18" s="1147">
        <v>1</v>
      </c>
      <c r="F18" s="1126" t="s">
        <v>1447</v>
      </c>
      <c r="G18" s="1127"/>
      <c r="H18" s="1098"/>
      <c r="I18" s="1098"/>
    </row>
    <row r="19" spans="1:9" s="1581" customFormat="1" ht="19.5" customHeight="1">
      <c r="A19" s="3497"/>
      <c r="B19" s="3497" t="s">
        <v>1448</v>
      </c>
      <c r="C19" s="1124" t="s">
        <v>1449</v>
      </c>
      <c r="D19" s="1125"/>
      <c r="E19" s="1147">
        <v>0.9</v>
      </c>
      <c r="F19" s="1126" t="s">
        <v>1450</v>
      </c>
      <c r="G19" s="1127"/>
      <c r="H19" s="1098"/>
      <c r="I19" s="1098"/>
    </row>
    <row r="20" spans="1:9" s="1581" customFormat="1" ht="19.5" customHeight="1">
      <c r="A20" s="3497"/>
      <c r="B20" s="3497"/>
      <c r="C20" s="1124" t="s">
        <v>1451</v>
      </c>
      <c r="D20" s="1125"/>
      <c r="E20" s="1147">
        <v>1.1000000000000001</v>
      </c>
      <c r="F20" s="1126" t="s">
        <v>1452</v>
      </c>
      <c r="G20" s="1127"/>
      <c r="H20" s="1098"/>
      <c r="I20" s="1098"/>
    </row>
    <row r="21" spans="1:9" s="1581" customFormat="1" ht="19.5" customHeight="1">
      <c r="A21" s="3497"/>
      <c r="B21" s="3497"/>
      <c r="C21" s="1124" t="s">
        <v>1453</v>
      </c>
      <c r="D21" s="1125"/>
      <c r="E21" s="1147">
        <v>0.8</v>
      </c>
      <c r="F21" s="1126" t="s">
        <v>1454</v>
      </c>
      <c r="G21" s="1127"/>
      <c r="H21" s="1098"/>
      <c r="I21" s="1098"/>
    </row>
    <row r="22" spans="1:9" s="1581" customFormat="1" ht="19.5" customHeight="1">
      <c r="A22" s="3497"/>
      <c r="B22" s="3497"/>
      <c r="C22" s="1124" t="s">
        <v>1455</v>
      </c>
      <c r="D22" s="1125"/>
      <c r="E22" s="1147">
        <v>0.5</v>
      </c>
      <c r="F22" s="1126"/>
      <c r="G22" s="1127"/>
      <c r="H22" s="1098"/>
      <c r="I22" s="1098"/>
    </row>
    <row r="23" spans="1:9" s="1581" customFormat="1" ht="19.5" customHeight="1">
      <c r="A23" s="3497" t="s">
        <v>1028</v>
      </c>
      <c r="B23" s="1147" t="s">
        <v>1445</v>
      </c>
      <c r="C23" s="1124" t="s">
        <v>1456</v>
      </c>
      <c r="D23" s="1125"/>
      <c r="E23" s="1147">
        <v>1</v>
      </c>
      <c r="F23" s="1126" t="s">
        <v>1457</v>
      </c>
      <c r="G23" s="1127"/>
      <c r="H23" s="1098"/>
      <c r="I23" s="1098"/>
    </row>
    <row r="24" spans="1:9" s="1581" customFormat="1" ht="19.5" customHeight="1">
      <c r="A24" s="3497"/>
      <c r="B24" s="3497" t="s">
        <v>1448</v>
      </c>
      <c r="C24" s="1124" t="s">
        <v>1458</v>
      </c>
      <c r="D24" s="1125"/>
      <c r="E24" s="1147">
        <v>0.5</v>
      </c>
      <c r="F24" s="1126"/>
      <c r="G24" s="1127"/>
      <c r="H24" s="1098"/>
      <c r="I24" s="1098"/>
    </row>
    <row r="25" spans="1:9" s="1581" customFormat="1" ht="19.5" customHeight="1">
      <c r="A25" s="3497"/>
      <c r="B25" s="3497"/>
      <c r="C25" s="1124" t="s">
        <v>1459</v>
      </c>
      <c r="D25" s="1125"/>
      <c r="E25" s="1147">
        <v>1.1000000000000001</v>
      </c>
      <c r="F25" s="1126"/>
      <c r="G25" s="1127"/>
      <c r="H25" s="1098"/>
      <c r="I25" s="1098"/>
    </row>
    <row r="26" spans="1:9" s="1581" customFormat="1" ht="19.5" customHeight="1">
      <c r="A26" s="3497"/>
      <c r="B26" s="3497"/>
      <c r="C26" s="1124" t="s">
        <v>1460</v>
      </c>
      <c r="D26" s="1125"/>
      <c r="E26" s="1147">
        <v>1.1000000000000001</v>
      </c>
      <c r="F26" s="1126"/>
      <c r="G26" s="1127"/>
      <c r="H26" s="1098"/>
      <c r="I26" s="1098"/>
    </row>
    <row r="27" spans="1:9" s="1581" customFormat="1" ht="19.5" customHeight="1">
      <c r="A27" s="3497"/>
      <c r="B27" s="3497"/>
      <c r="C27" s="1124" t="s">
        <v>1461</v>
      </c>
      <c r="D27" s="1125"/>
      <c r="E27" s="1147">
        <v>0.9</v>
      </c>
      <c r="F27" s="1126" t="s">
        <v>1462</v>
      </c>
      <c r="G27" s="1127"/>
      <c r="H27" s="1098"/>
      <c r="I27" s="1098"/>
    </row>
    <row r="28" spans="1:9" s="1581" customFormat="1" ht="19.5" customHeight="1">
      <c r="A28" s="3497"/>
      <c r="B28" s="3497"/>
      <c r="C28" s="1124" t="s">
        <v>1463</v>
      </c>
      <c r="D28" s="1125"/>
      <c r="E28" s="1147">
        <v>0.9</v>
      </c>
      <c r="F28" s="1126" t="s">
        <v>1464</v>
      </c>
      <c r="G28" s="1127"/>
      <c r="H28" s="1098"/>
      <c r="I28" s="1098"/>
    </row>
    <row r="29" spans="1:9" s="1581" customFormat="1" ht="19.5" customHeight="1">
      <c r="A29" s="3497"/>
      <c r="B29" s="3497"/>
      <c r="C29" s="1124" t="s">
        <v>1465</v>
      </c>
      <c r="D29" s="1125"/>
      <c r="E29" s="1147">
        <v>0.9</v>
      </c>
      <c r="F29" s="1126" t="s">
        <v>1466</v>
      </c>
      <c r="G29" s="1127"/>
      <c r="H29" s="1098"/>
      <c r="I29" s="1098"/>
    </row>
    <row r="30" spans="1:9" s="1581" customFormat="1" ht="19.5" customHeight="1">
      <c r="A30" s="3497"/>
      <c r="B30" s="3497"/>
      <c r="C30" s="1124" t="s">
        <v>1467</v>
      </c>
      <c r="D30" s="1125"/>
      <c r="E30" s="1147">
        <v>0.9</v>
      </c>
      <c r="F30" s="1126" t="s">
        <v>1468</v>
      </c>
      <c r="G30" s="1127"/>
      <c r="H30" s="1098"/>
      <c r="I30" s="1098"/>
    </row>
    <row r="31" spans="1:9" s="1581" customFormat="1" ht="19.5" customHeight="1">
      <c r="A31" s="3497"/>
      <c r="B31" s="3497"/>
      <c r="C31" s="1124" t="s">
        <v>1469</v>
      </c>
      <c r="D31" s="1125"/>
      <c r="E31" s="1147">
        <v>0.8</v>
      </c>
      <c r="F31" s="1126" t="s">
        <v>1470</v>
      </c>
      <c r="G31" s="1127"/>
      <c r="H31" s="1098"/>
      <c r="I31" s="1098"/>
    </row>
    <row r="32" spans="1:9" s="1581" customFormat="1" ht="19.5" customHeight="1">
      <c r="A32" s="3497"/>
      <c r="B32" s="3497"/>
      <c r="C32" s="1124" t="s">
        <v>1471</v>
      </c>
      <c r="D32" s="1125"/>
      <c r="E32" s="1147">
        <v>0.8</v>
      </c>
      <c r="F32" s="1126" t="s">
        <v>1472</v>
      </c>
      <c r="G32" s="1127"/>
      <c r="H32" s="1098"/>
      <c r="I32" s="1098"/>
    </row>
    <row r="33" spans="1:9" s="1581" customFormat="1" ht="19.5" customHeight="1">
      <c r="A33" s="3497" t="s">
        <v>1473</v>
      </c>
      <c r="B33" s="1147" t="s">
        <v>1445</v>
      </c>
      <c r="C33" s="1124" t="s">
        <v>1474</v>
      </c>
      <c r="D33" s="1125"/>
      <c r="E33" s="1147">
        <v>1</v>
      </c>
      <c r="F33" s="1126" t="s">
        <v>1475</v>
      </c>
      <c r="G33" s="1127"/>
      <c r="H33" s="1098"/>
      <c r="I33" s="1098"/>
    </row>
    <row r="34" spans="1:9" s="1581" customFormat="1" ht="19.5" customHeight="1">
      <c r="A34" s="3497"/>
      <c r="B34" s="1147" t="s">
        <v>1448</v>
      </c>
      <c r="C34" s="1124" t="s">
        <v>1476</v>
      </c>
      <c r="D34" s="1125"/>
      <c r="E34" s="1147">
        <v>1.5</v>
      </c>
      <c r="F34" s="1126" t="s">
        <v>1477</v>
      </c>
      <c r="G34" s="1127"/>
      <c r="H34" s="1098"/>
      <c r="I34" s="1098"/>
    </row>
    <row r="35" spans="1:9" s="1581" customFormat="1" ht="19.5" customHeight="1">
      <c r="A35" s="3497" t="s">
        <v>1431</v>
      </c>
      <c r="B35" s="1147" t="s">
        <v>1445</v>
      </c>
      <c r="C35" s="1124" t="s">
        <v>1478</v>
      </c>
      <c r="D35" s="1125"/>
      <c r="E35" s="1147">
        <v>1</v>
      </c>
      <c r="F35" s="1126" t="s">
        <v>1479</v>
      </c>
      <c r="G35" s="1127"/>
      <c r="H35" s="1098"/>
      <c r="I35" s="1098"/>
    </row>
    <row r="36" spans="1:9" s="1581" customFormat="1" ht="19.5" customHeight="1">
      <c r="A36" s="3497"/>
      <c r="B36" s="3497" t="s">
        <v>1448</v>
      </c>
      <c r="C36" s="1124" t="s">
        <v>1480</v>
      </c>
      <c r="D36" s="1125"/>
      <c r="E36" s="1147">
        <v>1</v>
      </c>
      <c r="F36" s="1126" t="s">
        <v>1481</v>
      </c>
      <c r="G36" s="1127"/>
      <c r="H36" s="1098"/>
      <c r="I36" s="1098"/>
    </row>
    <row r="37" spans="1:9" s="1581" customFormat="1" ht="19.5" customHeight="1">
      <c r="A37" s="3497"/>
      <c r="B37" s="3497"/>
      <c r="C37" s="1124" t="s">
        <v>1482</v>
      </c>
      <c r="D37" s="1125"/>
      <c r="E37" s="1147">
        <v>1.5</v>
      </c>
      <c r="F37" s="1126" t="s">
        <v>1483</v>
      </c>
      <c r="G37" s="1127"/>
      <c r="H37" s="1098"/>
      <c r="I37" s="1098"/>
    </row>
    <row r="38" spans="1:9" s="1581" customFormat="1" ht="19.5" customHeight="1">
      <c r="A38" s="3497"/>
      <c r="B38" s="3497"/>
      <c r="C38" s="1124" t="s">
        <v>1484</v>
      </c>
      <c r="D38" s="1125"/>
      <c r="E38" s="1147">
        <v>1</v>
      </c>
      <c r="F38" s="1126" t="s">
        <v>1485</v>
      </c>
      <c r="G38" s="1127"/>
      <c r="H38" s="1098"/>
      <c r="I38" s="1098"/>
    </row>
    <row r="39" spans="1:9" s="1581" customFormat="1" ht="19.5" customHeight="1">
      <c r="A39" s="3497"/>
      <c r="B39" s="3497"/>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97" t="s">
        <v>1500</v>
      </c>
      <c r="C61" s="1061" t="s">
        <v>1501</v>
      </c>
      <c r="D61" s="1061" t="s">
        <v>1502</v>
      </c>
      <c r="E61" s="1132">
        <v>0.5</v>
      </c>
      <c r="F61" s="1147">
        <v>80</v>
      </c>
      <c r="H61" s="1098">
        <f>SUMIF(C59:C119,基准地价!C8,E59:E119)</f>
        <v>0</v>
      </c>
    </row>
    <row r="62" spans="1:8" s="1098" customFormat="1" ht="24">
      <c r="A62" s="1147">
        <v>2</v>
      </c>
      <c r="B62" s="3497"/>
      <c r="C62" s="1061" t="s">
        <v>1503</v>
      </c>
      <c r="D62" s="1061" t="s">
        <v>1504</v>
      </c>
      <c r="E62" s="1132">
        <v>0.5</v>
      </c>
      <c r="F62" s="1147">
        <v>80</v>
      </c>
    </row>
    <row r="63" spans="1:8" s="1098" customFormat="1" ht="36">
      <c r="A63" s="1147">
        <v>3</v>
      </c>
      <c r="B63" s="3497"/>
      <c r="C63" s="1061" t="s">
        <v>1505</v>
      </c>
      <c r="D63" s="1061" t="s">
        <v>1506</v>
      </c>
      <c r="E63" s="1132">
        <v>0.5</v>
      </c>
      <c r="F63" s="1147">
        <v>80</v>
      </c>
    </row>
    <row r="64" spans="1:8" s="1098" customFormat="1" ht="36">
      <c r="A64" s="1147">
        <v>4</v>
      </c>
      <c r="B64" s="3497"/>
      <c r="C64" s="1061" t="s">
        <v>1507</v>
      </c>
      <c r="D64" s="1061" t="s">
        <v>1508</v>
      </c>
      <c r="E64" s="1132">
        <v>0.4</v>
      </c>
      <c r="F64" s="1147">
        <v>60</v>
      </c>
    </row>
    <row r="65" spans="1:6" s="1098" customFormat="1" ht="36">
      <c r="A65" s="1147">
        <v>5</v>
      </c>
      <c r="B65" s="3497"/>
      <c r="C65" s="1061" t="s">
        <v>1509</v>
      </c>
      <c r="D65" s="1061" t="s">
        <v>1510</v>
      </c>
      <c r="E65" s="1132">
        <v>0.2</v>
      </c>
      <c r="F65" s="1147">
        <v>30</v>
      </c>
    </row>
    <row r="66" spans="1:6" s="1098" customFormat="1" ht="36">
      <c r="A66" s="1147">
        <v>6</v>
      </c>
      <c r="B66" s="3497"/>
      <c r="C66" s="1061" t="s">
        <v>1511</v>
      </c>
      <c r="D66" s="1061" t="s">
        <v>1512</v>
      </c>
      <c r="E66" s="1132">
        <v>0.3</v>
      </c>
      <c r="F66" s="1147">
        <v>50</v>
      </c>
    </row>
    <row r="67" spans="1:6" s="1098" customFormat="1" ht="36">
      <c r="A67" s="1147">
        <v>7</v>
      </c>
      <c r="B67" s="3497"/>
      <c r="C67" s="1061" t="s">
        <v>1513</v>
      </c>
      <c r="D67" s="1061" t="s">
        <v>1514</v>
      </c>
      <c r="E67" s="1132">
        <v>0.2</v>
      </c>
      <c r="F67" s="1147">
        <v>30</v>
      </c>
    </row>
    <row r="68" spans="1:6" s="1098" customFormat="1" ht="36">
      <c r="A68" s="1147">
        <v>8</v>
      </c>
      <c r="B68" s="3497"/>
      <c r="C68" s="1061" t="s">
        <v>1515</v>
      </c>
      <c r="D68" s="1061" t="s">
        <v>1516</v>
      </c>
      <c r="E68" s="1132">
        <v>0.2</v>
      </c>
      <c r="F68" s="1147">
        <v>30</v>
      </c>
    </row>
    <row r="69" spans="1:6" s="1098" customFormat="1" ht="36">
      <c r="A69" s="1147">
        <v>9</v>
      </c>
      <c r="B69" s="3497"/>
      <c r="C69" s="1061" t="s">
        <v>1517</v>
      </c>
      <c r="D69" s="1061" t="s">
        <v>1518</v>
      </c>
      <c r="E69" s="1132">
        <v>0.2</v>
      </c>
      <c r="F69" s="1147">
        <v>30</v>
      </c>
    </row>
    <row r="70" spans="1:6" s="1098" customFormat="1" ht="48">
      <c r="A70" s="1147">
        <v>10</v>
      </c>
      <c r="B70" s="3497"/>
      <c r="C70" s="1061" t="s">
        <v>1519</v>
      </c>
      <c r="D70" s="1061" t="s">
        <v>1520</v>
      </c>
      <c r="E70" s="1132">
        <v>0.2</v>
      </c>
      <c r="F70" s="1147">
        <v>30</v>
      </c>
    </row>
    <row r="71" spans="1:6" s="1098" customFormat="1" ht="48">
      <c r="A71" s="1147">
        <v>11</v>
      </c>
      <c r="B71" s="3497"/>
      <c r="C71" s="1061" t="s">
        <v>1521</v>
      </c>
      <c r="D71" s="1061" t="s">
        <v>1522</v>
      </c>
      <c r="E71" s="1132">
        <v>0.2</v>
      </c>
      <c r="F71" s="1147">
        <v>30</v>
      </c>
    </row>
    <row r="72" spans="1:6" s="1098" customFormat="1" ht="36">
      <c r="A72" s="1147">
        <v>12</v>
      </c>
      <c r="B72" s="3497"/>
      <c r="C72" s="1061" t="s">
        <v>1523</v>
      </c>
      <c r="D72" s="1061" t="s">
        <v>1524</v>
      </c>
      <c r="E72" s="1132">
        <v>0.5</v>
      </c>
      <c r="F72" s="1147">
        <v>80</v>
      </c>
    </row>
    <row r="73" spans="1:6" s="1098" customFormat="1" ht="24">
      <c r="A73" s="1147">
        <v>13</v>
      </c>
      <c r="B73" s="3497"/>
      <c r="C73" s="1061" t="s">
        <v>1525</v>
      </c>
      <c r="D73" s="1061" t="s">
        <v>1526</v>
      </c>
      <c r="E73" s="1132">
        <v>0.4</v>
      </c>
      <c r="F73" s="1147">
        <v>60</v>
      </c>
    </row>
    <row r="74" spans="1:6" s="1098" customFormat="1" ht="24">
      <c r="A74" s="1147">
        <v>14</v>
      </c>
      <c r="B74" s="3497"/>
      <c r="C74" s="1061" t="s">
        <v>1527</v>
      </c>
      <c r="D74" s="1061" t="s">
        <v>1528</v>
      </c>
      <c r="E74" s="1132">
        <v>0.2</v>
      </c>
      <c r="F74" s="1147">
        <v>30</v>
      </c>
    </row>
    <row r="75" spans="1:6" s="1098" customFormat="1" ht="24">
      <c r="A75" s="1147">
        <v>15</v>
      </c>
      <c r="B75" s="3497"/>
      <c r="C75" s="1061" t="s">
        <v>1529</v>
      </c>
      <c r="D75" s="1061" t="s">
        <v>1530</v>
      </c>
      <c r="E75" s="1132">
        <v>0.2</v>
      </c>
      <c r="F75" s="1147">
        <v>30</v>
      </c>
    </row>
    <row r="76" spans="1:6" s="1098" customFormat="1" ht="24">
      <c r="A76" s="1147">
        <v>16</v>
      </c>
      <c r="B76" s="3497" t="s">
        <v>1531</v>
      </c>
      <c r="C76" s="1061" t="s">
        <v>1532</v>
      </c>
      <c r="D76" s="1061" t="s">
        <v>1533</v>
      </c>
      <c r="E76" s="1132">
        <v>0.5</v>
      </c>
      <c r="F76" s="1147">
        <v>80</v>
      </c>
    </row>
    <row r="77" spans="1:6" s="1098" customFormat="1" ht="24">
      <c r="A77" s="1147">
        <v>17</v>
      </c>
      <c r="B77" s="3497"/>
      <c r="C77" s="1061" t="s">
        <v>1534</v>
      </c>
      <c r="D77" s="1061" t="s">
        <v>1535</v>
      </c>
      <c r="E77" s="1132">
        <v>0.5</v>
      </c>
      <c r="F77" s="1147">
        <v>80</v>
      </c>
    </row>
    <row r="78" spans="1:6" s="1098" customFormat="1" ht="24">
      <c r="A78" s="1147">
        <v>18</v>
      </c>
      <c r="B78" s="3497"/>
      <c r="C78" s="1061" t="s">
        <v>1536</v>
      </c>
      <c r="D78" s="1061" t="s">
        <v>1537</v>
      </c>
      <c r="E78" s="1132">
        <v>0.2</v>
      </c>
      <c r="F78" s="1147">
        <v>30</v>
      </c>
    </row>
    <row r="79" spans="1:6" s="1098" customFormat="1" ht="24">
      <c r="A79" s="1147">
        <v>19</v>
      </c>
      <c r="B79" s="3497"/>
      <c r="C79" s="1061" t="s">
        <v>1538</v>
      </c>
      <c r="D79" s="1061" t="s">
        <v>1539</v>
      </c>
      <c r="E79" s="1132">
        <v>0.5</v>
      </c>
      <c r="F79" s="1147">
        <v>80</v>
      </c>
    </row>
    <row r="80" spans="1:6" s="1098" customFormat="1" ht="36">
      <c r="A80" s="1147">
        <v>20</v>
      </c>
      <c r="B80" s="3497"/>
      <c r="C80" s="1061" t="s">
        <v>1540</v>
      </c>
      <c r="D80" s="1061" t="s">
        <v>1541</v>
      </c>
      <c r="E80" s="1132">
        <v>0.2</v>
      </c>
      <c r="F80" s="1147">
        <v>30</v>
      </c>
    </row>
    <row r="81" spans="1:6" s="1098" customFormat="1" ht="36">
      <c r="A81" s="1147">
        <v>21</v>
      </c>
      <c r="B81" s="3497"/>
      <c r="C81" s="1061" t="s">
        <v>1542</v>
      </c>
      <c r="D81" s="1061" t="s">
        <v>1543</v>
      </c>
      <c r="E81" s="1132">
        <v>0.2</v>
      </c>
      <c r="F81" s="1147">
        <v>30</v>
      </c>
    </row>
    <row r="82" spans="1:6" s="1098" customFormat="1" ht="48">
      <c r="A82" s="1147">
        <v>22</v>
      </c>
      <c r="B82" s="3497"/>
      <c r="C82" s="1061" t="s">
        <v>1544</v>
      </c>
      <c r="D82" s="1061" t="s">
        <v>1545</v>
      </c>
      <c r="E82" s="1132">
        <v>0.2</v>
      </c>
      <c r="F82" s="1147">
        <v>30</v>
      </c>
    </row>
    <row r="83" spans="1:6" s="1098" customFormat="1" ht="48">
      <c r="A83" s="1147">
        <v>23</v>
      </c>
      <c r="B83" s="3497"/>
      <c r="C83" s="1061" t="s">
        <v>1546</v>
      </c>
      <c r="D83" s="1061" t="s">
        <v>1547</v>
      </c>
      <c r="E83" s="1132">
        <v>0.2</v>
      </c>
      <c r="F83" s="1147">
        <v>30</v>
      </c>
    </row>
    <row r="84" spans="1:6" s="1098" customFormat="1" ht="36">
      <c r="A84" s="1147">
        <v>24</v>
      </c>
      <c r="B84" s="3497"/>
      <c r="C84" s="1061" t="s">
        <v>1548</v>
      </c>
      <c r="D84" s="1061" t="s">
        <v>1549</v>
      </c>
      <c r="E84" s="1132">
        <v>0.2</v>
      </c>
      <c r="F84" s="1147">
        <v>30</v>
      </c>
    </row>
    <row r="85" spans="1:6" s="1098" customFormat="1" ht="36">
      <c r="A85" s="1147">
        <v>25</v>
      </c>
      <c r="B85" s="3497"/>
      <c r="C85" s="1061" t="s">
        <v>1550</v>
      </c>
      <c r="D85" s="1061" t="s">
        <v>1551</v>
      </c>
      <c r="E85" s="1132">
        <v>0.5</v>
      </c>
      <c r="F85" s="1147">
        <v>80</v>
      </c>
    </row>
    <row r="86" spans="1:6" s="1098" customFormat="1" ht="36">
      <c r="A86" s="1147">
        <v>26</v>
      </c>
      <c r="B86" s="3497"/>
      <c r="C86" s="1061" t="s">
        <v>1552</v>
      </c>
      <c r="D86" s="1061" t="s">
        <v>1553</v>
      </c>
      <c r="E86" s="1132">
        <v>0.2</v>
      </c>
      <c r="F86" s="1147">
        <v>30</v>
      </c>
    </row>
    <row r="87" spans="1:6" s="1098" customFormat="1" ht="36">
      <c r="A87" s="1147">
        <v>27</v>
      </c>
      <c r="B87" s="3497"/>
      <c r="C87" s="1061" t="s">
        <v>1554</v>
      </c>
      <c r="D87" s="1061" t="s">
        <v>1555</v>
      </c>
      <c r="E87" s="1132">
        <v>0.2</v>
      </c>
      <c r="F87" s="1147">
        <v>30</v>
      </c>
    </row>
    <row r="88" spans="1:6" s="1098" customFormat="1" ht="36">
      <c r="A88" s="1147">
        <v>28</v>
      </c>
      <c r="B88" s="3497"/>
      <c r="C88" s="1061" t="s">
        <v>1556</v>
      </c>
      <c r="D88" s="1061" t="s">
        <v>1557</v>
      </c>
      <c r="E88" s="1132">
        <v>0.2</v>
      </c>
      <c r="F88" s="1147">
        <v>30</v>
      </c>
    </row>
    <row r="89" spans="1:6" s="1098" customFormat="1" ht="24">
      <c r="A89" s="1147">
        <v>29</v>
      </c>
      <c r="B89" s="3497"/>
      <c r="C89" s="1061" t="s">
        <v>1558</v>
      </c>
      <c r="D89" s="1061" t="s">
        <v>1559</v>
      </c>
      <c r="E89" s="1132">
        <v>0.2</v>
      </c>
      <c r="F89" s="1147">
        <v>30</v>
      </c>
    </row>
    <row r="90" spans="1:6" s="1098" customFormat="1" ht="24">
      <c r="A90" s="1147">
        <v>30</v>
      </c>
      <c r="B90" s="3497"/>
      <c r="C90" s="1061" t="s">
        <v>1560</v>
      </c>
      <c r="D90" s="1061" t="s">
        <v>1561</v>
      </c>
      <c r="E90" s="1132">
        <v>0.2</v>
      </c>
      <c r="F90" s="1147">
        <v>30</v>
      </c>
    </row>
    <row r="91" spans="1:6" s="1098" customFormat="1" ht="36">
      <c r="A91" s="1147">
        <v>31</v>
      </c>
      <c r="B91" s="3497"/>
      <c r="C91" s="1061" t="s">
        <v>1562</v>
      </c>
      <c r="D91" s="1061" t="s">
        <v>1563</v>
      </c>
      <c r="E91" s="1132">
        <v>0.2</v>
      </c>
      <c r="F91" s="1147">
        <v>30</v>
      </c>
    </row>
    <row r="92" spans="1:6" s="1098" customFormat="1" ht="24">
      <c r="A92" s="1147">
        <v>32</v>
      </c>
      <c r="B92" s="3497" t="s">
        <v>1564</v>
      </c>
      <c r="C92" s="1147" t="s">
        <v>1565</v>
      </c>
      <c r="D92" s="1061" t="s">
        <v>1566</v>
      </c>
      <c r="E92" s="1132">
        <v>0.2</v>
      </c>
      <c r="F92" s="1147">
        <v>30</v>
      </c>
    </row>
    <row r="93" spans="1:6" s="1098" customFormat="1" ht="36">
      <c r="A93" s="1147">
        <v>33</v>
      </c>
      <c r="B93" s="3497"/>
      <c r="C93" s="1147" t="s">
        <v>1567</v>
      </c>
      <c r="D93" s="1061" t="s">
        <v>1568</v>
      </c>
      <c r="E93" s="1132">
        <v>0.2</v>
      </c>
      <c r="F93" s="1147">
        <v>30</v>
      </c>
    </row>
    <row r="94" spans="1:6" s="1098" customFormat="1" ht="48">
      <c r="A94" s="1147">
        <v>34</v>
      </c>
      <c r="B94" s="3497"/>
      <c r="C94" s="1147" t="s">
        <v>1569</v>
      </c>
      <c r="D94" s="1061" t="s">
        <v>1570</v>
      </c>
      <c r="E94" s="1132">
        <v>0.2</v>
      </c>
      <c r="F94" s="1147">
        <v>30</v>
      </c>
    </row>
    <row r="95" spans="1:6" s="1098" customFormat="1" ht="36">
      <c r="A95" s="1147">
        <v>35</v>
      </c>
      <c r="B95" s="3497"/>
      <c r="C95" s="1147" t="s">
        <v>1571</v>
      </c>
      <c r="D95" s="1061" t="s">
        <v>1572</v>
      </c>
      <c r="E95" s="1132">
        <v>0.2</v>
      </c>
      <c r="F95" s="1147">
        <v>30</v>
      </c>
    </row>
    <row r="96" spans="1:6" s="1098" customFormat="1" ht="48">
      <c r="A96" s="1147">
        <v>36</v>
      </c>
      <c r="B96" s="3497"/>
      <c r="C96" s="1061" t="s">
        <v>1573</v>
      </c>
      <c r="D96" s="1061" t="s">
        <v>1574</v>
      </c>
      <c r="E96" s="1132">
        <v>0.2</v>
      </c>
      <c r="F96" s="1147">
        <v>30</v>
      </c>
    </row>
    <row r="97" spans="1:6" s="1098" customFormat="1" ht="36">
      <c r="A97" s="1147">
        <v>37</v>
      </c>
      <c r="B97" s="3497"/>
      <c r="C97" s="1147" t="s">
        <v>1575</v>
      </c>
      <c r="D97" s="1061" t="s">
        <v>1576</v>
      </c>
      <c r="E97" s="1132">
        <v>0.2</v>
      </c>
      <c r="F97" s="1147">
        <v>30</v>
      </c>
    </row>
    <row r="98" spans="1:6" s="1098" customFormat="1" ht="36">
      <c r="A98" s="1147">
        <v>38</v>
      </c>
      <c r="B98" s="3497"/>
      <c r="C98" s="1147" t="s">
        <v>1577</v>
      </c>
      <c r="D98" s="1061" t="s">
        <v>1578</v>
      </c>
      <c r="E98" s="1132">
        <v>0.2</v>
      </c>
      <c r="F98" s="1147">
        <v>30</v>
      </c>
    </row>
    <row r="99" spans="1:6" s="1098" customFormat="1" ht="36">
      <c r="A99" s="1147">
        <v>39</v>
      </c>
      <c r="B99" s="3497" t="s">
        <v>1579</v>
      </c>
      <c r="C99" s="1147" t="s">
        <v>1580</v>
      </c>
      <c r="D99" s="1061" t="s">
        <v>1581</v>
      </c>
      <c r="E99" s="1132">
        <v>0.3</v>
      </c>
      <c r="F99" s="1147">
        <v>50</v>
      </c>
    </row>
    <row r="100" spans="1:6" s="1098" customFormat="1" ht="24">
      <c r="A100" s="1147">
        <v>40</v>
      </c>
      <c r="B100" s="3497"/>
      <c r="C100" s="1147" t="s">
        <v>1582</v>
      </c>
      <c r="D100" s="1061" t="s">
        <v>1583</v>
      </c>
      <c r="E100" s="1132">
        <v>0.2</v>
      </c>
      <c r="F100" s="1147">
        <v>30</v>
      </c>
    </row>
    <row r="101" spans="1:6" s="1098" customFormat="1" ht="36">
      <c r="A101" s="1147">
        <v>41</v>
      </c>
      <c r="B101" s="3497"/>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97" t="s">
        <v>1594</v>
      </c>
      <c r="C105" s="1147" t="s">
        <v>1595</v>
      </c>
      <c r="D105" s="1061" t="s">
        <v>1596</v>
      </c>
      <c r="E105" s="1132">
        <v>0.2</v>
      </c>
      <c r="F105" s="1147">
        <v>30</v>
      </c>
    </row>
    <row r="106" spans="1:6" s="1098" customFormat="1" ht="36">
      <c r="A106" s="1147">
        <v>46</v>
      </c>
      <c r="B106" s="3497"/>
      <c r="C106" s="1147" t="s">
        <v>1597</v>
      </c>
      <c r="D106" s="1061" t="s">
        <v>1598</v>
      </c>
      <c r="E106" s="1132">
        <v>0.2</v>
      </c>
      <c r="F106" s="1147">
        <v>30</v>
      </c>
    </row>
    <row r="107" spans="1:6" s="1098" customFormat="1" ht="36">
      <c r="A107" s="1147">
        <v>47</v>
      </c>
      <c r="B107" s="3497" t="s">
        <v>1599</v>
      </c>
      <c r="C107" s="1147" t="s">
        <v>1600</v>
      </c>
      <c r="D107" s="1061" t="s">
        <v>1601</v>
      </c>
      <c r="E107" s="1132">
        <v>0.3</v>
      </c>
      <c r="F107" s="1147">
        <v>50</v>
      </c>
    </row>
    <row r="108" spans="1:6" s="1098" customFormat="1" ht="36">
      <c r="A108" s="1147">
        <v>48</v>
      </c>
      <c r="B108" s="3497"/>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97" t="s">
        <v>1610</v>
      </c>
      <c r="C111" s="1147" t="s">
        <v>1611</v>
      </c>
      <c r="D111" s="1061" t="s">
        <v>1612</v>
      </c>
      <c r="E111" s="1132">
        <v>0.2</v>
      </c>
      <c r="F111" s="1147">
        <v>30</v>
      </c>
    </row>
    <row r="112" spans="1:6" s="1098" customFormat="1" ht="24">
      <c r="A112" s="1147">
        <v>52</v>
      </c>
      <c r="B112" s="3497"/>
      <c r="C112" s="1147" t="s">
        <v>1613</v>
      </c>
      <c r="D112" s="1061" t="s">
        <v>1614</v>
      </c>
      <c r="E112" s="1132">
        <v>0.2</v>
      </c>
      <c r="F112" s="1147">
        <v>30</v>
      </c>
    </row>
    <row r="113" spans="1:14" s="1098" customFormat="1" ht="24">
      <c r="A113" s="1147">
        <v>53</v>
      </c>
      <c r="B113" s="3497"/>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97" t="s">
        <v>1623</v>
      </c>
      <c r="C116" s="1147" t="s">
        <v>1624</v>
      </c>
      <c r="D116" s="1061" t="s">
        <v>1625</v>
      </c>
      <c r="E116" s="1132">
        <v>0.2</v>
      </c>
      <c r="F116" s="1147">
        <v>30</v>
      </c>
    </row>
    <row r="117" spans="1:14" ht="36">
      <c r="A117" s="1147">
        <v>57</v>
      </c>
      <c r="B117" s="3497"/>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96" t="s">
        <v>1632</v>
      </c>
      <c r="B121" s="3496"/>
      <c r="C121" s="3496"/>
      <c r="D121" s="3496"/>
      <c r="E121" s="3496"/>
      <c r="F121" s="3496"/>
      <c r="G121" s="3496"/>
      <c r="H121" s="3496"/>
      <c r="I121" s="3496"/>
      <c r="J121" s="3496"/>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501" t="s">
        <v>1038</v>
      </c>
      <c r="B1" s="3501"/>
      <c r="C1" s="3501"/>
      <c r="D1" s="3501"/>
      <c r="E1" s="3501"/>
      <c r="F1" s="3501"/>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502" t="s">
        <v>1051</v>
      </c>
      <c r="B2" s="3502"/>
      <c r="C2" s="3502"/>
      <c r="D2" s="3502"/>
      <c r="E2" s="3502"/>
      <c r="F2" s="3502"/>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503"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504"/>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05" t="s">
        <v>2078</v>
      </c>
      <c r="B1" s="3505"/>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1095</v>
      </c>
      <c r="B6" s="1841" t="s">
        <v>2087</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2088</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2089</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2090</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2091</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2092</v>
      </c>
      <c r="C72" s="1851"/>
      <c r="D72" s="1851"/>
      <c r="E72" s="1851"/>
      <c r="F72" s="1843">
        <v>0.05</v>
      </c>
    </row>
    <row r="73" spans="1:6" ht="14.25" thickBot="1">
      <c r="A73" s="1837" t="s">
        <v>924</v>
      </c>
      <c r="B73" s="1841" t="s">
        <v>2093</v>
      </c>
      <c r="C73" s="1851"/>
      <c r="D73" s="1851"/>
      <c r="E73" s="1851"/>
      <c r="F73" s="1843">
        <v>0.05</v>
      </c>
    </row>
    <row r="74" spans="1:6" ht="14.25" thickBot="1">
      <c r="A74" s="1837" t="s">
        <v>924</v>
      </c>
      <c r="B74" s="1841" t="s">
        <v>2094</v>
      </c>
      <c r="C74" s="1851"/>
      <c r="D74" s="1851"/>
      <c r="E74" s="1851"/>
      <c r="F74" s="1843">
        <v>0.05</v>
      </c>
    </row>
    <row r="75" spans="1:6" ht="14.25" thickBot="1">
      <c r="A75" s="1845" t="s">
        <v>924</v>
      </c>
      <c r="B75" s="1852" t="s">
        <v>2095</v>
      </c>
      <c r="C75" s="1848"/>
      <c r="D75" s="1848"/>
      <c r="E75" s="1848"/>
      <c r="F75" s="1853">
        <v>0.05</v>
      </c>
    </row>
    <row r="76" spans="1:6" ht="14.25" thickBot="1">
      <c r="A76" s="1837" t="s">
        <v>1406</v>
      </c>
      <c r="B76" s="1838" t="s">
        <v>2096</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2097</v>
      </c>
      <c r="C102" s="1851"/>
      <c r="D102" s="1851"/>
      <c r="E102" s="1851"/>
      <c r="F102" s="1843">
        <v>0.05</v>
      </c>
    </row>
    <row r="103" spans="1:6" ht="24.75" thickBot="1">
      <c r="A103" s="1837" t="s">
        <v>1406</v>
      </c>
      <c r="B103" s="1841" t="s">
        <v>2098</v>
      </c>
      <c r="C103" s="1851"/>
      <c r="D103" s="1851"/>
      <c r="E103" s="1851"/>
      <c r="F103" s="1843">
        <v>0.05</v>
      </c>
    </row>
    <row r="104" spans="1:6" ht="14.25" thickBot="1">
      <c r="A104" s="1837" t="s">
        <v>1406</v>
      </c>
      <c r="B104" s="1841" t="s">
        <v>2099</v>
      </c>
      <c r="C104" s="1851"/>
      <c r="D104" s="1851"/>
      <c r="E104" s="1851"/>
      <c r="F104" s="1843">
        <v>0.05</v>
      </c>
    </row>
    <row r="105" spans="1:6" ht="14.25" thickBot="1">
      <c r="A105" s="1837" t="s">
        <v>1406</v>
      </c>
      <c r="B105" s="1841" t="s">
        <v>2100</v>
      </c>
      <c r="C105" s="1851"/>
      <c r="D105" s="1851"/>
      <c r="E105" s="1851"/>
      <c r="F105" s="1843">
        <v>0.05</v>
      </c>
    </row>
    <row r="106" spans="1:6" ht="14.25" thickBot="1">
      <c r="A106" s="1837" t="s">
        <v>1406</v>
      </c>
      <c r="B106" s="1841" t="s">
        <v>2101</v>
      </c>
      <c r="C106" s="1851"/>
      <c r="D106" s="1851"/>
      <c r="E106" s="1851"/>
      <c r="F106" s="1843">
        <v>0.05</v>
      </c>
    </row>
    <row r="107" spans="1:6" ht="24.75" thickBot="1">
      <c r="A107" s="1837" t="s">
        <v>1406</v>
      </c>
      <c r="B107" s="1841" t="s">
        <v>2102</v>
      </c>
      <c r="C107" s="1851"/>
      <c r="D107" s="1851"/>
      <c r="E107" s="1851"/>
      <c r="F107" s="1843">
        <v>0.05</v>
      </c>
    </row>
    <row r="108" spans="1:6" ht="24.75" thickBot="1">
      <c r="A108" s="1837" t="s">
        <v>1406</v>
      </c>
      <c r="B108" s="1841" t="s">
        <v>2103</v>
      </c>
      <c r="C108" s="1851"/>
      <c r="D108" s="1851"/>
      <c r="E108" s="1851"/>
      <c r="F108" s="1843">
        <v>0.05</v>
      </c>
    </row>
    <row r="109" spans="1:6" ht="24.75" thickBot="1">
      <c r="A109" s="1845" t="s">
        <v>1406</v>
      </c>
      <c r="B109" s="1852" t="s">
        <v>2104</v>
      </c>
      <c r="C109" s="1848"/>
      <c r="D109" s="1848"/>
      <c r="E109" s="1848"/>
      <c r="F109" s="1853">
        <v>0.05</v>
      </c>
    </row>
    <row r="110" spans="1:6" ht="14.25" thickBot="1">
      <c r="A110" s="1837" t="s">
        <v>1408</v>
      </c>
      <c r="B110" s="1838" t="s">
        <v>2105</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2106</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2107</v>
      </c>
      <c r="C138" s="1842">
        <v>0.105</v>
      </c>
      <c r="D138" s="1842">
        <v>0.125</v>
      </c>
      <c r="E138" s="1842">
        <v>0.112</v>
      </c>
      <c r="F138" s="1850"/>
    </row>
    <row r="139" spans="1:6" ht="14.25" thickBot="1">
      <c r="A139" s="1837" t="s">
        <v>1408</v>
      </c>
      <c r="B139" s="1841" t="s">
        <v>2108</v>
      </c>
      <c r="C139" s="1842">
        <v>0.127</v>
      </c>
      <c r="D139" s="1842">
        <v>0.127</v>
      </c>
      <c r="E139" s="1842">
        <v>0.122</v>
      </c>
      <c r="F139" s="1843">
        <v>0.13</v>
      </c>
    </row>
    <row r="140" spans="1:6" ht="14.25" thickBot="1">
      <c r="A140" s="1837" t="s">
        <v>1408</v>
      </c>
      <c r="B140" s="1841" t="s">
        <v>2109</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2110</v>
      </c>
      <c r="C144" s="1855">
        <v>0.126</v>
      </c>
      <c r="D144" s="1855">
        <v>0.126</v>
      </c>
      <c r="E144" s="1855">
        <v>0.121</v>
      </c>
      <c r="F144" s="1850"/>
    </row>
    <row r="145" spans="1:6" ht="14.25" thickBot="1">
      <c r="A145" s="1845" t="s">
        <v>1408</v>
      </c>
      <c r="B145" s="1856" t="s">
        <v>2111</v>
      </c>
      <c r="C145" s="1857"/>
      <c r="D145" s="1857"/>
      <c r="E145" s="1857"/>
      <c r="F145" s="1858">
        <v>0.05</v>
      </c>
    </row>
    <row r="146" spans="1:6" ht="24.75" thickBot="1">
      <c r="A146" s="1859" t="s">
        <v>1408</v>
      </c>
      <c r="B146" s="1844" t="s">
        <v>2112</v>
      </c>
      <c r="C146" s="1851"/>
      <c r="D146" s="1851"/>
      <c r="E146" s="1851"/>
      <c r="F146" s="1860">
        <v>0.05</v>
      </c>
    </row>
    <row r="147" spans="1:6" ht="24.75" thickBot="1">
      <c r="A147" s="1837" t="s">
        <v>1408</v>
      </c>
      <c r="B147" s="1841" t="s">
        <v>2113</v>
      </c>
      <c r="C147" s="1851"/>
      <c r="D147" s="1851"/>
      <c r="E147" s="1851"/>
      <c r="F147" s="1843">
        <v>0.05</v>
      </c>
    </row>
    <row r="148" spans="1:6" ht="24.75" thickBot="1">
      <c r="A148" s="1837" t="s">
        <v>1408</v>
      </c>
      <c r="B148" s="1841" t="s">
        <v>2114</v>
      </c>
      <c r="C148" s="1851"/>
      <c r="D148" s="1851"/>
      <c r="E148" s="1851"/>
      <c r="F148" s="1843">
        <v>0.05</v>
      </c>
    </row>
    <row r="149" spans="1:6" ht="24.75" thickBot="1">
      <c r="A149" s="1837" t="s">
        <v>1408</v>
      </c>
      <c r="B149" s="1841" t="s">
        <v>2115</v>
      </c>
      <c r="C149" s="1851"/>
      <c r="D149" s="1851"/>
      <c r="E149" s="1851"/>
      <c r="F149" s="1843">
        <v>0.05</v>
      </c>
    </row>
    <row r="150" spans="1:6" ht="24.75" thickBot="1">
      <c r="A150" s="1837" t="s">
        <v>1408</v>
      </c>
      <c r="B150" s="1841" t="s">
        <v>2116</v>
      </c>
      <c r="C150" s="1851"/>
      <c r="D150" s="1851"/>
      <c r="E150" s="1851"/>
      <c r="F150" s="1843">
        <v>0.05</v>
      </c>
    </row>
    <row r="151" spans="1:6" ht="24.75" thickBot="1">
      <c r="A151" s="1837" t="s">
        <v>1408</v>
      </c>
      <c r="B151" s="1841" t="s">
        <v>2117</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2118</v>
      </c>
      <c r="C153" s="1851"/>
      <c r="D153" s="1851"/>
      <c r="E153" s="1851"/>
      <c r="F153" s="1843">
        <v>0.05</v>
      </c>
    </row>
    <row r="154" spans="1:6" ht="14.25" thickBot="1">
      <c r="A154" s="1837" t="s">
        <v>1408</v>
      </c>
      <c r="B154" s="1841" t="s">
        <v>2119</v>
      </c>
      <c r="C154" s="1851"/>
      <c r="D154" s="1851"/>
      <c r="E154" s="1851"/>
      <c r="F154" s="1843">
        <v>0.05</v>
      </c>
    </row>
    <row r="155" spans="1:6" ht="24.75" thickBot="1">
      <c r="A155" s="1837" t="s">
        <v>1408</v>
      </c>
      <c r="B155" s="1841" t="s">
        <v>2120</v>
      </c>
      <c r="C155" s="1851"/>
      <c r="D155" s="1851"/>
      <c r="E155" s="1851"/>
      <c r="F155" s="1843">
        <v>0.05</v>
      </c>
    </row>
    <row r="156" spans="1:6" ht="24.75" thickBot="1">
      <c r="A156" s="1837" t="s">
        <v>1408</v>
      </c>
      <c r="B156" s="1841" t="s">
        <v>2121</v>
      </c>
      <c r="C156" s="1851"/>
      <c r="D156" s="1851"/>
      <c r="E156" s="1851"/>
      <c r="F156" s="1843">
        <v>0.05</v>
      </c>
    </row>
    <row r="157" spans="1:6" ht="14.25" thickBot="1">
      <c r="A157" s="1845" t="s">
        <v>1408</v>
      </c>
      <c r="B157" s="1852" t="s">
        <v>2122</v>
      </c>
      <c r="C157" s="1848"/>
      <c r="D157" s="1848"/>
      <c r="E157" s="1848"/>
      <c r="F157" s="1853">
        <v>0.05</v>
      </c>
    </row>
    <row r="158" spans="1:6" ht="14.25" thickBot="1">
      <c r="A158" s="1837" t="s">
        <v>1410</v>
      </c>
      <c r="B158" s="1838" t="s">
        <v>2123</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2124</v>
      </c>
      <c r="C171" s="1842">
        <v>0.127</v>
      </c>
      <c r="D171" s="1842">
        <v>0.126</v>
      </c>
      <c r="E171" s="1842">
        <v>0.126</v>
      </c>
      <c r="F171" s="1843">
        <v>0.11799999999999999</v>
      </c>
    </row>
    <row r="172" spans="1:6" ht="14.25" thickBot="1">
      <c r="A172" s="1837" t="s">
        <v>1410</v>
      </c>
      <c r="B172" s="1841" t="s">
        <v>2125</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2126</v>
      </c>
      <c r="C174" s="1842">
        <v>0.13</v>
      </c>
      <c r="D174" s="1842">
        <v>0.13</v>
      </c>
      <c r="E174" s="1842">
        <v>0.13</v>
      </c>
      <c r="F174" s="1843">
        <v>0.13</v>
      </c>
    </row>
    <row r="175" spans="1:6" ht="14.25" thickBot="1">
      <c r="A175" s="1837" t="s">
        <v>1410</v>
      </c>
      <c r="B175" s="1841" t="s">
        <v>2127</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2128</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2129</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2130</v>
      </c>
      <c r="C185" s="1842">
        <v>0.127</v>
      </c>
      <c r="D185" s="1842">
        <v>0.127</v>
      </c>
      <c r="E185" s="1842">
        <v>0.128</v>
      </c>
      <c r="F185" s="1843">
        <v>0.13</v>
      </c>
    </row>
    <row r="186" spans="1:6" ht="24.75" thickBot="1">
      <c r="A186" s="1837" t="s">
        <v>1410</v>
      </c>
      <c r="B186" s="1841" t="s">
        <v>2131</v>
      </c>
      <c r="C186" s="1851"/>
      <c r="D186" s="1851"/>
      <c r="E186" s="1851"/>
      <c r="F186" s="1843">
        <v>0.05</v>
      </c>
    </row>
    <row r="187" spans="1:6" ht="14.25" thickBot="1">
      <c r="A187" s="1837" t="s">
        <v>1410</v>
      </c>
      <c r="B187" s="1841" t="s">
        <v>2132</v>
      </c>
      <c r="C187" s="1851"/>
      <c r="D187" s="1851"/>
      <c r="E187" s="1851"/>
      <c r="F187" s="1843">
        <v>0.05</v>
      </c>
    </row>
    <row r="188" spans="1:6" ht="14.25" thickBot="1">
      <c r="A188" s="1837" t="s">
        <v>1410</v>
      </c>
      <c r="B188" s="1841" t="s">
        <v>2133</v>
      </c>
      <c r="C188" s="1851"/>
      <c r="D188" s="1851"/>
      <c r="E188" s="1851"/>
      <c r="F188" s="1843">
        <v>0.05</v>
      </c>
    </row>
    <row r="189" spans="1:6" ht="24.75" thickBot="1">
      <c r="A189" s="1837" t="s">
        <v>1410</v>
      </c>
      <c r="B189" s="1841" t="s">
        <v>2134</v>
      </c>
      <c r="C189" s="1851"/>
      <c r="D189" s="1851"/>
      <c r="E189" s="1851"/>
      <c r="F189" s="1843">
        <v>0.05</v>
      </c>
    </row>
    <row r="190" spans="1:6" ht="24.75" thickBot="1">
      <c r="A190" s="1837" t="s">
        <v>1410</v>
      </c>
      <c r="B190" s="1841" t="s">
        <v>2135</v>
      </c>
      <c r="C190" s="1851"/>
      <c r="D190" s="1851"/>
      <c r="E190" s="1851"/>
      <c r="F190" s="1843">
        <v>0.05</v>
      </c>
    </row>
    <row r="191" spans="1:6" ht="24.75" thickBot="1">
      <c r="A191" s="1837" t="s">
        <v>1410</v>
      </c>
      <c r="B191" s="1841" t="s">
        <v>2136</v>
      </c>
      <c r="C191" s="1851"/>
      <c r="D191" s="1851"/>
      <c r="E191" s="1851"/>
      <c r="F191" s="1843">
        <v>0.05</v>
      </c>
    </row>
    <row r="192" spans="1:6" ht="24.75" thickBot="1">
      <c r="A192" s="1837" t="s">
        <v>1410</v>
      </c>
      <c r="B192" s="1841" t="s">
        <v>2137</v>
      </c>
      <c r="C192" s="1851"/>
      <c r="D192" s="1851"/>
      <c r="E192" s="1851"/>
      <c r="F192" s="1843">
        <v>0.05</v>
      </c>
    </row>
    <row r="193" spans="1:6" ht="24.75" thickBot="1">
      <c r="A193" s="1837" t="s">
        <v>1410</v>
      </c>
      <c r="B193" s="1841" t="s">
        <v>2138</v>
      </c>
      <c r="C193" s="1851"/>
      <c r="D193" s="1851"/>
      <c r="E193" s="1851"/>
      <c r="F193" s="1843">
        <v>0.05</v>
      </c>
    </row>
    <row r="194" spans="1:6" ht="24.75" thickBot="1">
      <c r="A194" s="1837" t="s">
        <v>1410</v>
      </c>
      <c r="B194" s="1841" t="s">
        <v>2139</v>
      </c>
      <c r="C194" s="1851"/>
      <c r="D194" s="1851"/>
      <c r="E194" s="1851"/>
      <c r="F194" s="1843">
        <v>0.05</v>
      </c>
    </row>
    <row r="195" spans="1:6" ht="14.25" thickBot="1">
      <c r="A195" s="1837" t="s">
        <v>1410</v>
      </c>
      <c r="B195" s="1841" t="s">
        <v>2140</v>
      </c>
      <c r="C195" s="1851"/>
      <c r="D195" s="1851"/>
      <c r="E195" s="1851"/>
      <c r="F195" s="1843">
        <v>0.05</v>
      </c>
    </row>
    <row r="196" spans="1:6" ht="24.75" thickBot="1">
      <c r="A196" s="1837" t="s">
        <v>1410</v>
      </c>
      <c r="B196" s="1841" t="s">
        <v>2141</v>
      </c>
      <c r="C196" s="1851"/>
      <c r="D196" s="1851"/>
      <c r="E196" s="1851"/>
      <c r="F196" s="1843">
        <v>0.05</v>
      </c>
    </row>
    <row r="197" spans="1:6" ht="24.75" thickBot="1">
      <c r="A197" s="1837" t="s">
        <v>1410</v>
      </c>
      <c r="B197" s="1841" t="s">
        <v>2142</v>
      </c>
      <c r="C197" s="1851"/>
      <c r="D197" s="1851"/>
      <c r="E197" s="1851"/>
      <c r="F197" s="1843">
        <v>0.05</v>
      </c>
    </row>
    <row r="198" spans="1:6" ht="24.75" thickBot="1">
      <c r="A198" s="1837" t="s">
        <v>1410</v>
      </c>
      <c r="B198" s="1841" t="s">
        <v>2143</v>
      </c>
      <c r="C198" s="1851"/>
      <c r="D198" s="1851"/>
      <c r="E198" s="1851"/>
      <c r="F198" s="1843">
        <v>0.05</v>
      </c>
    </row>
    <row r="199" spans="1:6" ht="24.75" thickBot="1">
      <c r="A199" s="1837" t="s">
        <v>1410</v>
      </c>
      <c r="B199" s="1841" t="s">
        <v>2144</v>
      </c>
      <c r="C199" s="1851"/>
      <c r="D199" s="1851"/>
      <c r="E199" s="1851"/>
      <c r="F199" s="1843">
        <v>0.05</v>
      </c>
    </row>
    <row r="200" spans="1:6" ht="24.75" thickBot="1">
      <c r="A200" s="1837" t="s">
        <v>1410</v>
      </c>
      <c r="B200" s="1841" t="s">
        <v>2145</v>
      </c>
      <c r="C200" s="1851"/>
      <c r="D200" s="1851"/>
      <c r="E200" s="1851"/>
      <c r="F200" s="1843">
        <v>0.05</v>
      </c>
    </row>
    <row r="201" spans="1:6" ht="24.75" thickBot="1">
      <c r="A201" s="1837" t="s">
        <v>1410</v>
      </c>
      <c r="B201" s="1841" t="s">
        <v>2146</v>
      </c>
      <c r="C201" s="1851"/>
      <c r="D201" s="1851"/>
      <c r="E201" s="1851"/>
      <c r="F201" s="1843">
        <v>0.05</v>
      </c>
    </row>
    <row r="202" spans="1:6" ht="24.75" thickBot="1">
      <c r="A202" s="1837" t="s">
        <v>1410</v>
      </c>
      <c r="B202" s="1841" t="s">
        <v>2147</v>
      </c>
      <c r="C202" s="1851"/>
      <c r="D202" s="1851"/>
      <c r="E202" s="1851"/>
      <c r="F202" s="1843">
        <v>0.05</v>
      </c>
    </row>
    <row r="203" spans="1:6" ht="24.75" thickBot="1">
      <c r="A203" s="1837" t="s">
        <v>1410</v>
      </c>
      <c r="B203" s="1841" t="s">
        <v>2148</v>
      </c>
      <c r="C203" s="1851"/>
      <c r="D203" s="1851"/>
      <c r="E203" s="1851"/>
      <c r="F203" s="1843">
        <v>0.05</v>
      </c>
    </row>
    <row r="204" spans="1:6" ht="14.25" thickBot="1">
      <c r="A204" s="1837" t="s">
        <v>1410</v>
      </c>
      <c r="B204" s="1841" t="s">
        <v>2149</v>
      </c>
      <c r="C204" s="1851"/>
      <c r="D204" s="1851"/>
      <c r="E204" s="1851"/>
      <c r="F204" s="1843">
        <v>0.05</v>
      </c>
    </row>
    <row r="205" spans="1:6" ht="14.25" thickBot="1">
      <c r="A205" s="1845" t="s">
        <v>1410</v>
      </c>
      <c r="B205" s="1852" t="s">
        <v>2150</v>
      </c>
      <c r="C205" s="1848"/>
      <c r="D205" s="1848"/>
      <c r="E205" s="1848"/>
      <c r="F205" s="1853">
        <v>0.05</v>
      </c>
    </row>
    <row r="206" spans="1:6" ht="14.25" thickBot="1">
      <c r="A206" s="1837" t="s">
        <v>1412</v>
      </c>
      <c r="B206" s="1838" t="s">
        <v>2151</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2152</v>
      </c>
      <c r="C210" s="1842">
        <v>0.15</v>
      </c>
      <c r="D210" s="1842">
        <v>0.15</v>
      </c>
      <c r="E210" s="1842">
        <v>0.15</v>
      </c>
      <c r="F210" s="1843">
        <v>0.13800000000000001</v>
      </c>
    </row>
    <row r="211" spans="1:6" ht="14.25" thickBot="1">
      <c r="A211" s="1837" t="s">
        <v>1412</v>
      </c>
      <c r="B211" s="1841" t="s">
        <v>2153</v>
      </c>
      <c r="C211" s="1842">
        <v>0.13700000000000001</v>
      </c>
      <c r="D211" s="1842">
        <v>0.13500000000000001</v>
      </c>
      <c r="E211" s="1842">
        <v>0.13600000000000001</v>
      </c>
      <c r="F211" s="1843">
        <v>0.1</v>
      </c>
    </row>
    <row r="212" spans="1:6" ht="14.25" thickBot="1">
      <c r="A212" s="1837" t="s">
        <v>1412</v>
      </c>
      <c r="B212" s="1841" t="s">
        <v>2154</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2155</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2156</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2157</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2158</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2159</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2160</v>
      </c>
      <c r="C231" s="1842">
        <v>0.128</v>
      </c>
      <c r="D231" s="1842">
        <v>0.125</v>
      </c>
      <c r="E231" s="1842">
        <v>0.13200000000000001</v>
      </c>
      <c r="F231" s="1850"/>
    </row>
    <row r="232" spans="1:6" ht="14.25" thickBot="1">
      <c r="A232" s="1837" t="s">
        <v>1412</v>
      </c>
      <c r="B232" s="1841" t="s">
        <v>2161</v>
      </c>
      <c r="C232" s="1842">
        <v>0.14499999999999999</v>
      </c>
      <c r="D232" s="1842">
        <v>0.14399999999999999</v>
      </c>
      <c r="E232" s="1842">
        <v>0.14599999999999999</v>
      </c>
      <c r="F232" s="1843">
        <v>0.13800000000000001</v>
      </c>
    </row>
    <row r="233" spans="1:6" ht="14.25" thickBot="1">
      <c r="A233" s="1837" t="s">
        <v>1412</v>
      </c>
      <c r="B233" s="1841" t="s">
        <v>2162</v>
      </c>
      <c r="C233" s="1842">
        <v>0.14499999999999999</v>
      </c>
      <c r="D233" s="1842">
        <v>0.14299999999999999</v>
      </c>
      <c r="E233" s="1842">
        <v>0.14199999999999999</v>
      </c>
      <c r="F233" s="1850"/>
    </row>
    <row r="234" spans="1:6" ht="14.25" thickBot="1">
      <c r="A234" s="1837" t="s">
        <v>1412</v>
      </c>
      <c r="B234" s="1841" t="s">
        <v>2163</v>
      </c>
      <c r="C234" s="1842">
        <v>0.14000000000000001</v>
      </c>
      <c r="D234" s="1842">
        <v>0.14000000000000001</v>
      </c>
      <c r="E234" s="1842">
        <v>0.14399999999999999</v>
      </c>
      <c r="F234" s="1850"/>
    </row>
    <row r="235" spans="1:6" ht="14.25" thickBot="1">
      <c r="A235" s="1837" t="s">
        <v>1412</v>
      </c>
      <c r="B235" s="1841" t="s">
        <v>2164</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2165</v>
      </c>
      <c r="C237" s="1851"/>
      <c r="D237" s="1851"/>
      <c r="E237" s="1851"/>
      <c r="F237" s="1843">
        <v>0.05</v>
      </c>
    </row>
    <row r="238" spans="1:6" ht="24.75" thickBot="1">
      <c r="A238" s="1837" t="s">
        <v>1412</v>
      </c>
      <c r="B238" s="1841" t="s">
        <v>2166</v>
      </c>
      <c r="C238" s="1851"/>
      <c r="D238" s="1851"/>
      <c r="E238" s="1851"/>
      <c r="F238" s="1843">
        <v>0.05</v>
      </c>
    </row>
    <row r="239" spans="1:6" ht="24.75" thickBot="1">
      <c r="A239" s="1837" t="s">
        <v>1412</v>
      </c>
      <c r="B239" s="1841" t="s">
        <v>2167</v>
      </c>
      <c r="C239" s="1851"/>
      <c r="D239" s="1851"/>
      <c r="E239" s="1851"/>
      <c r="F239" s="1843">
        <v>0.05</v>
      </c>
    </row>
    <row r="240" spans="1:6" ht="24.75" thickBot="1">
      <c r="A240" s="1837" t="s">
        <v>1412</v>
      </c>
      <c r="B240" s="1841" t="s">
        <v>2168</v>
      </c>
      <c r="C240" s="1851"/>
      <c r="D240" s="1851"/>
      <c r="E240" s="1851"/>
      <c r="F240" s="1843">
        <v>0.05</v>
      </c>
    </row>
    <row r="241" spans="1:6" ht="24.75" thickBot="1">
      <c r="A241" s="1837" t="s">
        <v>1412</v>
      </c>
      <c r="B241" s="1841" t="s">
        <v>2169</v>
      </c>
      <c r="C241" s="1851"/>
      <c r="D241" s="1851"/>
      <c r="E241" s="1851"/>
      <c r="F241" s="1843">
        <v>0.05</v>
      </c>
    </row>
    <row r="242" spans="1:6" ht="24.75" thickBot="1">
      <c r="A242" s="1837" t="s">
        <v>1412</v>
      </c>
      <c r="B242" s="1841" t="s">
        <v>2170</v>
      </c>
      <c r="C242" s="1851"/>
      <c r="D242" s="1851"/>
      <c r="E242" s="1851"/>
      <c r="F242" s="1843">
        <v>0.05</v>
      </c>
    </row>
    <row r="243" spans="1:6" ht="24.75" thickBot="1">
      <c r="A243" s="1837" t="s">
        <v>1412</v>
      </c>
      <c r="B243" s="1841" t="s">
        <v>2171</v>
      </c>
      <c r="C243" s="1851"/>
      <c r="D243" s="1851"/>
      <c r="E243" s="1851"/>
      <c r="F243" s="1843">
        <v>0.05</v>
      </c>
    </row>
    <row r="244" spans="1:6" ht="24.75" thickBot="1">
      <c r="A244" s="1845" t="s">
        <v>1412</v>
      </c>
      <c r="B244" s="1852" t="s">
        <v>2172</v>
      </c>
      <c r="C244" s="1848"/>
      <c r="D244" s="1848"/>
      <c r="E244" s="1848"/>
      <c r="F244" s="1853">
        <v>0.05</v>
      </c>
    </row>
    <row r="245" spans="1:6" ht="14.25" thickBot="1">
      <c r="A245" s="1837" t="s">
        <v>1414</v>
      </c>
      <c r="B245" s="1838" t="s">
        <v>2173</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2174</v>
      </c>
      <c r="C247" s="1842">
        <v>0.15</v>
      </c>
      <c r="D247" s="1842">
        <v>0.15</v>
      </c>
      <c r="E247" s="1842">
        <v>0.15</v>
      </c>
      <c r="F247" s="1843">
        <v>0.15</v>
      </c>
    </row>
    <row r="248" spans="1:6" ht="14.25" thickBot="1">
      <c r="A248" s="1837" t="s">
        <v>1414</v>
      </c>
      <c r="B248" s="1841" t="s">
        <v>2175</v>
      </c>
      <c r="C248" s="1842">
        <v>0.15</v>
      </c>
      <c r="D248" s="1842">
        <v>0.15</v>
      </c>
      <c r="E248" s="1842">
        <v>0.15</v>
      </c>
      <c r="F248" s="1843">
        <v>0.14000000000000001</v>
      </c>
    </row>
    <row r="249" spans="1:6" ht="14.25" thickBot="1">
      <c r="A249" s="1837" t="s">
        <v>1414</v>
      </c>
      <c r="B249" s="1841" t="s">
        <v>2176</v>
      </c>
      <c r="C249" s="1842">
        <v>0.15</v>
      </c>
      <c r="D249" s="1842">
        <v>0.14899999999999999</v>
      </c>
      <c r="E249" s="1842">
        <v>0.15</v>
      </c>
      <c r="F249" s="1843">
        <v>0.1</v>
      </c>
    </row>
    <row r="250" spans="1:6" ht="14.25" thickBot="1">
      <c r="A250" s="1837" t="s">
        <v>1414</v>
      </c>
      <c r="B250" s="1841" t="s">
        <v>2177</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2178</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2179</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2180</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2181</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2182</v>
      </c>
      <c r="C273" s="1842">
        <v>0.14199999999999999</v>
      </c>
      <c r="D273" s="1842">
        <v>0.14299999999999999</v>
      </c>
      <c r="E273" s="1842">
        <v>0.15</v>
      </c>
      <c r="F273" s="1843">
        <v>0.1</v>
      </c>
    </row>
    <row r="274" spans="1:6" ht="14.25" thickBot="1">
      <c r="A274" s="1837" t="s">
        <v>1414</v>
      </c>
      <c r="B274" s="1841" t="s">
        <v>2183</v>
      </c>
      <c r="C274" s="1842">
        <v>0.14799999999999999</v>
      </c>
      <c r="D274" s="1842">
        <v>0.14799999999999999</v>
      </c>
      <c r="E274" s="1842">
        <v>0.15</v>
      </c>
      <c r="F274" s="1843">
        <v>6.7000000000000004E-2</v>
      </c>
    </row>
    <row r="275" spans="1:6" ht="14.25" thickBot="1">
      <c r="A275" s="1837" t="s">
        <v>1414</v>
      </c>
      <c r="B275" s="1841" t="s">
        <v>2184</v>
      </c>
      <c r="C275" s="1842">
        <v>0.15</v>
      </c>
      <c r="D275" s="1842">
        <v>0.15</v>
      </c>
      <c r="E275" s="1842">
        <v>0.15</v>
      </c>
      <c r="F275" s="1843">
        <v>0.15</v>
      </c>
    </row>
    <row r="276" spans="1:6" ht="14.25" thickBot="1">
      <c r="A276" s="1837" t="s">
        <v>1414</v>
      </c>
      <c r="B276" s="1841" t="s">
        <v>2185</v>
      </c>
      <c r="C276" s="1842">
        <v>0.14499999999999999</v>
      </c>
      <c r="D276" s="1842">
        <v>0.14299999999999999</v>
      </c>
      <c r="E276" s="1842">
        <v>0.15</v>
      </c>
      <c r="F276" s="1843">
        <v>5.8999999999999997E-2</v>
      </c>
    </row>
    <row r="277" spans="1:6" ht="14.25" thickBot="1">
      <c r="A277" s="1837" t="s">
        <v>1414</v>
      </c>
      <c r="B277" s="1841" t="s">
        <v>2186</v>
      </c>
      <c r="C277" s="1842">
        <v>0.15</v>
      </c>
      <c r="D277" s="1842">
        <v>0.15</v>
      </c>
      <c r="E277" s="1842">
        <v>0.15</v>
      </c>
      <c r="F277" s="1843">
        <v>0.121</v>
      </c>
    </row>
    <row r="278" spans="1:6" ht="14.25" thickBot="1">
      <c r="A278" s="1837" t="s">
        <v>1414</v>
      </c>
      <c r="B278" s="1841" t="s">
        <v>2187</v>
      </c>
      <c r="C278" s="1842">
        <v>0.15</v>
      </c>
      <c r="D278" s="1842">
        <v>0.15</v>
      </c>
      <c r="E278" s="1842">
        <v>0.15</v>
      </c>
      <c r="F278" s="1843">
        <v>0.13800000000000001</v>
      </c>
    </row>
    <row r="279" spans="1:6" ht="24.75" thickBot="1">
      <c r="A279" s="1837" t="s">
        <v>1414</v>
      </c>
      <c r="B279" s="1841" t="s">
        <v>2188</v>
      </c>
      <c r="C279" s="1851"/>
      <c r="D279" s="1851"/>
      <c r="E279" s="1851"/>
      <c r="F279" s="1843">
        <v>0.05</v>
      </c>
    </row>
    <row r="280" spans="1:6" ht="24.75" thickBot="1">
      <c r="A280" s="1837" t="s">
        <v>1414</v>
      </c>
      <c r="B280" s="1841" t="s">
        <v>2189</v>
      </c>
      <c r="C280" s="1851"/>
      <c r="D280" s="1851"/>
      <c r="E280" s="1851"/>
      <c r="F280" s="1843">
        <v>0.05</v>
      </c>
    </row>
    <row r="281" spans="1:6" ht="24.75" thickBot="1">
      <c r="A281" s="1837" t="s">
        <v>1414</v>
      </c>
      <c r="B281" s="1841" t="s">
        <v>2190</v>
      </c>
      <c r="C281" s="1851"/>
      <c r="D281" s="1851"/>
      <c r="E281" s="1851"/>
      <c r="F281" s="1843">
        <v>0.05</v>
      </c>
    </row>
    <row r="282" spans="1:6" ht="24.75" thickBot="1">
      <c r="A282" s="1837" t="s">
        <v>1414</v>
      </c>
      <c r="B282" s="1841" t="s">
        <v>2191</v>
      </c>
      <c r="C282" s="1851"/>
      <c r="D282" s="1851"/>
      <c r="E282" s="1851"/>
      <c r="F282" s="1843">
        <v>0.05</v>
      </c>
    </row>
    <row r="283" spans="1:6" ht="24.75" thickBot="1">
      <c r="A283" s="1837" t="s">
        <v>1414</v>
      </c>
      <c r="B283" s="1841" t="s">
        <v>2192</v>
      </c>
      <c r="C283" s="1851"/>
      <c r="D283" s="1851"/>
      <c r="E283" s="1851"/>
      <c r="F283" s="1843">
        <v>0.05</v>
      </c>
    </row>
    <row r="284" spans="1:6" ht="24.75" thickBot="1">
      <c r="A284" s="1837" t="s">
        <v>1414</v>
      </c>
      <c r="B284" s="1841" t="s">
        <v>2193</v>
      </c>
      <c r="C284" s="1851"/>
      <c r="D284" s="1851"/>
      <c r="E284" s="1851"/>
      <c r="F284" s="1843">
        <v>0.05</v>
      </c>
    </row>
    <row r="285" spans="1:6" ht="24.75" thickBot="1">
      <c r="A285" s="1837" t="s">
        <v>1414</v>
      </c>
      <c r="B285" s="1841" t="s">
        <v>2194</v>
      </c>
      <c r="C285" s="1851"/>
      <c r="D285" s="1851"/>
      <c r="E285" s="1851"/>
      <c r="F285" s="1843">
        <v>0.05</v>
      </c>
    </row>
    <row r="286" spans="1:6" ht="24.75" thickBot="1">
      <c r="A286" s="1837" t="s">
        <v>1414</v>
      </c>
      <c r="B286" s="1841" t="s">
        <v>2195</v>
      </c>
      <c r="C286" s="1851"/>
      <c r="D286" s="1851"/>
      <c r="E286" s="1851"/>
      <c r="F286" s="1843">
        <v>0.05</v>
      </c>
    </row>
    <row r="287" spans="1:6" ht="24.75" thickBot="1">
      <c r="A287" s="1837" t="s">
        <v>1414</v>
      </c>
      <c r="B287" s="1841" t="s">
        <v>2196</v>
      </c>
      <c r="C287" s="1851"/>
      <c r="D287" s="1851"/>
      <c r="E287" s="1851"/>
      <c r="F287" s="1843">
        <v>0.05</v>
      </c>
    </row>
    <row r="288" spans="1:6" ht="24.75" thickBot="1">
      <c r="A288" s="1837" t="s">
        <v>1414</v>
      </c>
      <c r="B288" s="1841" t="s">
        <v>2197</v>
      </c>
      <c r="C288" s="1851"/>
      <c r="D288" s="1851"/>
      <c r="E288" s="1851"/>
      <c r="F288" s="1843">
        <v>0.05</v>
      </c>
    </row>
    <row r="289" spans="1:6" ht="24.75" thickBot="1">
      <c r="A289" s="1845" t="s">
        <v>1414</v>
      </c>
      <c r="B289" s="1852" t="s">
        <v>2198</v>
      </c>
      <c r="C289" s="1848"/>
      <c r="D289" s="1848"/>
      <c r="E289" s="1848"/>
      <c r="F289" s="1853">
        <v>0.05</v>
      </c>
    </row>
    <row r="290" spans="1:6" ht="14.25" thickBot="1">
      <c r="A290" s="1837" t="s">
        <v>1418</v>
      </c>
      <c r="B290" s="1838" t="s">
        <v>2199</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2200</v>
      </c>
      <c r="C292" s="1842">
        <v>0.15</v>
      </c>
      <c r="D292" s="1842">
        <v>0.15</v>
      </c>
      <c r="E292" s="1842">
        <v>0.15</v>
      </c>
      <c r="F292" s="1843">
        <v>0.14699999999999999</v>
      </c>
    </row>
    <row r="293" spans="1:6" ht="14.25" thickBot="1">
      <c r="A293" s="1837" t="s">
        <v>1418</v>
      </c>
      <c r="B293" s="1841" t="s">
        <v>2201</v>
      </c>
      <c r="C293" s="1851"/>
      <c r="D293" s="1851"/>
      <c r="E293" s="1851"/>
      <c r="F293" s="1843">
        <v>0.1</v>
      </c>
    </row>
    <row r="294" spans="1:6" ht="14.25" thickBot="1">
      <c r="A294" s="1837" t="s">
        <v>1418</v>
      </c>
      <c r="B294" s="1841" t="s">
        <v>2202</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2203</v>
      </c>
      <c r="C296" s="1842">
        <v>0.15</v>
      </c>
      <c r="D296" s="1842">
        <v>0.15</v>
      </c>
      <c r="E296" s="1842">
        <v>0.15</v>
      </c>
      <c r="F296" s="1843">
        <v>0.15</v>
      </c>
    </row>
    <row r="297" spans="1:6" ht="14.25" thickBot="1">
      <c r="A297" s="1837" t="s">
        <v>1418</v>
      </c>
      <c r="B297" s="1841" t="s">
        <v>2204</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2205</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2206</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2207</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2208</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2209</v>
      </c>
      <c r="C310" s="1842">
        <v>0.15</v>
      </c>
      <c r="D310" s="1842">
        <v>0.15</v>
      </c>
      <c r="E310" s="1842">
        <v>0.15</v>
      </c>
      <c r="F310" s="1843">
        <v>0.13700000000000001</v>
      </c>
    </row>
    <row r="311" spans="1:6" ht="14.25" thickBot="1">
      <c r="A311" s="1837" t="s">
        <v>1418</v>
      </c>
      <c r="B311" s="1841" t="s">
        <v>2210</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2211</v>
      </c>
      <c r="C313" s="1842">
        <v>0.15</v>
      </c>
      <c r="D313" s="1842">
        <v>0.15</v>
      </c>
      <c r="E313" s="1842">
        <v>0.15</v>
      </c>
      <c r="F313" s="1843">
        <v>0.15</v>
      </c>
    </row>
    <row r="314" spans="1:6" ht="24.75" thickBot="1">
      <c r="A314" s="1837" t="s">
        <v>1418</v>
      </c>
      <c r="B314" s="1841" t="s">
        <v>2212</v>
      </c>
      <c r="C314" s="1851"/>
      <c r="D314" s="1851"/>
      <c r="E314" s="1851"/>
      <c r="F314" s="1843">
        <v>0.05</v>
      </c>
    </row>
    <row r="315" spans="1:6" ht="24.75" thickBot="1">
      <c r="A315" s="1837" t="s">
        <v>1418</v>
      </c>
      <c r="B315" s="1841" t="s">
        <v>2213</v>
      </c>
      <c r="C315" s="1851"/>
      <c r="D315" s="1851"/>
      <c r="E315" s="1851"/>
      <c r="F315" s="1843">
        <v>0.05</v>
      </c>
    </row>
    <row r="316" spans="1:6" ht="24.75" thickBot="1">
      <c r="A316" s="1845" t="s">
        <v>1418</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1106</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1175</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1195</v>
      </c>
      <c r="C328" s="1842">
        <v>0.15</v>
      </c>
      <c r="D328" s="1842">
        <v>0.15</v>
      </c>
      <c r="E328" s="1842">
        <v>0.15</v>
      </c>
      <c r="F328" s="1843">
        <v>0.14099999999999999</v>
      </c>
    </row>
    <row r="329" spans="1:6" ht="14.25" thickBot="1">
      <c r="A329" s="1837" t="s">
        <v>2215</v>
      </c>
      <c r="B329" s="1841" t="s">
        <v>1205</v>
      </c>
      <c r="C329" s="1842">
        <v>0.15</v>
      </c>
      <c r="D329" s="1842">
        <v>0.15</v>
      </c>
      <c r="E329" s="1842">
        <v>0.15</v>
      </c>
      <c r="F329" s="1843">
        <v>0.15</v>
      </c>
    </row>
    <row r="330" spans="1:6" ht="14.25" thickBot="1">
      <c r="A330" s="1837" t="s">
        <v>2215</v>
      </c>
      <c r="B330" s="1841" t="s">
        <v>1215</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1235</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1255</v>
      </c>
      <c r="C334" s="1842">
        <v>0.15</v>
      </c>
      <c r="D334" s="1842">
        <v>0.15</v>
      </c>
      <c r="E334" s="1842">
        <v>0.15</v>
      </c>
      <c r="F334" s="1843">
        <v>0.15</v>
      </c>
    </row>
    <row r="335" spans="1:6" ht="14.25" thickBot="1">
      <c r="A335" s="1837" t="s">
        <v>2215</v>
      </c>
      <c r="B335" s="1841" t="s">
        <v>1265</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1283</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513" t="s">
        <v>2575</v>
      </c>
      <c r="C1" s="3513"/>
      <c r="D1" s="3513"/>
      <c r="E1" s="3513"/>
      <c r="F1" s="3513"/>
      <c r="G1" s="3512" t="s">
        <v>2576</v>
      </c>
      <c r="H1" s="3512"/>
      <c r="I1" s="3512"/>
      <c r="J1" s="3512"/>
      <c r="K1" s="3512"/>
      <c r="L1" s="3512"/>
      <c r="N1" s="3512" t="s">
        <v>2577</v>
      </c>
      <c r="O1" s="3512"/>
      <c r="P1" s="3512"/>
      <c r="Q1" s="3512"/>
      <c r="R1" s="2615"/>
      <c r="S1" s="3512" t="s">
        <v>2578</v>
      </c>
      <c r="T1" s="3512"/>
      <c r="U1" s="3512"/>
      <c r="V1" s="3512"/>
      <c r="X1" s="3511" t="s">
        <v>2638</v>
      </c>
      <c r="Y1" s="3512"/>
      <c r="Z1" s="3512"/>
      <c r="AA1" s="3512"/>
      <c r="AB1" s="3512"/>
      <c r="AD1" s="3511" t="s">
        <v>2642</v>
      </c>
      <c r="AE1" s="3512"/>
      <c r="AF1" s="3512"/>
      <c r="AG1" s="3512"/>
      <c r="AH1" s="3512"/>
    </row>
    <row r="2" spans="1:34" s="2716" customFormat="1" ht="14.25" thickBot="1">
      <c r="B2" s="2724" t="s">
        <v>2579</v>
      </c>
      <c r="C2" s="2724" t="s">
        <v>2640</v>
      </c>
      <c r="D2" s="2717" t="s">
        <v>1643</v>
      </c>
      <c r="E2" s="2717" t="s">
        <v>1948</v>
      </c>
      <c r="F2" s="2724" t="s">
        <v>2641</v>
      </c>
      <c r="G2" s="2720"/>
      <c r="H2" s="2719"/>
      <c r="I2" s="2724" t="s">
        <v>2953</v>
      </c>
      <c r="J2" s="2717" t="s">
        <v>2955</v>
      </c>
      <c r="K2" s="2717" t="s">
        <v>2956</v>
      </c>
      <c r="L2" s="2724" t="s">
        <v>2957</v>
      </c>
      <c r="N2" s="2724" t="s">
        <v>2579</v>
      </c>
      <c r="O2" s="2717" t="s">
        <v>2954</v>
      </c>
      <c r="P2" s="2717" t="s">
        <v>1948</v>
      </c>
      <c r="Q2" s="2724" t="s">
        <v>2641</v>
      </c>
      <c r="R2" s="2718"/>
      <c r="S2" s="2724" t="s">
        <v>2579</v>
      </c>
      <c r="T2" s="2717" t="s">
        <v>2954</v>
      </c>
      <c r="U2" s="2717" t="s">
        <v>1948</v>
      </c>
      <c r="V2" s="2724" t="s">
        <v>2641</v>
      </c>
      <c r="X2" s="2724" t="s">
        <v>2579</v>
      </c>
      <c r="Y2" s="2724" t="s">
        <v>2640</v>
      </c>
      <c r="Z2" s="2717" t="s">
        <v>1643</v>
      </c>
      <c r="AA2" s="2717" t="s">
        <v>1948</v>
      </c>
      <c r="AB2" s="2724" t="s">
        <v>2641</v>
      </c>
      <c r="AD2" s="2724" t="s">
        <v>2579</v>
      </c>
      <c r="AE2" s="2724" t="s">
        <v>2640</v>
      </c>
      <c r="AF2" s="2717" t="s">
        <v>1643</v>
      </c>
      <c r="AG2" s="2717" t="s">
        <v>1948</v>
      </c>
      <c r="AH2" s="2724" t="s">
        <v>2641</v>
      </c>
    </row>
    <row r="3" spans="1:34" s="3080" customFormat="1" ht="14.25">
      <c r="A3" s="3092" t="s">
        <v>2966</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ht="13.5" thickBot="1">
      <c r="A5" s="3062" t="s">
        <v>2992</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3">
        <v>3</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2967</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1" customFormat="1">
      <c r="A6" s="2616" t="s">
        <v>2991</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9">
        <v>1.53</v>
      </c>
      <c r="J6" s="3179">
        <v>1.01</v>
      </c>
      <c r="K6" s="3179">
        <v>1.62</v>
      </c>
      <c r="L6" s="3180">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5" thickBot="1">
      <c r="A7" s="2616" t="s">
        <v>2989</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2986</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507">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5" customHeight="1">
      <c r="A9" s="2616" t="s">
        <v>2976</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507"/>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5" customHeight="1">
      <c r="A10" s="2616" t="s">
        <v>2977</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507"/>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2973</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508"/>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2964</v>
      </c>
      <c r="B12" s="3094">
        <v>439</v>
      </c>
      <c r="C12" s="3094">
        <v>327</v>
      </c>
      <c r="D12" s="3094">
        <f t="shared" si="65"/>
        <v>327</v>
      </c>
      <c r="E12" s="3094">
        <v>627</v>
      </c>
      <c r="F12" s="3095">
        <v>283</v>
      </c>
      <c r="G12" s="3506">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5" customHeight="1">
      <c r="A13" s="2616" t="s">
        <v>2968</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507"/>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5" customHeight="1">
      <c r="A14" s="2616" t="s">
        <v>2580</v>
      </c>
      <c r="B14" s="2629">
        <f t="shared" si="77"/>
        <v>419.31181600000002</v>
      </c>
      <c r="C14" s="2629">
        <f t="shared" si="77"/>
        <v>313.95436800000004</v>
      </c>
      <c r="D14" s="2629">
        <f t="shared" si="65"/>
        <v>313.95436800000004</v>
      </c>
      <c r="E14" s="2629">
        <f t="shared" si="78"/>
        <v>596.63028431999999</v>
      </c>
      <c r="F14" s="2629">
        <f t="shared" si="78"/>
        <v>274.74220703999998</v>
      </c>
      <c r="G14" s="3507"/>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2581</v>
      </c>
      <c r="B15" s="2629">
        <f t="shared" si="77"/>
        <v>405.524</v>
      </c>
      <c r="C15" s="2629">
        <f t="shared" si="77"/>
        <v>307.79840000000002</v>
      </c>
      <c r="D15" s="2629">
        <f t="shared" si="65"/>
        <v>307.79840000000002</v>
      </c>
      <c r="E15" s="2629">
        <f t="shared" si="78"/>
        <v>574.67759999999998</v>
      </c>
      <c r="F15" s="2629">
        <f t="shared" si="78"/>
        <v>270.20280000000002</v>
      </c>
      <c r="G15" s="3508"/>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969</v>
      </c>
      <c r="B16" s="2621">
        <v>392</v>
      </c>
      <c r="C16" s="2621">
        <v>302</v>
      </c>
      <c r="D16" s="2621">
        <f t="shared" si="65"/>
        <v>302</v>
      </c>
      <c r="E16" s="2621">
        <v>553</v>
      </c>
      <c r="F16" s="2622">
        <v>266</v>
      </c>
      <c r="G16" s="3506">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968</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507"/>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958</v>
      </c>
      <c r="B18" s="2629">
        <f t="shared" si="86"/>
        <v>360.06949782209392</v>
      </c>
      <c r="C18" s="2629">
        <f t="shared" si="86"/>
        <v>289.84672674747821</v>
      </c>
      <c r="D18" s="2629">
        <f t="shared" si="87"/>
        <v>289.84672674747821</v>
      </c>
      <c r="E18" s="2629">
        <f t="shared" si="88"/>
        <v>501.06543001181495</v>
      </c>
      <c r="F18" s="2629">
        <f t="shared" si="88"/>
        <v>256.82882500744967</v>
      </c>
      <c r="G18" s="3507"/>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5" thickBot="1">
      <c r="A19" s="2616" t="s">
        <v>967</v>
      </c>
      <c r="B19" s="2629">
        <f t="shared" si="86"/>
        <v>346.720748986128</v>
      </c>
      <c r="C19" s="2629">
        <f t="shared" si="86"/>
        <v>284.30282172386285</v>
      </c>
      <c r="D19" s="2629">
        <f t="shared" si="87"/>
        <v>284.30282172386285</v>
      </c>
      <c r="E19" s="2629">
        <f t="shared" si="88"/>
        <v>479.58023546306947</v>
      </c>
      <c r="F19" s="2629">
        <f t="shared" si="88"/>
        <v>253.25788877571213</v>
      </c>
      <c r="G19" s="3510"/>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5" thickBot="1">
      <c r="A20" s="2616" t="s">
        <v>966</v>
      </c>
      <c r="B20" s="2621">
        <v>333</v>
      </c>
      <c r="C20" s="2621">
        <v>277</v>
      </c>
      <c r="D20" s="2621">
        <f t="shared" si="87"/>
        <v>277</v>
      </c>
      <c r="E20" s="2621">
        <v>459</v>
      </c>
      <c r="F20" s="2622">
        <v>249</v>
      </c>
      <c r="G20" s="3509">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965</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507"/>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964</v>
      </c>
      <c r="B22" s="2629">
        <f t="shared" si="90"/>
        <v>322.34053690220776</v>
      </c>
      <c r="C22" s="2629">
        <f t="shared" si="90"/>
        <v>271.46160770422546</v>
      </c>
      <c r="D22" s="2629">
        <f t="shared" si="87"/>
        <v>271.46160770422546</v>
      </c>
      <c r="E22" s="2629">
        <f t="shared" si="91"/>
        <v>442.69434542172456</v>
      </c>
      <c r="F22" s="2629">
        <f t="shared" si="91"/>
        <v>241.34030753190925</v>
      </c>
      <c r="G22" s="3507"/>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963</v>
      </c>
      <c r="B23" s="2629">
        <f t="shared" si="90"/>
        <v>319.87748030386797</v>
      </c>
      <c r="C23" s="2629">
        <f t="shared" si="90"/>
        <v>269.60135833173649</v>
      </c>
      <c r="D23" s="2629">
        <f t="shared" si="87"/>
        <v>269.60135833173649</v>
      </c>
      <c r="E23" s="2629">
        <f t="shared" si="91"/>
        <v>439.18089823583784</v>
      </c>
      <c r="F23" s="2629">
        <f t="shared" si="91"/>
        <v>239.23503918706311</v>
      </c>
      <c r="G23" s="3510"/>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5" thickBot="1">
      <c r="A24" s="2616" t="s">
        <v>962</v>
      </c>
      <c r="B24" s="2643">
        <v>318</v>
      </c>
      <c r="C24" s="2643">
        <v>268</v>
      </c>
      <c r="D24" s="2643">
        <f t="shared" si="87"/>
        <v>268</v>
      </c>
      <c r="E24" s="2643">
        <v>437</v>
      </c>
      <c r="F24" s="2644">
        <v>237</v>
      </c>
      <c r="G24" s="3509">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961</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507"/>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5" thickBot="1">
      <c r="A26" s="2616" t="s">
        <v>960</v>
      </c>
      <c r="B26" s="2629">
        <f t="shared" si="92"/>
        <v>314.72141172386546</v>
      </c>
      <c r="C26" s="2629">
        <f t="shared" si="92"/>
        <v>263.03901319069001</v>
      </c>
      <c r="D26" s="2629">
        <f t="shared" si="87"/>
        <v>263.03901319069001</v>
      </c>
      <c r="E26" s="2629">
        <f t="shared" si="93"/>
        <v>433.65745506782821</v>
      </c>
      <c r="F26" s="2629">
        <f t="shared" si="93"/>
        <v>233.23005080045735</v>
      </c>
      <c r="G26" s="3507"/>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5" thickBot="1">
      <c r="A27" s="2647" t="s">
        <v>959</v>
      </c>
      <c r="B27" s="2648">
        <f t="shared" si="92"/>
        <v>307.34512863658733</v>
      </c>
      <c r="C27" s="2648">
        <f t="shared" si="92"/>
        <v>257.80556031626975</v>
      </c>
      <c r="D27" s="2648">
        <f t="shared" si="87"/>
        <v>257.80556031626975</v>
      </c>
      <c r="E27" s="2648">
        <f t="shared" si="93"/>
        <v>422.70928459677179</v>
      </c>
      <c r="F27" s="2648">
        <f t="shared" si="93"/>
        <v>229.73803270336617</v>
      </c>
      <c r="G27" s="3510"/>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2639</v>
      </c>
      <c r="X27" s="2725">
        <v>1</v>
      </c>
      <c r="Y27" s="2725">
        <v>1</v>
      </c>
      <c r="Z27" s="2725">
        <v>1</v>
      </c>
      <c r="AA27" s="2725">
        <v>1</v>
      </c>
      <c r="AB27" s="2725">
        <v>1</v>
      </c>
      <c r="AD27" s="2958">
        <f>I27/100</f>
        <v>2.9700000000000001E-2</v>
      </c>
      <c r="AE27" s="2958">
        <f>J27/100</f>
        <v>2.3399999999999997E-2</v>
      </c>
      <c r="AF27" s="2958">
        <f>AE27</f>
        <v>2.3399999999999997E-2</v>
      </c>
      <c r="AG27" s="2958">
        <f>K27/100</f>
        <v>3.2799999999999996E-2</v>
      </c>
      <c r="AH27" s="2958">
        <f>L27/100</f>
        <v>1.3600000000000001E-2</v>
      </c>
    </row>
    <row r="28" spans="1:34" ht="13.5" thickBot="1">
      <c r="A28" s="2616" t="s">
        <v>2582</v>
      </c>
      <c r="B28" s="2621">
        <v>299</v>
      </c>
      <c r="C28" s="2621">
        <v>252</v>
      </c>
      <c r="D28" s="2621">
        <f t="shared" si="87"/>
        <v>252</v>
      </c>
      <c r="E28" s="2621">
        <v>409</v>
      </c>
      <c r="F28" s="2622">
        <v>227</v>
      </c>
      <c r="G28" s="3514">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2583</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515"/>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2584</v>
      </c>
      <c r="B30" s="2629">
        <f t="shared" si="96"/>
        <v>288.2649053828776</v>
      </c>
      <c r="C30" s="2629">
        <f t="shared" si="96"/>
        <v>243.64564425013293</v>
      </c>
      <c r="D30" s="2629">
        <f t="shared" si="87"/>
        <v>243.64564425013293</v>
      </c>
      <c r="E30" s="2629">
        <f t="shared" si="97"/>
        <v>393.31080825986544</v>
      </c>
      <c r="F30" s="2629">
        <f t="shared" si="97"/>
        <v>223.07903790551154</v>
      </c>
      <c r="G30" s="3515"/>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2585</v>
      </c>
      <c r="B31" s="2629">
        <f t="shared" si="96"/>
        <v>282.50186729015837</v>
      </c>
      <c r="C31" s="2629">
        <f t="shared" si="96"/>
        <v>238.09796174155468</v>
      </c>
      <c r="D31" s="2629">
        <f t="shared" si="87"/>
        <v>238.09796174155468</v>
      </c>
      <c r="E31" s="2629">
        <f t="shared" si="97"/>
        <v>385.33438646014054</v>
      </c>
      <c r="F31" s="2629">
        <f t="shared" si="97"/>
        <v>221.55034055567739</v>
      </c>
      <c r="G31" s="3516"/>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5" thickBot="1">
      <c r="A32" s="2616" t="s">
        <v>2586</v>
      </c>
      <c r="B32" s="2659">
        <v>278</v>
      </c>
      <c r="C32" s="2659">
        <v>234</v>
      </c>
      <c r="D32" s="2659">
        <f t="shared" si="87"/>
        <v>234</v>
      </c>
      <c r="E32" s="2659">
        <v>379</v>
      </c>
      <c r="F32" s="2660">
        <v>220</v>
      </c>
      <c r="G32" s="3509">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2587</v>
      </c>
      <c r="B33" s="2629">
        <f>B32/(1+N32)</f>
        <v>275.49301357645425</v>
      </c>
      <c r="C33" s="2629">
        <f>C32/(1+O32)</f>
        <v>232.41954707985698</v>
      </c>
      <c r="D33" s="2629">
        <f t="shared" si="87"/>
        <v>232.41954707985698</v>
      </c>
      <c r="E33" s="2629">
        <f t="shared" ref="E33:F35" si="98">E32/(1+P32)</f>
        <v>375.32184591008121</v>
      </c>
      <c r="F33" s="2629">
        <f t="shared" si="98"/>
        <v>218.03766105054513</v>
      </c>
      <c r="G33" s="3507"/>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2588</v>
      </c>
      <c r="B34" s="2629">
        <f>B33/(1+N33)</f>
        <v>275.24529281292263</v>
      </c>
      <c r="C34" s="2629">
        <f>C33/(1+O33)</f>
        <v>231.74747938962707</v>
      </c>
      <c r="D34" s="2629">
        <f t="shared" si="87"/>
        <v>231.74747938962707</v>
      </c>
      <c r="E34" s="2629">
        <f t="shared" si="98"/>
        <v>375.35938184826603</v>
      </c>
      <c r="F34" s="2629">
        <f t="shared" si="98"/>
        <v>216.78033510692495</v>
      </c>
      <c r="G34" s="3507"/>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5" thickBot="1">
      <c r="A35" s="2616" t="s">
        <v>2589</v>
      </c>
      <c r="B35" s="2629">
        <f>B34/(1+N34)</f>
        <v>275.19025476197027</v>
      </c>
      <c r="C35" s="2661">
        <v>232</v>
      </c>
      <c r="D35" s="2661">
        <f t="shared" si="87"/>
        <v>232</v>
      </c>
      <c r="E35" s="2629">
        <f t="shared" si="98"/>
        <v>375.65990977608692</v>
      </c>
      <c r="F35" s="2629">
        <f t="shared" si="98"/>
        <v>214.12518283971252</v>
      </c>
      <c r="G35" s="3510"/>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5" thickBot="1">
      <c r="A36" s="2616" t="s">
        <v>2590</v>
      </c>
      <c r="B36" s="2621">
        <v>275</v>
      </c>
      <c r="C36" s="2621">
        <v>232</v>
      </c>
      <c r="D36" s="2621">
        <f t="shared" si="87"/>
        <v>232</v>
      </c>
      <c r="E36" s="2621">
        <v>376</v>
      </c>
      <c r="F36" s="2622">
        <v>213</v>
      </c>
      <c r="G36" s="3509">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2591</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507">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2592</v>
      </c>
      <c r="B38" s="2629">
        <f t="shared" si="99"/>
        <v>275.19335084830601</v>
      </c>
      <c r="C38" s="2629">
        <f t="shared" si="99"/>
        <v>230.18088050139744</v>
      </c>
      <c r="D38" s="2629">
        <f t="shared" si="87"/>
        <v>230.18088050139744</v>
      </c>
      <c r="E38" s="2629">
        <f t="shared" si="100"/>
        <v>377.58482925212331</v>
      </c>
      <c r="F38" s="2629">
        <f t="shared" si="100"/>
        <v>210.90687997847917</v>
      </c>
      <c r="G38" s="3507">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5" thickBot="1">
      <c r="A39" s="2616" t="s">
        <v>2593</v>
      </c>
      <c r="B39" s="2629">
        <f t="shared" si="99"/>
        <v>276.29854502841971</v>
      </c>
      <c r="C39" s="2629">
        <f t="shared" si="99"/>
        <v>229.79023709833027</v>
      </c>
      <c r="D39" s="2629">
        <f t="shared" si="87"/>
        <v>229.79023709833027</v>
      </c>
      <c r="E39" s="2629">
        <f t="shared" si="100"/>
        <v>379.78759731655936</v>
      </c>
      <c r="F39" s="2629">
        <f t="shared" si="100"/>
        <v>211.32953905659235</v>
      </c>
      <c r="G39" s="3510">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5" thickBot="1">
      <c r="A40" s="2616" t="s">
        <v>2594</v>
      </c>
      <c r="B40" s="2621">
        <v>269</v>
      </c>
      <c r="C40" s="2621">
        <v>221</v>
      </c>
      <c r="D40" s="2621">
        <f t="shared" si="87"/>
        <v>221</v>
      </c>
      <c r="E40" s="2621">
        <v>373</v>
      </c>
      <c r="F40" s="2622">
        <v>196</v>
      </c>
      <c r="G40" s="3509">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2595</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507">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2596</v>
      </c>
      <c r="B42" s="2629">
        <f t="shared" si="101"/>
        <v>242.95398227588385</v>
      </c>
      <c r="C42" s="2629">
        <f t="shared" si="101"/>
        <v>199.59137053614126</v>
      </c>
      <c r="D42" s="2629">
        <f t="shared" si="87"/>
        <v>199.59137053614126</v>
      </c>
      <c r="E42" s="2629">
        <f t="shared" si="102"/>
        <v>335.92189522342125</v>
      </c>
      <c r="F42" s="2629">
        <f t="shared" si="102"/>
        <v>183.10139991109489</v>
      </c>
      <c r="G42" s="3507">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5" thickBot="1">
      <c r="A43" s="2616" t="s">
        <v>2597</v>
      </c>
      <c r="B43" s="2629">
        <f t="shared" si="101"/>
        <v>232.06990378821649</v>
      </c>
      <c r="C43" s="2629">
        <f t="shared" si="101"/>
        <v>192.74878854286936</v>
      </c>
      <c r="D43" s="2629">
        <f t="shared" si="87"/>
        <v>192.74878854286936</v>
      </c>
      <c r="E43" s="2629">
        <f t="shared" si="102"/>
        <v>319.71247284992984</v>
      </c>
      <c r="F43" s="2629">
        <f t="shared" si="102"/>
        <v>175.67053622862409</v>
      </c>
      <c r="G43" s="3510">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5" thickBot="1">
      <c r="A44" s="2616" t="s">
        <v>2598</v>
      </c>
      <c r="B44" s="2621">
        <v>220</v>
      </c>
      <c r="C44" s="2621">
        <v>187</v>
      </c>
      <c r="D44" s="2621">
        <f t="shared" si="87"/>
        <v>187</v>
      </c>
      <c r="E44" s="2621">
        <v>301</v>
      </c>
      <c r="F44" s="2622">
        <v>168</v>
      </c>
      <c r="G44" s="3509">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2599</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507">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2600</v>
      </c>
      <c r="B46" s="2629">
        <f t="shared" si="103"/>
        <v>210.630522469011</v>
      </c>
      <c r="C46" s="2629">
        <f t="shared" si="103"/>
        <v>181.69567812247232</v>
      </c>
      <c r="D46" s="2629">
        <f t="shared" si="87"/>
        <v>181.69567812247232</v>
      </c>
      <c r="E46" s="2629">
        <f t="shared" si="104"/>
        <v>286.13517466736738</v>
      </c>
      <c r="F46" s="2629">
        <f t="shared" si="104"/>
        <v>165.47535084591149</v>
      </c>
      <c r="G46" s="3507">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2601</v>
      </c>
      <c r="B47" s="2629">
        <f t="shared" si="103"/>
        <v>208.83454537875372</v>
      </c>
      <c r="C47" s="2629">
        <f t="shared" si="103"/>
        <v>183.77230517090351</v>
      </c>
      <c r="D47" s="2629">
        <f t="shared" si="87"/>
        <v>183.77230517090351</v>
      </c>
      <c r="E47" s="2629">
        <f t="shared" si="104"/>
        <v>281.10342338870947</v>
      </c>
      <c r="F47" s="2629">
        <f t="shared" si="104"/>
        <v>168.97309388942256</v>
      </c>
      <c r="G47" s="3510">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5" thickBot="1">
      <c r="A48" s="2616" t="s">
        <v>2602</v>
      </c>
      <c r="B48" s="2659">
        <v>214</v>
      </c>
      <c r="C48" s="2659">
        <v>188</v>
      </c>
      <c r="D48" s="2659">
        <f t="shared" si="87"/>
        <v>188</v>
      </c>
      <c r="E48" s="2659">
        <v>289</v>
      </c>
      <c r="F48" s="2660">
        <v>166</v>
      </c>
      <c r="G48" s="3509">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2603</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507">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2604</v>
      </c>
      <c r="B50" s="2629">
        <f t="shared" si="105"/>
        <v>206.31694671589116</v>
      </c>
      <c r="C50" s="2629">
        <f t="shared" si="105"/>
        <v>183.61041121036101</v>
      </c>
      <c r="D50" s="2629">
        <f t="shared" si="87"/>
        <v>183.61041121036101</v>
      </c>
      <c r="E50" s="2629">
        <f t="shared" si="106"/>
        <v>276.66850301795557</v>
      </c>
      <c r="F50" s="2629">
        <f t="shared" si="106"/>
        <v>165.1360938278614</v>
      </c>
      <c r="G50" s="3507">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5" thickBot="1">
      <c r="A51" s="2616" t="s">
        <v>2605</v>
      </c>
      <c r="B51" s="2662">
        <f t="shared" si="105"/>
        <v>196.62341248059772</v>
      </c>
      <c r="C51" s="2662">
        <f t="shared" si="105"/>
        <v>170.99125648199012</v>
      </c>
      <c r="D51" s="2662">
        <f t="shared" si="87"/>
        <v>170.99125648199012</v>
      </c>
      <c r="E51" s="2662">
        <f t="shared" si="106"/>
        <v>266.07857570490052</v>
      </c>
      <c r="F51" s="2662">
        <f t="shared" si="106"/>
        <v>154.53499328828505</v>
      </c>
      <c r="G51" s="3510">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5" thickBot="1">
      <c r="A52" s="2616" t="s">
        <v>2606</v>
      </c>
      <c r="B52" s="2621">
        <v>188</v>
      </c>
      <c r="C52" s="2621">
        <v>165</v>
      </c>
      <c r="D52" s="2621">
        <f t="shared" si="87"/>
        <v>165</v>
      </c>
      <c r="E52" s="2621">
        <v>254</v>
      </c>
      <c r="F52" s="2622">
        <v>148</v>
      </c>
      <c r="G52" s="3509">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2607</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507">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2608</v>
      </c>
      <c r="B54" s="2629">
        <f t="shared" si="109"/>
        <v>168.82017748715555</v>
      </c>
      <c r="C54" s="2629">
        <f t="shared" si="109"/>
        <v>148.06267029972753</v>
      </c>
      <c r="D54" s="2629">
        <f t="shared" si="87"/>
        <v>148.06267029972753</v>
      </c>
      <c r="E54" s="2629">
        <f t="shared" si="110"/>
        <v>216.46288379323747</v>
      </c>
      <c r="F54" s="2629">
        <f t="shared" si="110"/>
        <v>134.23529411764704</v>
      </c>
      <c r="G54" s="3507">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2609</v>
      </c>
      <c r="B55" s="2629">
        <f t="shared" si="109"/>
        <v>163.84913591779542</v>
      </c>
      <c r="C55" s="2629">
        <f t="shared" si="109"/>
        <v>145.0283378746594</v>
      </c>
      <c r="D55" s="2629">
        <f t="shared" si="87"/>
        <v>145.0283378746594</v>
      </c>
      <c r="E55" s="2629">
        <f t="shared" si="110"/>
        <v>204.95180722891567</v>
      </c>
      <c r="F55" s="2629">
        <f t="shared" si="110"/>
        <v>125.95920303605313</v>
      </c>
      <c r="G55" s="3510">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5" thickBot="1">
      <c r="A56" s="2616" t="s">
        <v>2610</v>
      </c>
      <c r="B56" s="2643">
        <v>159</v>
      </c>
      <c r="C56" s="2643">
        <v>141</v>
      </c>
      <c r="D56" s="2643">
        <f t="shared" si="87"/>
        <v>141</v>
      </c>
      <c r="E56" s="2643">
        <v>195</v>
      </c>
      <c r="F56" s="2644">
        <v>122</v>
      </c>
      <c r="G56" s="3509">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2611</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507">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2612</v>
      </c>
      <c r="B58" s="2629">
        <f t="shared" si="113"/>
        <v>146.57412060301507</v>
      </c>
      <c r="C58" s="2629">
        <f t="shared" si="113"/>
        <v>136.46831955922866</v>
      </c>
      <c r="D58" s="2629">
        <f t="shared" si="87"/>
        <v>136.46831955922866</v>
      </c>
      <c r="E58" s="2629">
        <f t="shared" si="114"/>
        <v>166.73864894795128</v>
      </c>
      <c r="F58" s="2629">
        <f t="shared" si="114"/>
        <v>115.05882352941177</v>
      </c>
      <c r="G58" s="3507">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2613</v>
      </c>
      <c r="B59" s="2629">
        <f t="shared" si="113"/>
        <v>144.04145728643215</v>
      </c>
      <c r="C59" s="2629">
        <f t="shared" si="113"/>
        <v>136.12396694214877</v>
      </c>
      <c r="D59" s="2629">
        <f t="shared" si="87"/>
        <v>136.12396694214877</v>
      </c>
      <c r="E59" s="2629">
        <f t="shared" si="114"/>
        <v>158.32225913621264</v>
      </c>
      <c r="F59" s="2629">
        <f t="shared" si="114"/>
        <v>114.04278074866311</v>
      </c>
      <c r="G59" s="3510">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5" thickBot="1">
      <c r="A60" s="2616" t="s">
        <v>2614</v>
      </c>
      <c r="B60" s="2643">
        <v>138</v>
      </c>
      <c r="C60" s="2643">
        <v>131</v>
      </c>
      <c r="D60" s="2643">
        <f t="shared" si="87"/>
        <v>131</v>
      </c>
      <c r="E60" s="2643">
        <v>155</v>
      </c>
      <c r="F60" s="2644">
        <v>114</v>
      </c>
      <c r="G60" s="3509">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2615</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507">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2616</v>
      </c>
      <c r="B62" s="2629">
        <f t="shared" si="117"/>
        <v>124.29032258064517</v>
      </c>
      <c r="C62" s="2629">
        <f t="shared" si="117"/>
        <v>123.8968609865471</v>
      </c>
      <c r="D62" s="2629">
        <f t="shared" si="87"/>
        <v>123.8968609865471</v>
      </c>
      <c r="E62" s="2629">
        <f t="shared" si="118"/>
        <v>138.00507614213197</v>
      </c>
      <c r="F62" s="2629">
        <f t="shared" si="118"/>
        <v>107.96106557377048</v>
      </c>
      <c r="G62" s="3507">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2617</v>
      </c>
      <c r="B63" s="2629">
        <f t="shared" si="117"/>
        <v>122.57204301075269</v>
      </c>
      <c r="C63" s="2629">
        <f t="shared" si="117"/>
        <v>123.4932735426009</v>
      </c>
      <c r="D63" s="2629">
        <f t="shared" si="87"/>
        <v>123.4932735426009</v>
      </c>
      <c r="E63" s="2629">
        <f t="shared" si="118"/>
        <v>129.82233502538071</v>
      </c>
      <c r="F63" s="2629">
        <f t="shared" si="118"/>
        <v>107.39446721311475</v>
      </c>
      <c r="G63" s="3510">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5" thickBot="1">
      <c r="A64" s="2616" t="s">
        <v>2618</v>
      </c>
      <c r="B64" s="2659">
        <v>121</v>
      </c>
      <c r="C64" s="2659">
        <v>122</v>
      </c>
      <c r="D64" s="2659">
        <f t="shared" si="87"/>
        <v>122</v>
      </c>
      <c r="E64" s="2659">
        <v>124</v>
      </c>
      <c r="F64" s="2660">
        <v>107</v>
      </c>
      <c r="G64" s="3509">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2619</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507">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2620</v>
      </c>
      <c r="B66" s="2629">
        <f t="shared" si="121"/>
        <v>116.99099099099099</v>
      </c>
      <c r="C66" s="2629">
        <f t="shared" si="121"/>
        <v>118.84848484848486</v>
      </c>
      <c r="D66" s="2629">
        <f t="shared" si="87"/>
        <v>118.84848484848486</v>
      </c>
      <c r="E66" s="2629">
        <f t="shared" si="122"/>
        <v>117.60960960960961</v>
      </c>
      <c r="F66" s="2629">
        <f t="shared" si="122"/>
        <v>104</v>
      </c>
      <c r="G66" s="3507">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5" thickBot="1">
      <c r="A67" s="2616" t="s">
        <v>2621</v>
      </c>
      <c r="B67" s="2662">
        <f t="shared" si="121"/>
        <v>112.48648648648648</v>
      </c>
      <c r="C67" s="2662">
        <f t="shared" si="121"/>
        <v>115.21212121212122</v>
      </c>
      <c r="D67" s="2662">
        <f t="shared" si="87"/>
        <v>115.21212121212122</v>
      </c>
      <c r="E67" s="2662">
        <f t="shared" si="122"/>
        <v>110.4024024024024</v>
      </c>
      <c r="F67" s="2662">
        <f t="shared" si="122"/>
        <v>104</v>
      </c>
      <c r="G67" s="3510">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5" thickBot="1">
      <c r="A68" s="2616" t="s">
        <v>2622</v>
      </c>
      <c r="B68" s="2680">
        <v>111</v>
      </c>
      <c r="C68" s="2680">
        <v>114</v>
      </c>
      <c r="D68" s="2680">
        <f t="shared" si="87"/>
        <v>114</v>
      </c>
      <c r="E68" s="2680">
        <v>108</v>
      </c>
      <c r="F68" s="2681">
        <v>104</v>
      </c>
      <c r="G68" s="3509">
        <v>2003</v>
      </c>
      <c r="H68" s="2670">
        <v>4</v>
      </c>
      <c r="I68" s="2682"/>
      <c r="J68" s="2682"/>
      <c r="K68" s="2682"/>
      <c r="L68" s="2682"/>
      <c r="N68" s="2683"/>
      <c r="O68" s="2682"/>
      <c r="P68" s="2682"/>
      <c r="Q68" s="2682"/>
      <c r="S68" s="2683"/>
      <c r="T68" s="2682"/>
      <c r="U68" s="2682"/>
      <c r="V68" s="2682"/>
      <c r="X68" s="2674"/>
      <c r="Y68" s="2674"/>
      <c r="Z68" s="2674"/>
    </row>
    <row r="69" spans="1:26">
      <c r="A69" s="2616" t="s">
        <v>2623</v>
      </c>
      <c r="B69" s="2684">
        <f t="shared" ref="B69:C71" si="123">B70+(B$68-B$72)/4</f>
        <v>109.75</v>
      </c>
      <c r="C69" s="2684">
        <f t="shared" si="123"/>
        <v>112.25</v>
      </c>
      <c r="D69" s="2684">
        <f t="shared" si="87"/>
        <v>112.25</v>
      </c>
      <c r="E69" s="2684">
        <f t="shared" ref="E69:F71" si="124">E70+(E$68-E$72)/4</f>
        <v>107.25</v>
      </c>
      <c r="F69" s="2684">
        <f t="shared" si="124"/>
        <v>103.5</v>
      </c>
      <c r="G69" s="3507">
        <v>2003</v>
      </c>
      <c r="H69" s="2640">
        <v>3</v>
      </c>
      <c r="I69" s="2682"/>
      <c r="J69" s="2682"/>
      <c r="K69" s="2682"/>
      <c r="L69" s="2682"/>
      <c r="X69" s="2674"/>
      <c r="Y69" s="2674"/>
      <c r="Z69" s="2674"/>
    </row>
    <row r="70" spans="1:26">
      <c r="A70" s="2616" t="s">
        <v>2624</v>
      </c>
      <c r="B70" s="2684">
        <f t="shared" si="123"/>
        <v>108.5</v>
      </c>
      <c r="C70" s="2684">
        <f t="shared" si="123"/>
        <v>110.5</v>
      </c>
      <c r="D70" s="2684">
        <f t="shared" si="87"/>
        <v>110.5</v>
      </c>
      <c r="E70" s="2684">
        <f t="shared" si="124"/>
        <v>106.5</v>
      </c>
      <c r="F70" s="2684">
        <f t="shared" si="124"/>
        <v>103</v>
      </c>
      <c r="G70" s="3507">
        <v>2003</v>
      </c>
      <c r="H70" s="2620">
        <v>2</v>
      </c>
      <c r="I70" s="2682"/>
      <c r="J70" s="2682"/>
      <c r="K70" s="2682"/>
      <c r="L70" s="2682"/>
      <c r="X70" s="2674"/>
      <c r="Y70" s="2674"/>
      <c r="Z70" s="2674"/>
    </row>
    <row r="71" spans="1:26" ht="13.5" thickBot="1">
      <c r="A71" s="2616" t="s">
        <v>2625</v>
      </c>
      <c r="B71" s="2684">
        <f t="shared" si="123"/>
        <v>107.25</v>
      </c>
      <c r="C71" s="2684">
        <f t="shared" si="123"/>
        <v>108.75</v>
      </c>
      <c r="D71" s="2684">
        <f t="shared" si="87"/>
        <v>108.75</v>
      </c>
      <c r="E71" s="2684">
        <f t="shared" si="124"/>
        <v>105.75</v>
      </c>
      <c r="F71" s="2684">
        <f t="shared" si="124"/>
        <v>102.5</v>
      </c>
      <c r="G71" s="3510">
        <v>2003</v>
      </c>
      <c r="H71" s="2685">
        <v>1</v>
      </c>
      <c r="I71" s="2682"/>
      <c r="J71" s="2682"/>
      <c r="K71" s="2682"/>
      <c r="L71" s="2682"/>
      <c r="S71" s="2624"/>
      <c r="T71" s="2625"/>
      <c r="U71" s="2625"/>
      <c r="X71" s="2674"/>
      <c r="Y71" s="2674"/>
      <c r="Z71" s="2674"/>
    </row>
    <row r="72" spans="1:26" ht="13.5" thickBot="1">
      <c r="A72" s="2616" t="s">
        <v>2626</v>
      </c>
      <c r="B72" s="2686">
        <v>106</v>
      </c>
      <c r="C72" s="2686">
        <v>107</v>
      </c>
      <c r="D72" s="2686">
        <f t="shared" si="87"/>
        <v>107</v>
      </c>
      <c r="E72" s="2686">
        <v>105</v>
      </c>
      <c r="F72" s="2687">
        <v>102</v>
      </c>
      <c r="G72" s="3509">
        <v>2002</v>
      </c>
      <c r="H72" s="2635">
        <v>4</v>
      </c>
      <c r="I72" s="2682"/>
      <c r="J72" s="2682"/>
      <c r="K72" s="2682"/>
      <c r="L72" s="2682"/>
      <c r="N72" s="2683"/>
      <c r="O72" s="2682"/>
      <c r="P72" s="2682"/>
      <c r="Q72" s="2682"/>
      <c r="S72" s="2683"/>
      <c r="T72" s="2682"/>
      <c r="U72" s="2682"/>
      <c r="V72" s="2682"/>
      <c r="X72" s="2674"/>
      <c r="Y72" s="2674"/>
      <c r="Z72" s="2674"/>
    </row>
    <row r="73" spans="1:26">
      <c r="A73" s="2616" t="s">
        <v>2627</v>
      </c>
      <c r="B73" s="2684">
        <f t="shared" ref="B73:C75" si="125">B74+(B$72-B$76)/4</f>
        <v>105</v>
      </c>
      <c r="C73" s="2684">
        <f t="shared" si="125"/>
        <v>106</v>
      </c>
      <c r="D73" s="2684">
        <f t="shared" si="87"/>
        <v>106</v>
      </c>
      <c r="E73" s="2684">
        <f t="shared" ref="E73:F75" si="126">E74+(E$72-E$76)/4</f>
        <v>104.5</v>
      </c>
      <c r="F73" s="2684">
        <f t="shared" si="126"/>
        <v>101.5</v>
      </c>
      <c r="G73" s="3507">
        <v>2002</v>
      </c>
      <c r="H73" s="2640">
        <v>3</v>
      </c>
      <c r="I73" s="2682"/>
      <c r="J73" s="2682"/>
      <c r="K73" s="2682"/>
      <c r="L73" s="2682"/>
      <c r="X73" s="2674"/>
      <c r="Y73" s="2674"/>
      <c r="Z73" s="2674"/>
    </row>
    <row r="74" spans="1:26">
      <c r="A74" s="2616" t="s">
        <v>2628</v>
      </c>
      <c r="B74" s="2684">
        <f t="shared" si="125"/>
        <v>104</v>
      </c>
      <c r="C74" s="2684">
        <f t="shared" si="125"/>
        <v>105</v>
      </c>
      <c r="D74" s="2684">
        <f t="shared" si="87"/>
        <v>105</v>
      </c>
      <c r="E74" s="2684">
        <f t="shared" si="126"/>
        <v>104</v>
      </c>
      <c r="F74" s="2684">
        <f t="shared" si="126"/>
        <v>101</v>
      </c>
      <c r="G74" s="3507">
        <v>2002</v>
      </c>
      <c r="H74" s="2620">
        <v>2</v>
      </c>
      <c r="I74" s="2682"/>
      <c r="J74" s="2682"/>
      <c r="K74" s="2682"/>
      <c r="L74" s="2682"/>
      <c r="X74" s="2674"/>
      <c r="Y74" s="2674"/>
      <c r="Z74" s="2674"/>
    </row>
    <row r="75" spans="1:26" s="2651" customFormat="1" ht="13.5" thickBot="1">
      <c r="A75" s="2647" t="s">
        <v>2629</v>
      </c>
      <c r="B75" s="2688">
        <f t="shared" si="125"/>
        <v>103</v>
      </c>
      <c r="C75" s="2688">
        <f t="shared" si="125"/>
        <v>104</v>
      </c>
      <c r="D75" s="2688">
        <f t="shared" si="87"/>
        <v>104</v>
      </c>
      <c r="E75" s="2688">
        <f t="shared" si="126"/>
        <v>103.5</v>
      </c>
      <c r="F75" s="2688">
        <f t="shared" si="126"/>
        <v>100.5</v>
      </c>
      <c r="G75" s="3510">
        <v>2002</v>
      </c>
      <c r="H75" s="2689">
        <v>1</v>
      </c>
      <c r="I75" s="2690"/>
      <c r="J75" s="2690"/>
      <c r="K75" s="2690"/>
      <c r="L75" s="2690"/>
      <c r="N75" s="2691"/>
      <c r="S75" s="2691"/>
      <c r="X75" s="2692"/>
      <c r="Y75" s="2692"/>
      <c r="Z75" s="2692"/>
    </row>
    <row r="76" spans="1:26" ht="13.5"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2630</v>
      </c>
      <c r="G78" s="2698"/>
      <c r="N78" s="2698"/>
      <c r="S78" s="2698"/>
    </row>
    <row r="79" spans="1:26" s="2697" customFormat="1">
      <c r="A79" s="2697" t="s">
        <v>2631</v>
      </c>
      <c r="G79" s="2698"/>
      <c r="N79" s="2698"/>
      <c r="S79" s="2698"/>
    </row>
    <row r="80" spans="1:26" s="2697" customFormat="1">
      <c r="A80" s="2697" t="s">
        <v>2632</v>
      </c>
      <c r="G80" s="2698"/>
      <c r="I80" s="2699"/>
      <c r="J80" s="2699"/>
      <c r="K80" s="2699"/>
      <c r="L80" s="2699"/>
      <c r="N80" s="2700"/>
      <c r="O80" s="2699"/>
      <c r="P80" s="2699"/>
      <c r="Q80" s="2699"/>
      <c r="S80" s="2700"/>
      <c r="T80" s="2699"/>
      <c r="U80" s="2699"/>
      <c r="V80" s="2699"/>
    </row>
    <row r="81" spans="1:22" s="2697" customFormat="1">
      <c r="A81" s="2697" t="s">
        <v>2633</v>
      </c>
      <c r="G81" s="2698"/>
      <c r="N81" s="2698"/>
      <c r="S81" s="2698"/>
    </row>
    <row r="88" spans="1:22" ht="13.5" thickBot="1"/>
    <row r="89" spans="1:22">
      <c r="G89" s="2623"/>
      <c r="S89" s="2701" t="s">
        <v>2634</v>
      </c>
      <c r="T89" s="2702" t="s">
        <v>2635</v>
      </c>
      <c r="U89" s="2702" t="s">
        <v>2636</v>
      </c>
      <c r="V89" s="2702" t="s">
        <v>2637</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5"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2946</v>
      </c>
      <c r="B1" s="3054"/>
      <c r="C1" s="3054"/>
      <c r="D1" s="3054"/>
      <c r="E1" s="3054"/>
      <c r="F1" s="3054"/>
    </row>
    <row r="2" spans="1:6" ht="14.25">
      <c r="A2" s="3055" t="s">
        <v>2941</v>
      </c>
      <c r="B2" s="3056" t="e">
        <f ca="1">SUMIF(B7:B14,"&lt;&gt;#ref!",B7:B14)</f>
        <v>#DIV/0!</v>
      </c>
      <c r="C2" s="3055" t="s">
        <v>2942</v>
      </c>
      <c r="D2" s="3054"/>
      <c r="E2" s="3054"/>
      <c r="F2" s="3054"/>
    </row>
    <row r="3" spans="1:6" ht="14.25">
      <c r="A3" s="3055" t="s">
        <v>2974</v>
      </c>
      <c r="B3" s="3056" t="e">
        <f ca="1">ROUND(B2*10000/E3,0)</f>
        <v>#DIV/0!</v>
      </c>
      <c r="C3" s="3055" t="s">
        <v>2077</v>
      </c>
      <c r="D3" s="3055" t="s">
        <v>2943</v>
      </c>
      <c r="E3" s="3056">
        <f ca="1">SUMIF(E7:E14,"&lt;&gt;#ref!",E7:E14)</f>
        <v>0</v>
      </c>
      <c r="F3" s="3054"/>
    </row>
    <row r="4" spans="1:6" ht="14.25">
      <c r="A4" s="3055" t="s">
        <v>2950</v>
      </c>
      <c r="B4" s="3056" t="e">
        <f ca="1">ROUND(B2*10000/E4,0)</f>
        <v>#DIV/0!</v>
      </c>
      <c r="C4" s="3055" t="s">
        <v>2077</v>
      </c>
      <c r="D4" s="3055" t="s">
        <v>2951</v>
      </c>
      <c r="E4" s="3056">
        <f ca="1">SUMIF(F7:F14,"&lt;&gt;#ref!",F7:F14)</f>
        <v>0</v>
      </c>
      <c r="F4" s="3054"/>
    </row>
    <row r="5" spans="1:6" ht="14.25">
      <c r="A5" s="3057"/>
      <c r="B5" s="1863"/>
      <c r="C5" s="1863"/>
      <c r="D5" s="1863"/>
      <c r="E5" s="1863"/>
      <c r="F5" s="3054"/>
    </row>
    <row r="6" spans="1:6" ht="28.5">
      <c r="A6" s="3058" t="s">
        <v>2947</v>
      </c>
      <c r="B6" s="3055" t="s">
        <v>2944</v>
      </c>
      <c r="C6" s="3056"/>
      <c r="D6" s="1863"/>
      <c r="E6" s="3055" t="s">
        <v>2945</v>
      </c>
      <c r="F6" s="3055" t="s">
        <v>2949</v>
      </c>
    </row>
    <row r="7" spans="1:6" ht="14.25">
      <c r="A7" s="258" t="s">
        <v>2948</v>
      </c>
      <c r="B7" s="3059" t="e">
        <f ca="1">SUMIF(INDIRECT("'"&amp;A7&amp;"'"&amp;"!A:A"),"总价",INDIRECT("'"&amp;A7&amp;"'"&amp;"!B:B"))</f>
        <v>#DIV/0!</v>
      </c>
      <c r="C7" s="3055" t="s">
        <v>2942</v>
      </c>
      <c r="D7" s="1863"/>
      <c r="E7" s="3060">
        <f ca="1">SUMIF(INDIRECT("'"&amp;A7&amp;"'"&amp;"!C:C"),"建筑面积",INDIRECT("'"&amp;A7&amp;"'"&amp;"!D:D"))</f>
        <v>0</v>
      </c>
      <c r="F7" s="3060">
        <f ca="1">SUMIF(INDIRECT("'"&amp;A7&amp;"'"&amp;"!E:E"),"土地面积",INDIRECT("'"&amp;A7&amp;"'"&amp;"!F:F"))</f>
        <v>0</v>
      </c>
    </row>
    <row r="8" spans="1:6" ht="14.25">
      <c r="A8" s="258"/>
      <c r="B8" s="3059" t="e">
        <f t="shared" ref="B8:B14" ca="1" si="0">SUMIF(INDIRECT("'"&amp;A8&amp;"'"&amp;"!A:A"),"总价",INDIRECT("'"&amp;A8&amp;"'"&amp;"!B:B"))</f>
        <v>#REF!</v>
      </c>
      <c r="C8" s="3055" t="s">
        <v>2942</v>
      </c>
      <c r="D8" s="1863"/>
      <c r="E8" s="3060" t="e">
        <f t="shared" ref="E8:E14" ca="1" si="1">SUMIF(INDIRECT("'"&amp;A8&amp;"'"&amp;"!C:C"),"建筑面积",INDIRECT("'"&amp;A8&amp;"'"&amp;"!D:D"))</f>
        <v>#REF!</v>
      </c>
      <c r="F8" s="3060" t="e">
        <f t="shared" ref="F8:F14" ca="1" si="2">SUMIF(INDIRECT("'"&amp;A8&amp;"'"&amp;"!E:E"),"土地面积",INDIRECT("'"&amp;A8&amp;"'"&amp;"!F:F"))</f>
        <v>#REF!</v>
      </c>
    </row>
    <row r="9" spans="1:6" ht="14.25">
      <c r="A9" s="258"/>
      <c r="B9" s="3059" t="e">
        <f t="shared" ca="1" si="0"/>
        <v>#REF!</v>
      </c>
      <c r="C9" s="3055" t="s">
        <v>2942</v>
      </c>
      <c r="D9" s="1863"/>
      <c r="E9" s="3060" t="e">
        <f t="shared" ca="1" si="1"/>
        <v>#REF!</v>
      </c>
      <c r="F9" s="3060" t="e">
        <f t="shared" ca="1" si="2"/>
        <v>#REF!</v>
      </c>
    </row>
    <row r="10" spans="1:6" ht="14.25">
      <c r="A10" s="258"/>
      <c r="B10" s="3059" t="e">
        <f t="shared" ca="1" si="0"/>
        <v>#REF!</v>
      </c>
      <c r="C10" s="3055" t="s">
        <v>2942</v>
      </c>
      <c r="D10" s="1863"/>
      <c r="E10" s="3060" t="e">
        <f t="shared" ca="1" si="1"/>
        <v>#REF!</v>
      </c>
      <c r="F10" s="3060" t="e">
        <f t="shared" ca="1" si="2"/>
        <v>#REF!</v>
      </c>
    </row>
    <row r="11" spans="1:6" ht="14.25">
      <c r="A11" s="258"/>
      <c r="B11" s="3059" t="e">
        <f t="shared" ca="1" si="0"/>
        <v>#REF!</v>
      </c>
      <c r="C11" s="3055" t="s">
        <v>2942</v>
      </c>
      <c r="D11" s="1863"/>
      <c r="E11" s="3060" t="e">
        <f t="shared" ca="1" si="1"/>
        <v>#REF!</v>
      </c>
      <c r="F11" s="3060" t="e">
        <f t="shared" ca="1" si="2"/>
        <v>#REF!</v>
      </c>
    </row>
    <row r="12" spans="1:6" ht="14.25">
      <c r="A12" s="258"/>
      <c r="B12" s="3059" t="e">
        <f t="shared" ca="1" si="0"/>
        <v>#REF!</v>
      </c>
      <c r="C12" s="3055" t="s">
        <v>2942</v>
      </c>
      <c r="D12" s="1863"/>
      <c r="E12" s="3060" t="e">
        <f t="shared" ca="1" si="1"/>
        <v>#REF!</v>
      </c>
      <c r="F12" s="3060" t="e">
        <f t="shared" ca="1" si="2"/>
        <v>#REF!</v>
      </c>
    </row>
    <row r="13" spans="1:6" ht="14.25">
      <c r="A13" s="258"/>
      <c r="B13" s="3059" t="e">
        <f t="shared" ca="1" si="0"/>
        <v>#REF!</v>
      </c>
      <c r="C13" s="3055" t="s">
        <v>2942</v>
      </c>
      <c r="D13" s="1863"/>
      <c r="E13" s="3060" t="e">
        <f t="shared" ca="1" si="1"/>
        <v>#REF!</v>
      </c>
      <c r="F13" s="3060" t="e">
        <f t="shared" ca="1" si="2"/>
        <v>#REF!</v>
      </c>
    </row>
    <row r="14" spans="1:6" ht="14.25">
      <c r="A14" s="3053"/>
      <c r="B14" s="3059" t="e">
        <f t="shared" ca="1" si="0"/>
        <v>#REF!</v>
      </c>
      <c r="C14" s="3055" t="s">
        <v>2942</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2373</v>
      </c>
      <c r="F1" s="2349">
        <f ca="1">J54</f>
        <v>-3</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2457</v>
      </c>
      <c r="C7" s="53">
        <f ca="1">C8+C12+C14</f>
        <v>0</v>
      </c>
      <c r="D7" s="2457" t="s">
        <v>2460</v>
      </c>
      <c r="E7" s="2451"/>
      <c r="F7" s="2452"/>
      <c r="G7" s="1575"/>
      <c r="H7" s="779">
        <v>1</v>
      </c>
      <c r="I7" s="780" t="s">
        <v>2457</v>
      </c>
      <c r="J7" s="53">
        <f ca="1">J8+J12+J14</f>
        <v>0</v>
      </c>
      <c r="K7" s="2457" t="s">
        <v>2460</v>
      </c>
      <c r="L7" s="2451"/>
      <c r="M7" s="2452"/>
    </row>
    <row r="8" spans="1:25" ht="18" customHeight="1">
      <c r="A8" s="1812" t="s">
        <v>1823</v>
      </c>
      <c r="B8" s="3518" t="s">
        <v>2462</v>
      </c>
      <c r="C8" s="1807">
        <f ca="1">ROUND(F8*F10*F9*(1-F11)/10000,0)</f>
        <v>0</v>
      </c>
      <c r="D8" s="1804" t="s">
        <v>2533</v>
      </c>
      <c r="E8" s="61" t="s">
        <v>637</v>
      </c>
      <c r="F8" s="783">
        <f ca="1">INDIRECT("'数据-取费表'!u"&amp;$G$1)</f>
        <v>0</v>
      </c>
      <c r="G8" s="1575"/>
      <c r="H8" s="2465" t="s">
        <v>1823</v>
      </c>
      <c r="I8" s="3518" t="s">
        <v>2462</v>
      </c>
      <c r="J8" s="781">
        <f ca="1">ROUND(M8*M10*M9*(1-M11)/10000,0)</f>
        <v>0</v>
      </c>
      <c r="K8" s="339" t="s">
        <v>2533</v>
      </c>
      <c r="L8" s="782" t="s">
        <v>1737</v>
      </c>
      <c r="M8" s="783">
        <f ca="1">INDIRECT("'数据-取费表'!z"&amp;$G$1)</f>
        <v>0</v>
      </c>
    </row>
    <row r="9" spans="1:25" ht="18" customHeight="1">
      <c r="A9" s="2461"/>
      <c r="B9" s="3519"/>
      <c r="C9" s="1808"/>
      <c r="D9" s="1805"/>
      <c r="E9" s="61" t="s">
        <v>638</v>
      </c>
      <c r="F9" s="783">
        <f ca="1">IF(INDIRECT("'数据-取费表'!ah"&amp;$G$1)="",INDIRECT("'数据-取费表'!k"&amp;$G$1),INDIRECT("'数据-取费表'!ah"&amp;$G$1))</f>
        <v>0</v>
      </c>
      <c r="G9" s="1575"/>
      <c r="H9" s="2450"/>
      <c r="I9" s="3519"/>
      <c r="J9" s="786"/>
      <c r="K9" s="787"/>
      <c r="L9" s="782" t="s">
        <v>1738</v>
      </c>
      <c r="M9" s="783">
        <f ca="1">F9</f>
        <v>0</v>
      </c>
    </row>
    <row r="10" spans="1:25" ht="18" customHeight="1">
      <c r="A10" s="2454"/>
      <c r="B10" s="3520"/>
      <c r="C10" s="1808"/>
      <c r="D10" s="1805"/>
      <c r="E10" s="61" t="s">
        <v>639</v>
      </c>
      <c r="F10" s="783">
        <f ca="1">INDIRECT("'数据-取费表'!ai"&amp;$G$1)</f>
        <v>0</v>
      </c>
      <c r="G10" s="1575"/>
      <c r="H10" s="2450"/>
      <c r="I10" s="3520"/>
      <c r="J10" s="786"/>
      <c r="K10" s="787"/>
      <c r="L10" s="782" t="s">
        <v>1739</v>
      </c>
      <c r="M10" s="783">
        <f ca="1">INDIRECT("'数据-取费表'!ai"&amp;$G$1)</f>
        <v>0</v>
      </c>
    </row>
    <row r="11" spans="1:25" ht="18" customHeight="1">
      <c r="A11" s="784"/>
      <c r="B11" s="3521"/>
      <c r="C11" s="1808"/>
      <c r="D11" s="1805"/>
      <c r="E11" s="61" t="s">
        <v>640</v>
      </c>
      <c r="F11" s="792">
        <f ca="1">INDIRECT("'数据-取费表'!w"&amp;$G$1)</f>
        <v>0</v>
      </c>
      <c r="G11" s="1575"/>
      <c r="H11" s="2466"/>
      <c r="I11" s="3520"/>
      <c r="J11" s="786"/>
      <c r="K11" s="787"/>
      <c r="L11" s="793" t="s">
        <v>1740</v>
      </c>
      <c r="M11" s="794">
        <f ca="1">INDIRECT("'数据-取费表'!ab"&amp;$G$1)</f>
        <v>0</v>
      </c>
    </row>
    <row r="12" spans="1:25" ht="18" customHeight="1">
      <c r="A12" s="1812" t="s">
        <v>1824</v>
      </c>
      <c r="B12" s="2455" t="s">
        <v>2458</v>
      </c>
      <c r="C12" s="797">
        <f ca="1">ROUND(IF(F12="押一",C8/12*F13,IF(F12="押二",C8/12*2*F13,IF(F12="押三",C8/12*3*F13,C13*F13))),0)</f>
        <v>0</v>
      </c>
      <c r="D12" s="2462" t="s">
        <v>2971</v>
      </c>
      <c r="E12" s="2459" t="s">
        <v>2463</v>
      </c>
      <c r="F12" s="2582"/>
      <c r="G12" s="1575"/>
      <c r="H12" s="2522" t="s">
        <v>1824</v>
      </c>
      <c r="I12" s="2527" t="s">
        <v>2458</v>
      </c>
      <c r="J12" s="781">
        <f ca="1">ROUND(IF(M12="押一",J8/12*M13,IF(M12="押二",J8/12*2*M13,IF(M12="押三",J8/12*3*M13,J13*M13))),0)</f>
        <v>0</v>
      </c>
      <c r="K12" s="2462" t="s">
        <v>2971</v>
      </c>
      <c r="L12" s="2459" t="s">
        <v>2463</v>
      </c>
      <c r="M12" s="2582"/>
    </row>
    <row r="13" spans="1:25" ht="18" customHeight="1">
      <c r="A13" s="788"/>
      <c r="B13" s="2456" t="s">
        <v>2572</v>
      </c>
      <c r="C13" s="2460"/>
      <c r="D13" s="787"/>
      <c r="E13" s="2459" t="s">
        <v>2455</v>
      </c>
      <c r="F13" s="794">
        <f ca="1">'数据-取费表'!B39</f>
        <v>1.4999999999999999E-2</v>
      </c>
      <c r="G13" s="1575"/>
      <c r="H13" s="2523"/>
      <c r="I13" s="2456" t="s">
        <v>2572</v>
      </c>
      <c r="J13" s="2460"/>
      <c r="K13" s="2524"/>
      <c r="L13" s="2459" t="s">
        <v>2455</v>
      </c>
      <c r="M13" s="2453">
        <f ca="1">'数据-取费表'!B39</f>
        <v>1.4999999999999999E-2</v>
      </c>
    </row>
    <row r="14" spans="1:25" ht="18" customHeight="1" thickBot="1">
      <c r="A14" s="2498" t="s">
        <v>2466</v>
      </c>
      <c r="B14" s="2499" t="s">
        <v>2459</v>
      </c>
      <c r="C14" s="2500"/>
      <c r="D14" s="2501"/>
      <c r="E14" s="2502"/>
      <c r="F14" s="2503"/>
      <c r="G14" s="1575"/>
      <c r="H14" s="2512" t="s">
        <v>2466</v>
      </c>
      <c r="I14" s="2525" t="s">
        <v>2459</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2068</v>
      </c>
      <c r="I16" s="2213" t="s">
        <v>2824</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2069</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2068</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0.02</v>
      </c>
      <c r="G22" s="1576"/>
      <c r="H22" s="1814" t="s">
        <v>1849</v>
      </c>
      <c r="I22" s="1804" t="s">
        <v>668</v>
      </c>
      <c r="J22" s="54">
        <f ca="1">ROUND(M22*M23/10000,0)</f>
        <v>0</v>
      </c>
      <c r="K22" s="812" t="s">
        <v>669</v>
      </c>
      <c r="L22" s="782" t="s">
        <v>670</v>
      </c>
      <c r="M22" s="638">
        <f>'数据-取费表'!B52</f>
        <v>6</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2.5000000000000001E-2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2069</v>
      </c>
      <c r="I24" s="782" t="s">
        <v>676</v>
      </c>
      <c r="J24" s="53">
        <f ca="1">ROUND(J16*M24,0)</f>
        <v>0</v>
      </c>
      <c r="K24" s="1959" t="s">
        <v>677</v>
      </c>
      <c r="L24" s="782" t="s">
        <v>649</v>
      </c>
      <c r="M24" s="815">
        <f ca="1">INDIRECT("'数据-取费表'!Ak"&amp;$G$1)</f>
        <v>0</v>
      </c>
    </row>
    <row r="25" spans="1:25" s="2046" customFormat="1" ht="18" customHeight="1">
      <c r="A25" s="801" t="s">
        <v>1874</v>
      </c>
      <c r="B25" s="782" t="s">
        <v>2436</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2821</v>
      </c>
      <c r="J27" s="797">
        <f ca="1">J7-J18</f>
        <v>0</v>
      </c>
      <c r="K27" s="1961" t="s">
        <v>700</v>
      </c>
      <c r="L27" s="1963"/>
      <c r="M27" s="818"/>
    </row>
    <row r="28" spans="1:25" ht="18" customHeight="1">
      <c r="A28" s="801" t="s">
        <v>1874</v>
      </c>
      <c r="B28" s="782" t="s">
        <v>2437</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2822</v>
      </c>
      <c r="C31" s="2505">
        <f ca="1">ROUND((C21+C22+C25+C28)/(1-F23-C26-C29-C30),0)</f>
        <v>0</v>
      </c>
      <c r="D31" s="2506"/>
      <c r="E31" s="2507"/>
      <c r="F31" s="2508"/>
      <c r="G31" s="1576"/>
      <c r="H31" s="821" t="s">
        <v>1871</v>
      </c>
      <c r="I31" s="2961" t="s">
        <v>2823</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6</v>
      </c>
      <c r="G36" s="2044"/>
      <c r="H36" s="2047"/>
      <c r="I36" s="3517"/>
      <c r="J36" s="2061"/>
      <c r="K36" s="2062"/>
      <c r="L36" s="2061"/>
      <c r="M36" s="2061"/>
    </row>
    <row r="37" spans="1:18" ht="18" customHeight="1">
      <c r="A37" s="813"/>
      <c r="B37" s="791"/>
      <c r="C37" s="69"/>
      <c r="D37" s="814"/>
      <c r="E37" s="782" t="s">
        <v>674</v>
      </c>
      <c r="F37" s="783">
        <f ca="1">INDIRECT("'数据-取费表'!r"&amp;$G$1)</f>
        <v>0</v>
      </c>
      <c r="G37" s="2044"/>
      <c r="H37" s="2047"/>
      <c r="I37" s="3517"/>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49" t="s">
        <v>712</v>
      </c>
      <c r="E43" s="3071" t="s">
        <v>2959</v>
      </c>
      <c r="F43" s="3072">
        <f ca="1">INDIRECT("'数据-取费表'!j"&amp;$G$1)</f>
        <v>0</v>
      </c>
      <c r="G43" s="2044"/>
      <c r="H43" s="2044"/>
      <c r="I43" s="2044"/>
      <c r="J43" s="2044"/>
      <c r="K43" s="2065"/>
      <c r="L43" s="2044"/>
      <c r="M43" s="2044"/>
    </row>
    <row r="44" spans="1:18" ht="18" customHeight="1">
      <c r="A44" s="801" t="s">
        <v>1877</v>
      </c>
      <c r="B44" s="833" t="s">
        <v>713</v>
      </c>
      <c r="C44" s="1350">
        <f ca="1">C42-C43</f>
        <v>0</v>
      </c>
      <c r="D44" s="461" t="s">
        <v>714</v>
      </c>
      <c r="E44" s="462"/>
      <c r="F44" s="463"/>
      <c r="G44" s="2044"/>
      <c r="H44" s="2044"/>
      <c r="I44" s="2044"/>
      <c r="J44" s="2044"/>
      <c r="K44" s="2065"/>
      <c r="L44" s="2044"/>
      <c r="M44" s="2044"/>
    </row>
    <row r="45" spans="1:18" ht="18" customHeight="1">
      <c r="A45" s="801" t="s">
        <v>1878</v>
      </c>
      <c r="B45" s="1349" t="s">
        <v>715</v>
      </c>
      <c r="C45" s="2987">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73" t="s">
        <v>2962</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2342</v>
      </c>
      <c r="J47" s="2340"/>
      <c r="K47" s="2341"/>
      <c r="L47" s="3105" t="str">
        <f ca="1">IF(M48="住宅",0,IF(L49&gt;J52,L61,J61))</f>
        <v>0</v>
      </c>
      <c r="O47" s="2355" t="s">
        <v>2409</v>
      </c>
      <c r="P47" s="1575"/>
      <c r="Q47" s="1586"/>
      <c r="R47" s="1575"/>
    </row>
    <row r="48" spans="1:18" s="2041" customFormat="1" ht="18" customHeight="1" thickBot="1">
      <c r="A48" s="2066"/>
      <c r="C48" s="2069"/>
      <c r="D48" s="2070"/>
      <c r="E48" s="2070"/>
      <c r="F48" s="2071"/>
      <c r="G48" s="2072"/>
      <c r="I48" s="3096" t="s">
        <v>2343</v>
      </c>
      <c r="J48" s="2342"/>
      <c r="K48" s="3102" t="s">
        <v>2348</v>
      </c>
      <c r="L48" s="3106">
        <f ca="1">INDIRECT("'数据-取费表'!d"&amp;$G$1)</f>
        <v>0</v>
      </c>
      <c r="M48" s="3070" t="str">
        <f>IF(ISNUMBER(FIND("住宅",C1)),"住宅","非住宅")</f>
        <v>非住宅</v>
      </c>
      <c r="O48" s="2356" t="s">
        <v>2374</v>
      </c>
      <c r="P48" s="2357" t="s">
        <v>2375</v>
      </c>
      <c r="Q48" s="2358" t="s">
        <v>2376</v>
      </c>
      <c r="R48" s="2357" t="s">
        <v>2377</v>
      </c>
    </row>
    <row r="49" spans="1:18" s="2041" customFormat="1" ht="18" customHeight="1" thickBot="1">
      <c r="A49" s="2066"/>
      <c r="D49" s="2073"/>
      <c r="E49" s="2074"/>
      <c r="F49" s="2071"/>
      <c r="G49" s="2072"/>
      <c r="H49" s="2075"/>
      <c r="I49" s="3075" t="s">
        <v>2344</v>
      </c>
      <c r="J49" s="2343"/>
      <c r="K49" s="3103" t="s">
        <v>2350</v>
      </c>
      <c r="L49" s="1890">
        <f ca="1">INDIRECT("'数据-取费表'!f"&amp;$G$1)</f>
        <v>0</v>
      </c>
      <c r="O49" s="2359" t="s">
        <v>2378</v>
      </c>
      <c r="P49" s="2360" t="s">
        <v>2404</v>
      </c>
      <c r="Q49" s="2361">
        <f ca="1">C41+J31</f>
        <v>0</v>
      </c>
      <c r="R49" s="2360" t="s">
        <v>2379</v>
      </c>
    </row>
    <row r="50" spans="1:18" s="2041" customFormat="1" ht="18" customHeight="1" thickBot="1">
      <c r="A50" s="2066"/>
      <c r="D50" s="2076"/>
      <c r="E50" s="2076"/>
      <c r="F50" s="2070"/>
      <c r="G50" s="2077"/>
      <c r="H50" s="2075"/>
      <c r="I50" s="3075" t="s">
        <v>2345</v>
      </c>
      <c r="J50" s="2344"/>
      <c r="K50" s="3104" t="s">
        <v>2351</v>
      </c>
      <c r="L50" s="2345"/>
      <c r="O50" s="2359" t="s">
        <v>2380</v>
      </c>
      <c r="P50" s="2360" t="s">
        <v>2405</v>
      </c>
      <c r="Q50" s="2361" t="str">
        <f ca="1">J61</f>
        <v>0</v>
      </c>
      <c r="R50" s="2360" t="s">
        <v>2381</v>
      </c>
    </row>
    <row r="51" spans="1:18" s="2041" customFormat="1" ht="18" customHeight="1" thickBot="1">
      <c r="A51" s="2078"/>
      <c r="D51" s="2076"/>
      <c r="E51" s="2076"/>
      <c r="F51" s="2067"/>
      <c r="H51" s="2075"/>
      <c r="I51" s="3075" t="s">
        <v>2346</v>
      </c>
      <c r="J51" s="3100">
        <f>SUMPRODUCT((I64:I66=J48)*(J63:L63=J49)*(J64:L66))</f>
        <v>0</v>
      </c>
      <c r="K51" s="3104" t="s">
        <v>2352</v>
      </c>
      <c r="L51" s="2345"/>
      <c r="O51" s="2362" t="s">
        <v>2382</v>
      </c>
      <c r="P51" s="2360" t="s">
        <v>2406</v>
      </c>
      <c r="Q51" s="2361">
        <f ca="1">C31</f>
        <v>0</v>
      </c>
      <c r="R51" s="2360" t="s">
        <v>2379</v>
      </c>
    </row>
    <row r="52" spans="1:18" s="2041" customFormat="1" ht="18" customHeight="1" thickBot="1">
      <c r="A52" s="2078"/>
      <c r="F52" s="2067"/>
      <c r="I52" s="3097" t="s">
        <v>2347</v>
      </c>
      <c r="J52" s="3101">
        <f>IF(J50="",J51,J50+J51-YEAR('数据-取费表'!B3))</f>
        <v>0</v>
      </c>
      <c r="K52" s="3075" t="s">
        <v>2353</v>
      </c>
      <c r="L52" s="3107">
        <f ca="1">ROUND(-PV(INDIRECT("'数据-取费表'!h"&amp;$G$1),L49,(C40-C14*J36),0),0)</f>
        <v>0</v>
      </c>
      <c r="O52" s="2362" t="s">
        <v>2383</v>
      </c>
      <c r="P52" s="2360" t="s">
        <v>2384</v>
      </c>
      <c r="Q52" s="2363" t="e">
        <f ca="1">J59</f>
        <v>#VALUE!</v>
      </c>
      <c r="R52" s="2364"/>
    </row>
    <row r="53" spans="1:18" s="2041" customFormat="1" ht="18" customHeight="1" thickBot="1">
      <c r="A53" s="2078"/>
      <c r="F53" s="2067"/>
      <c r="I53" s="3098" t="s">
        <v>2420</v>
      </c>
      <c r="J53" s="2346"/>
      <c r="K53" s="3098" t="s">
        <v>2419</v>
      </c>
      <c r="L53" s="2346"/>
      <c r="O53" s="2362" t="s">
        <v>2385</v>
      </c>
      <c r="P53" s="2360" t="s">
        <v>2386</v>
      </c>
      <c r="Q53" s="2363">
        <f>J53</f>
        <v>0</v>
      </c>
      <c r="R53" s="2364"/>
    </row>
    <row r="54" spans="1:18" s="2041" customFormat="1" ht="29.25" thickBot="1">
      <c r="A54" s="2078"/>
      <c r="I54" s="3099" t="s">
        <v>2975</v>
      </c>
      <c r="J54" s="3178">
        <f ca="1">IF(M48="住宅",MAX(J52,L49-'数据-取费表'!B20),MIN(J52,L49-'数据-取费表'!B20))</f>
        <v>-3</v>
      </c>
      <c r="K54" s="3522"/>
      <c r="L54" s="3523"/>
      <c r="O54" s="2362" t="s">
        <v>2387</v>
      </c>
      <c r="P54" s="2360" t="s">
        <v>2388</v>
      </c>
      <c r="Q54" s="2361">
        <f ca="1">J54</f>
        <v>-3</v>
      </c>
      <c r="R54" s="2360" t="s">
        <v>2389</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2390</v>
      </c>
      <c r="P55" s="2360" t="s">
        <v>2407</v>
      </c>
      <c r="Q55" s="2361">
        <f ca="1">Q49+Q50</f>
        <v>0</v>
      </c>
      <c r="R55" s="2364" t="s">
        <v>2391</v>
      </c>
    </row>
    <row r="56" spans="1:18" s="2041" customFormat="1" ht="16.5" thickBot="1">
      <c r="A56" s="2078"/>
      <c r="B56" s="2079"/>
      <c r="C56" s="2079"/>
      <c r="I56" s="3110" t="s">
        <v>2354</v>
      </c>
      <c r="J56" s="3050" t="e">
        <f ca="1">ROUND(IF(J48="钢混",J58/J51,1-(1-2%)*(J51-J58)/J51),3)</f>
        <v>#VALUE!</v>
      </c>
      <c r="K56" s="3111" t="s">
        <v>2355</v>
      </c>
      <c r="L56" s="2347"/>
      <c r="O56" s="2365" t="s">
        <v>2410</v>
      </c>
      <c r="P56" s="1575"/>
      <c r="Q56" s="1586"/>
      <c r="R56" s="1575"/>
    </row>
    <row r="57" spans="1:18" s="2041" customFormat="1" ht="43.5" thickBot="1">
      <c r="A57" s="2078"/>
      <c r="B57" s="2079"/>
      <c r="C57" s="2079"/>
      <c r="I57" s="3112" t="s">
        <v>2356</v>
      </c>
      <c r="J57" s="3122" t="s">
        <v>1677</v>
      </c>
      <c r="K57" s="3075" t="s">
        <v>2361</v>
      </c>
      <c r="L57" s="1890">
        <f ca="1">IF(L49&lt;J52,"——",L49-J52)</f>
        <v>0</v>
      </c>
      <c r="O57" s="2356" t="s">
        <v>2374</v>
      </c>
      <c r="P57" s="2357" t="s">
        <v>2375</v>
      </c>
      <c r="Q57" s="2358" t="s">
        <v>2376</v>
      </c>
      <c r="R57" s="2357" t="s">
        <v>2377</v>
      </c>
    </row>
    <row r="58" spans="1:18" s="2041" customFormat="1" ht="29.25" thickBot="1">
      <c r="A58" s="2078"/>
      <c r="B58" s="2079"/>
      <c r="C58" s="2079"/>
      <c r="I58" s="3113" t="s">
        <v>2357</v>
      </c>
      <c r="J58" s="3114" t="str">
        <f ca="1">IF(OR(M48="住宅",J52&lt;L49,J57="是"),"——",J52-L49)</f>
        <v>——</v>
      </c>
      <c r="K58" s="3075" t="s">
        <v>2362</v>
      </c>
      <c r="L58" s="1890">
        <f ca="1">IF(L49&lt;J52,"——",IF(L56="比较法",L50,IF(L56="基准地价",L51,L52)))</f>
        <v>0</v>
      </c>
      <c r="O58" s="2359" t="s">
        <v>2378</v>
      </c>
      <c r="P58" s="2360" t="s">
        <v>2404</v>
      </c>
      <c r="Q58" s="2361">
        <f ca="1">C41+J31</f>
        <v>0</v>
      </c>
      <c r="R58" s="2360" t="s">
        <v>2379</v>
      </c>
    </row>
    <row r="59" spans="1:18" s="2041" customFormat="1" ht="29.25" thickBot="1">
      <c r="A59" s="2078"/>
      <c r="B59" s="2079"/>
      <c r="C59" s="2079"/>
      <c r="I59" s="3113" t="s">
        <v>2358</v>
      </c>
      <c r="J59" s="3051" t="e">
        <f ca="1">IF(J56&lt;0.4,0.4,J56)</f>
        <v>#VALUE!</v>
      </c>
      <c r="K59" s="3075" t="s">
        <v>2363</v>
      </c>
      <c r="L59" s="1890">
        <f ca="1">IF(ISERROR(POWER(1+L53,L48-L49)*(POWER(1+L53,L49)-1)/(POWER(1+L53,L48)-1)),0,POWER(1+L53,L48-L49)*(POWER(1+L53,L49)-1)/(POWER(1+L53,L48)-1))</f>
        <v>0</v>
      </c>
      <c r="O59" s="2359" t="s">
        <v>2380</v>
      </c>
      <c r="P59" s="2360" t="s">
        <v>2411</v>
      </c>
      <c r="Q59" s="2361" t="e">
        <f ca="1">L61</f>
        <v>#DIV/0!</v>
      </c>
      <c r="R59" s="2364" t="s">
        <v>2413</v>
      </c>
    </row>
    <row r="60" spans="1:18" s="2041" customFormat="1" ht="29.25" thickBot="1">
      <c r="A60" s="2078"/>
      <c r="B60" s="2079"/>
      <c r="C60" s="2079"/>
      <c r="I60" s="3113" t="s">
        <v>2359</v>
      </c>
      <c r="J60" s="3114" t="str">
        <f ca="1">IF(OR(M48="住宅",J52&lt;L49,J57="是"),"——",ROUND(C30*J59,0))</f>
        <v>——</v>
      </c>
      <c r="K60" s="3075" t="s">
        <v>2364</v>
      </c>
      <c r="L60" s="1890">
        <f ca="1">IF(ISERROR(POWER(1+L53,L48-J52)*(POWER(1+L53,J52)-1)/(POWER(1+L53,L48)-1)),0,POWER(1+L53,L48-J52)*(POWER(1+L53,J52)-1)/(POWER(1+L53,L48)-1))</f>
        <v>0</v>
      </c>
      <c r="O60" s="2362" t="s">
        <v>2382</v>
      </c>
      <c r="P60" s="2360" t="s">
        <v>2412</v>
      </c>
      <c r="Q60" s="2361">
        <f>IF(L56="比较法",L50,IF(L56="基准地价",L51,0))</f>
        <v>0</v>
      </c>
      <c r="R60" s="2360" t="s">
        <v>2379</v>
      </c>
    </row>
    <row r="61" spans="1:18" s="2041" customFormat="1" ht="15.75" thickBot="1">
      <c r="A61" s="2078"/>
      <c r="B61" s="2079"/>
      <c r="C61" s="2079"/>
      <c r="I61" s="3115" t="s">
        <v>2360</v>
      </c>
      <c r="J61" s="3116" t="str">
        <f ca="1">IF(OR(M48="住宅",J52&lt;L49,J57="是"),"0",ROUND(J60/(1+J53)^J54,0))</f>
        <v>0</v>
      </c>
      <c r="K61" s="3117" t="s">
        <v>2365</v>
      </c>
      <c r="L61" s="3116" t="e">
        <f ca="1">IF(OR(M48="住宅",L49&lt;J52),0,ROUND(L58*(L59/L60-1),0))</f>
        <v>#DIV/0!</v>
      </c>
      <c r="O61" s="2362" t="s">
        <v>2383</v>
      </c>
      <c r="P61" s="2360" t="s">
        <v>2392</v>
      </c>
      <c r="Q61" s="2363">
        <f>L53</f>
        <v>0</v>
      </c>
      <c r="R61" s="2364"/>
    </row>
    <row r="62" spans="1:18" s="2041" customFormat="1" ht="20.25" thickBot="1">
      <c r="A62" s="2078"/>
      <c r="B62" s="2079"/>
      <c r="C62" s="2079"/>
      <c r="K62" s="2068"/>
      <c r="O62" s="2362" t="s">
        <v>2385</v>
      </c>
      <c r="P62" s="2360" t="s">
        <v>2393</v>
      </c>
      <c r="Q62" s="2361">
        <f ca="1">L59</f>
        <v>0</v>
      </c>
      <c r="R62" s="2364" t="s">
        <v>2394</v>
      </c>
    </row>
    <row r="63" spans="1:18" s="2041" customFormat="1" ht="20.25" thickBot="1">
      <c r="A63" s="2078"/>
      <c r="B63" s="2079"/>
      <c r="C63" s="2079"/>
      <c r="I63" s="3118" t="s">
        <v>2366</v>
      </c>
      <c r="J63" s="3119" t="s">
        <v>2367</v>
      </c>
      <c r="K63" s="3119" t="s">
        <v>2368</v>
      </c>
      <c r="L63" s="3119" t="s">
        <v>2349</v>
      </c>
      <c r="M63" s="3120" t="s">
        <v>2940</v>
      </c>
      <c r="O63" s="2362" t="s">
        <v>2387</v>
      </c>
      <c r="P63" s="2360" t="s">
        <v>2395</v>
      </c>
      <c r="Q63" s="2361">
        <f ca="1">L60</f>
        <v>0</v>
      </c>
      <c r="R63" s="2364" t="s">
        <v>2396</v>
      </c>
    </row>
    <row r="64" spans="1:18" s="2041" customFormat="1" ht="15.75" thickBot="1">
      <c r="A64" s="2078"/>
      <c r="B64" s="2079"/>
      <c r="C64" s="2079"/>
      <c r="I64" s="3118" t="s">
        <v>2369</v>
      </c>
      <c r="J64" s="3119">
        <v>70</v>
      </c>
      <c r="K64" s="3119">
        <v>50</v>
      </c>
      <c r="L64" s="3119">
        <v>80</v>
      </c>
      <c r="M64" s="3121">
        <v>0.02</v>
      </c>
      <c r="O64" s="2359" t="s">
        <v>2390</v>
      </c>
      <c r="P64" s="2360" t="s">
        <v>2407</v>
      </c>
      <c r="Q64" s="2361" t="e">
        <f ca="1">Q58+Q59</f>
        <v>#DIV/0!</v>
      </c>
      <c r="R64" s="2364" t="s">
        <v>2391</v>
      </c>
    </row>
    <row r="65" spans="1:18" s="2041" customFormat="1" ht="16.5" thickBot="1">
      <c r="A65" s="2078"/>
      <c r="B65" s="2079"/>
      <c r="C65" s="2079"/>
      <c r="I65" s="3118" t="s">
        <v>2370</v>
      </c>
      <c r="J65" s="3119">
        <v>50</v>
      </c>
      <c r="K65" s="3119">
        <v>35</v>
      </c>
      <c r="L65" s="3119">
        <v>60</v>
      </c>
      <c r="M65" s="844">
        <v>0</v>
      </c>
      <c r="O65" s="2365" t="s">
        <v>2414</v>
      </c>
      <c r="P65" s="1575"/>
      <c r="Q65" s="1586"/>
      <c r="R65" s="1575"/>
    </row>
    <row r="66" spans="1:18" s="2041" customFormat="1" ht="15.75" thickBot="1">
      <c r="A66" s="2078"/>
      <c r="B66" s="2079"/>
      <c r="C66" s="2079"/>
      <c r="I66" s="3118" t="s">
        <v>2371</v>
      </c>
      <c r="J66" s="3119">
        <v>40</v>
      </c>
      <c r="K66" s="3119">
        <v>30</v>
      </c>
      <c r="L66" s="3119">
        <v>50</v>
      </c>
      <c r="M66" s="3121">
        <v>0.02</v>
      </c>
      <c r="O66" s="2356" t="s">
        <v>2374</v>
      </c>
      <c r="P66" s="2357" t="s">
        <v>2375</v>
      </c>
      <c r="Q66" s="2358" t="s">
        <v>2376</v>
      </c>
      <c r="R66" s="2357" t="s">
        <v>2377</v>
      </c>
    </row>
    <row r="67" spans="1:18" s="2041" customFormat="1" ht="15.75" thickBot="1">
      <c r="A67" s="2078"/>
      <c r="B67" s="2079"/>
      <c r="C67" s="2079"/>
      <c r="K67" s="2068"/>
      <c r="O67" s="2359" t="s">
        <v>2378</v>
      </c>
      <c r="P67" s="2360" t="s">
        <v>2404</v>
      </c>
      <c r="Q67" s="2361">
        <f ca="1">C41+J31</f>
        <v>0</v>
      </c>
      <c r="R67" s="2360" t="s">
        <v>2379</v>
      </c>
    </row>
    <row r="68" spans="1:18" s="2041" customFormat="1" ht="20.25" thickBot="1">
      <c r="A68" s="2078"/>
      <c r="B68" s="2079"/>
      <c r="C68" s="2079"/>
      <c r="K68" s="2068"/>
      <c r="O68" s="2359" t="s">
        <v>2380</v>
      </c>
      <c r="P68" s="2360" t="s">
        <v>2411</v>
      </c>
      <c r="Q68" s="2361" t="e">
        <f ca="1">L61</f>
        <v>#DIV/0!</v>
      </c>
      <c r="R68" s="2364" t="s">
        <v>2413</v>
      </c>
    </row>
    <row r="69" spans="1:18" s="2041" customFormat="1" ht="21.75" thickBot="1">
      <c r="A69" s="2078"/>
      <c r="B69" s="2079"/>
      <c r="C69" s="2079"/>
      <c r="K69" s="2068"/>
      <c r="O69" s="2362" t="s">
        <v>2382</v>
      </c>
      <c r="P69" s="2360" t="s">
        <v>2412</v>
      </c>
      <c r="Q69" s="2366">
        <f ca="1">L52</f>
        <v>0</v>
      </c>
      <c r="R69" s="2367" t="s">
        <v>2415</v>
      </c>
    </row>
    <row r="70" spans="1:18" s="2041" customFormat="1" ht="20.25" thickBot="1">
      <c r="A70" s="2078"/>
      <c r="B70" s="2079"/>
      <c r="C70" s="2079"/>
      <c r="K70" s="2068"/>
      <c r="O70" s="2362" t="s">
        <v>2383</v>
      </c>
      <c r="P70" s="2368" t="s">
        <v>2397</v>
      </c>
      <c r="Q70" s="2361">
        <f ca="1">ROUND(Q71-Q72*Q73,0)</f>
        <v>0</v>
      </c>
      <c r="R70" s="2364"/>
    </row>
    <row r="71" spans="1:18" s="2041" customFormat="1" ht="15.75" thickBot="1">
      <c r="A71" s="2078"/>
      <c r="B71" s="2079"/>
      <c r="C71" s="2079"/>
      <c r="K71" s="2068"/>
      <c r="O71" s="2362" t="s">
        <v>2398</v>
      </c>
      <c r="P71" s="2368" t="s">
        <v>2399</v>
      </c>
      <c r="Q71" s="2361">
        <f ca="1">C42</f>
        <v>0</v>
      </c>
      <c r="R71" s="2360" t="s">
        <v>2379</v>
      </c>
    </row>
    <row r="72" spans="1:18" s="2041" customFormat="1" ht="15.75" thickBot="1">
      <c r="A72" s="2078"/>
      <c r="B72" s="2079"/>
      <c r="C72" s="2079"/>
      <c r="K72" s="2068"/>
      <c r="O72" s="2362" t="s">
        <v>2400</v>
      </c>
      <c r="P72" s="2368" t="s">
        <v>2401</v>
      </c>
      <c r="Q72" s="2361">
        <f ca="1">C15</f>
        <v>0</v>
      </c>
      <c r="R72" s="2360" t="s">
        <v>2379</v>
      </c>
    </row>
    <row r="73" spans="1:18" s="2041" customFormat="1" ht="15.75" thickBot="1">
      <c r="A73" s="2078"/>
      <c r="B73" s="2079"/>
      <c r="C73" s="2079"/>
      <c r="K73" s="2068"/>
      <c r="O73" s="2362" t="s">
        <v>2402</v>
      </c>
      <c r="P73" s="2368" t="s">
        <v>2403</v>
      </c>
      <c r="Q73" s="2363">
        <f ca="1">F43</f>
        <v>0</v>
      </c>
      <c r="R73" s="2364"/>
    </row>
    <row r="74" spans="1:18" s="2041" customFormat="1" ht="15.75" thickBot="1">
      <c r="A74" s="2078"/>
      <c r="B74" s="2079"/>
      <c r="C74" s="2079"/>
      <c r="K74" s="2068"/>
      <c r="O74" s="2362" t="s">
        <v>2385</v>
      </c>
      <c r="P74" s="2360" t="s">
        <v>2392</v>
      </c>
      <c r="Q74" s="2363">
        <f>L53</f>
        <v>0</v>
      </c>
      <c r="R74" s="2364"/>
    </row>
    <row r="75" spans="1:18" s="2041" customFormat="1" ht="20.25" thickBot="1">
      <c r="A75" s="2078"/>
      <c r="B75" s="2079"/>
      <c r="C75" s="2079"/>
      <c r="K75" s="2068"/>
      <c r="O75" s="2362" t="s">
        <v>2387</v>
      </c>
      <c r="P75" s="2360" t="s">
        <v>2393</v>
      </c>
      <c r="Q75" s="2361">
        <f ca="1">L59</f>
        <v>0</v>
      </c>
      <c r="R75" s="2364" t="s">
        <v>2394</v>
      </c>
    </row>
    <row r="76" spans="1:18" s="2041" customFormat="1" ht="20.25" thickBot="1">
      <c r="A76" s="2078"/>
      <c r="B76" s="2079"/>
      <c r="C76" s="2079"/>
      <c r="K76" s="2068"/>
      <c r="O76" s="2362" t="s">
        <v>2416</v>
      </c>
      <c r="P76" s="2360" t="s">
        <v>2395</v>
      </c>
      <c r="Q76" s="2361">
        <f ca="1">L60</f>
        <v>0</v>
      </c>
      <c r="R76" s="2364" t="s">
        <v>2396</v>
      </c>
    </row>
    <row r="77" spans="1:18" s="2041" customFormat="1" ht="15.75" thickBot="1">
      <c r="A77" s="2078"/>
      <c r="B77" s="2079"/>
      <c r="C77" s="2079"/>
      <c r="K77" s="2068"/>
      <c r="O77" s="2359" t="s">
        <v>2390</v>
      </c>
      <c r="P77" s="2360" t="s">
        <v>2407</v>
      </c>
      <c r="Q77" s="2361" t="e">
        <f ca="1">Q67+Q68</f>
        <v>#DIV/0!</v>
      </c>
      <c r="R77" s="2364" t="s">
        <v>2391</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2470</v>
      </c>
      <c r="B1" s="3525"/>
      <c r="C1" s="3526"/>
      <c r="D1" s="3527">
        <f>SUM(I10,I15,I20,I21,I23)</f>
        <v>0</v>
      </c>
      <c r="E1" s="3527"/>
      <c r="F1" s="3527"/>
      <c r="G1" s="3527"/>
      <c r="H1" s="3527"/>
      <c r="I1" s="3528"/>
    </row>
    <row r="2" spans="1:9">
      <c r="A2" s="3529" t="s">
        <v>2471</v>
      </c>
      <c r="B2" s="3530" t="s">
        <v>2472</v>
      </c>
      <c r="C2" s="3530"/>
      <c r="D2" s="2468" t="s">
        <v>2473</v>
      </c>
      <c r="E2" s="2468" t="s">
        <v>2474</v>
      </c>
      <c r="F2" s="2468" t="s">
        <v>2475</v>
      </c>
      <c r="G2" s="2468" t="s">
        <v>2476</v>
      </c>
      <c r="H2" s="2468" t="s">
        <v>2477</v>
      </c>
      <c r="I2" s="2469" t="s">
        <v>2478</v>
      </c>
    </row>
    <row r="3" spans="1:9">
      <c r="A3" s="3529"/>
      <c r="B3" s="3530" t="s">
        <v>2479</v>
      </c>
      <c r="C3" s="3530"/>
      <c r="D3" s="2470"/>
      <c r="E3" s="2468"/>
      <c r="F3" s="2471"/>
      <c r="G3" s="2471"/>
      <c r="H3" s="2472"/>
      <c r="I3" s="2473">
        <f>ROUND(D3*E3*F3*G3*H3/10000,0)</f>
        <v>0</v>
      </c>
    </row>
    <row r="4" spans="1:9">
      <c r="A4" s="3529"/>
      <c r="B4" s="3530" t="s">
        <v>2480</v>
      </c>
      <c r="C4" s="3530"/>
      <c r="D4" s="2470"/>
      <c r="E4" s="2468"/>
      <c r="F4" s="2471"/>
      <c r="G4" s="2471"/>
      <c r="H4" s="2472"/>
      <c r="I4" s="2473">
        <f t="shared" ref="I4:I9" si="0">ROUND(D4*E4*F4*G4*H4/10000,0)</f>
        <v>0</v>
      </c>
    </row>
    <row r="5" spans="1:9">
      <c r="A5" s="3529"/>
      <c r="B5" s="3530" t="s">
        <v>2481</v>
      </c>
      <c r="C5" s="3530"/>
      <c r="D5" s="2470"/>
      <c r="E5" s="2468"/>
      <c r="F5" s="2471"/>
      <c r="G5" s="2471"/>
      <c r="H5" s="2472"/>
      <c r="I5" s="2473">
        <f t="shared" si="0"/>
        <v>0</v>
      </c>
    </row>
    <row r="6" spans="1:9">
      <c r="A6" s="3529"/>
      <c r="B6" s="3530" t="s">
        <v>2482</v>
      </c>
      <c r="C6" s="3530"/>
      <c r="D6" s="2470"/>
      <c r="E6" s="2468"/>
      <c r="F6" s="2471"/>
      <c r="G6" s="2471"/>
      <c r="H6" s="2472"/>
      <c r="I6" s="2473">
        <f t="shared" si="0"/>
        <v>0</v>
      </c>
    </row>
    <row r="7" spans="1:9">
      <c r="A7" s="3529"/>
      <c r="B7" s="3530" t="s">
        <v>2483</v>
      </c>
      <c r="C7" s="3530"/>
      <c r="D7" s="2470"/>
      <c r="E7" s="2468"/>
      <c r="F7" s="2471"/>
      <c r="G7" s="2471"/>
      <c r="H7" s="2472"/>
      <c r="I7" s="2473">
        <f t="shared" si="0"/>
        <v>0</v>
      </c>
    </row>
    <row r="8" spans="1:9">
      <c r="A8" s="3529"/>
      <c r="B8" s="3530" t="s">
        <v>2484</v>
      </c>
      <c r="C8" s="3530"/>
      <c r="D8" s="2470"/>
      <c r="E8" s="2468"/>
      <c r="F8" s="2471"/>
      <c r="G8" s="2471"/>
      <c r="H8" s="2472"/>
      <c r="I8" s="2473">
        <f t="shared" si="0"/>
        <v>0</v>
      </c>
    </row>
    <row r="9" spans="1:9">
      <c r="A9" s="3529"/>
      <c r="B9" s="3530" t="s">
        <v>2485</v>
      </c>
      <c r="C9" s="3530"/>
      <c r="D9" s="2470"/>
      <c r="E9" s="2468"/>
      <c r="F9" s="2471"/>
      <c r="G9" s="2471"/>
      <c r="H9" s="2472"/>
      <c r="I9" s="2473">
        <f t="shared" si="0"/>
        <v>0</v>
      </c>
    </row>
    <row r="10" spans="1:9">
      <c r="A10" s="3529"/>
      <c r="B10" s="3531" t="s">
        <v>2486</v>
      </c>
      <c r="C10" s="3531"/>
      <c r="D10" s="2474">
        <v>527</v>
      </c>
      <c r="E10" s="2474" t="e">
        <f>ROUND(D1*10000/D10/H9,0)</f>
        <v>#DIV/0!</v>
      </c>
      <c r="F10" s="2475"/>
      <c r="G10" s="2475"/>
      <c r="H10" s="2476"/>
      <c r="I10" s="2477">
        <f>SUM(I3:I9)</f>
        <v>0</v>
      </c>
    </row>
    <row r="11" spans="1:9" ht="14.25">
      <c r="A11" s="3529" t="s">
        <v>2487</v>
      </c>
      <c r="B11" s="3530" t="s">
        <v>2488</v>
      </c>
      <c r="C11" s="3530"/>
      <c r="D11" s="2470" t="s">
        <v>2489</v>
      </c>
      <c r="E11" s="2470" t="s">
        <v>2490</v>
      </c>
      <c r="F11" s="2471" t="s">
        <v>2491</v>
      </c>
      <c r="G11" s="2471" t="s">
        <v>2492</v>
      </c>
      <c r="H11" s="2478" t="s">
        <v>2493</v>
      </c>
      <c r="I11" s="2469" t="s">
        <v>2494</v>
      </c>
    </row>
    <row r="12" spans="1:9">
      <c r="A12" s="3529"/>
      <c r="B12" s="3530" t="s">
        <v>2495</v>
      </c>
      <c r="C12" s="3530"/>
      <c r="D12" s="2470"/>
      <c r="E12" s="2470"/>
      <c r="F12" s="2471"/>
      <c r="G12" s="2472"/>
      <c r="H12" s="2479"/>
      <c r="I12" s="2469">
        <f>ROUND(D12*E12*F12*G12/10000,0)</f>
        <v>0</v>
      </c>
    </row>
    <row r="13" spans="1:9">
      <c r="A13" s="3529"/>
      <c r="B13" s="3530" t="s">
        <v>2496</v>
      </c>
      <c r="C13" s="3530"/>
      <c r="D13" s="2470"/>
      <c r="E13" s="2470"/>
      <c r="F13" s="2471"/>
      <c r="G13" s="2472"/>
      <c r="H13" s="2479"/>
      <c r="I13" s="2469">
        <f>ROUND(D13*E13*F13*G13/10000,0)</f>
        <v>0</v>
      </c>
    </row>
    <row r="14" spans="1:9">
      <c r="A14" s="3529"/>
      <c r="B14" s="3530" t="s">
        <v>2497</v>
      </c>
      <c r="C14" s="3530"/>
      <c r="D14" s="2470"/>
      <c r="E14" s="2470"/>
      <c r="F14" s="2471"/>
      <c r="G14" s="2472"/>
      <c r="H14" s="2479"/>
      <c r="I14" s="2469">
        <f>ROUND(D14*E14*F14*G14/10000,0)</f>
        <v>0</v>
      </c>
    </row>
    <row r="15" spans="1:9">
      <c r="A15" s="3529"/>
      <c r="B15" s="3531" t="s">
        <v>2486</v>
      </c>
      <c r="C15" s="3531"/>
      <c r="D15" s="2474"/>
      <c r="E15" s="2474">
        <f>SUM(E12:E14)</f>
        <v>0</v>
      </c>
      <c r="F15" s="2475"/>
      <c r="G15" s="2472"/>
      <c r="H15" s="2479"/>
      <c r="I15" s="2480">
        <f>SUM(I12:I14)</f>
        <v>0</v>
      </c>
    </row>
    <row r="16" spans="1:9" ht="24">
      <c r="A16" s="3529" t="s">
        <v>2498</v>
      </c>
      <c r="B16" s="3530" t="s">
        <v>2499</v>
      </c>
      <c r="C16" s="3530"/>
      <c r="D16" s="2470" t="s">
        <v>2500</v>
      </c>
      <c r="E16" s="2481" t="s">
        <v>2501</v>
      </c>
      <c r="F16" s="2471" t="s">
        <v>2502</v>
      </c>
      <c r="G16" s="2472" t="s">
        <v>2492</v>
      </c>
      <c r="H16" s="2478" t="s">
        <v>2493</v>
      </c>
      <c r="I16" s="2469" t="s">
        <v>2494</v>
      </c>
    </row>
    <row r="17" spans="1:9" ht="14.25">
      <c r="A17" s="3529"/>
      <c r="B17" s="3530" t="s">
        <v>2503</v>
      </c>
      <c r="C17" s="3530"/>
      <c r="D17" s="2470"/>
      <c r="E17" s="2470"/>
      <c r="F17" s="2471"/>
      <c r="G17" s="2472"/>
      <c r="H17" s="2482"/>
      <c r="I17" s="2483">
        <f>ROUND(D17*E17*F17*G17/10000,0)</f>
        <v>0</v>
      </c>
    </row>
    <row r="18" spans="1:9" ht="14.25">
      <c r="A18" s="3529"/>
      <c r="B18" s="3530" t="s">
        <v>2504</v>
      </c>
      <c r="C18" s="3530"/>
      <c r="D18" s="2470"/>
      <c r="E18" s="2470"/>
      <c r="F18" s="2471"/>
      <c r="G18" s="2472"/>
      <c r="H18" s="2482"/>
      <c r="I18" s="2483">
        <f>ROUND(D18*E18*F18*G18/10000,0)</f>
        <v>0</v>
      </c>
    </row>
    <row r="19" spans="1:9" ht="14.25">
      <c r="A19" s="3529"/>
      <c r="B19" s="3530" t="s">
        <v>2505</v>
      </c>
      <c r="C19" s="3530"/>
      <c r="D19" s="2470"/>
      <c r="E19" s="2470"/>
      <c r="F19" s="2471"/>
      <c r="G19" s="2472"/>
      <c r="H19" s="2482"/>
      <c r="I19" s="2483">
        <f>ROUND(D19*E19*F19*G19/10000,0)</f>
        <v>0</v>
      </c>
    </row>
    <row r="20" spans="1:9">
      <c r="A20" s="3529"/>
      <c r="B20" s="3531" t="s">
        <v>2486</v>
      </c>
      <c r="C20" s="3531"/>
      <c r="D20" s="2474">
        <f>SUM(D17:D19)</f>
        <v>0</v>
      </c>
      <c r="E20" s="2474"/>
      <c r="F20" s="2475"/>
      <c r="G20" s="2472"/>
      <c r="H20" s="2479"/>
      <c r="I20" s="2480">
        <f>SUM(I17:I19)</f>
        <v>0</v>
      </c>
    </row>
    <row r="21" spans="1:9">
      <c r="A21" s="3529" t="s">
        <v>2506</v>
      </c>
      <c r="B21" s="3533"/>
      <c r="C21" s="3533"/>
      <c r="D21" s="3533"/>
      <c r="E21" s="3533"/>
      <c r="F21" s="3533"/>
      <c r="G21" s="3533"/>
      <c r="H21" s="2484">
        <v>0.1</v>
      </c>
      <c r="I21" s="2477">
        <f>ROUND(I10*H21,0)</f>
        <v>0</v>
      </c>
    </row>
    <row r="22" spans="1:9" ht="14.25">
      <c r="A22" s="3534" t="s">
        <v>2507</v>
      </c>
      <c r="B22" s="3535"/>
      <c r="C22" s="3536"/>
      <c r="D22" s="2485" t="s">
        <v>2508</v>
      </c>
      <c r="E22" s="2485" t="s">
        <v>2509</v>
      </c>
      <c r="F22" s="2486" t="s">
        <v>2510</v>
      </c>
      <c r="G22" s="2486" t="s">
        <v>2511</v>
      </c>
      <c r="H22" s="2478" t="s">
        <v>2512</v>
      </c>
      <c r="I22" s="2469" t="s">
        <v>2513</v>
      </c>
    </row>
    <row r="23" spans="1:9" ht="14.25" thickBot="1">
      <c r="A23" s="3537"/>
      <c r="B23" s="3538"/>
      <c r="C23" s="3539"/>
      <c r="D23" s="2487"/>
      <c r="E23" s="2487"/>
      <c r="F23" s="2487"/>
      <c r="G23" s="2488"/>
      <c r="H23" s="2489"/>
      <c r="I23" s="2490">
        <f>ROUND(E23*D23*F23*(1-G23)/10000,0)</f>
        <v>0</v>
      </c>
    </row>
    <row r="26" spans="1:9">
      <c r="A26" s="2491" t="s">
        <v>2514</v>
      </c>
      <c r="B26" s="2491"/>
      <c r="C26" s="2491"/>
      <c r="D26" s="2491"/>
      <c r="E26" s="3540">
        <f>C27-C30-C31-C32</f>
        <v>0</v>
      </c>
      <c r="F26" s="3540"/>
      <c r="G26" s="3540"/>
      <c r="H26" s="2992" t="s">
        <v>2842</v>
      </c>
    </row>
    <row r="27" spans="1:9">
      <c r="A27" s="2492">
        <v>1</v>
      </c>
      <c r="B27" s="2493" t="s">
        <v>2515</v>
      </c>
      <c r="C27" s="2493"/>
      <c r="D27" s="2493"/>
      <c r="E27" s="3541"/>
      <c r="F27" s="3541"/>
      <c r="G27" s="3541"/>
    </row>
    <row r="28" spans="1:9">
      <c r="A28" s="2494" t="s">
        <v>2516</v>
      </c>
      <c r="B28" s="2493" t="s">
        <v>2517</v>
      </c>
      <c r="C28" s="2493"/>
      <c r="D28" s="2493"/>
      <c r="E28" s="3541"/>
      <c r="F28" s="3541"/>
      <c r="G28" s="3541"/>
    </row>
    <row r="29" spans="1:9">
      <c r="A29" s="2494" t="s">
        <v>2518</v>
      </c>
      <c r="B29" s="2493" t="s">
        <v>2459</v>
      </c>
      <c r="C29" s="2493"/>
      <c r="D29" s="2493"/>
      <c r="E29" s="2493" t="s">
        <v>2519</v>
      </c>
      <c r="F29" s="2493"/>
      <c r="G29" s="2493"/>
    </row>
    <row r="30" spans="1:9">
      <c r="A30" s="2492">
        <v>2</v>
      </c>
      <c r="B30" s="2493" t="s">
        <v>2520</v>
      </c>
      <c r="C30" s="2493">
        <f>C27*D30</f>
        <v>0</v>
      </c>
      <c r="D30" s="2495">
        <v>0.2</v>
      </c>
      <c r="E30" s="2493" t="s">
        <v>2521</v>
      </c>
      <c r="F30" s="2493"/>
      <c r="G30" s="2493"/>
    </row>
    <row r="31" spans="1:9">
      <c r="A31" s="2492">
        <v>3</v>
      </c>
      <c r="B31" s="2493" t="s">
        <v>2522</v>
      </c>
      <c r="C31" s="2493">
        <f>C25*D31</f>
        <v>0</v>
      </c>
      <c r="D31" s="2495">
        <v>0.15</v>
      </c>
      <c r="E31" s="2493" t="s">
        <v>2523</v>
      </c>
      <c r="F31" s="2493"/>
      <c r="G31" s="2493"/>
    </row>
    <row r="32" spans="1:9">
      <c r="A32" s="2492">
        <v>4</v>
      </c>
      <c r="B32" s="2493" t="s">
        <v>2524</v>
      </c>
      <c r="C32" s="2493">
        <f>C27*D32</f>
        <v>0</v>
      </c>
      <c r="D32" s="2495">
        <v>0.05</v>
      </c>
      <c r="E32" s="3532"/>
      <c r="F32" s="3532"/>
      <c r="G32" s="3532"/>
    </row>
    <row r="33" spans="1:7" hidden="1">
      <c r="A33" s="3542" t="s">
        <v>2525</v>
      </c>
      <c r="B33" s="3543"/>
      <c r="C33" s="3543"/>
      <c r="D33" s="3544"/>
      <c r="E33" s="3540"/>
      <c r="F33" s="3540"/>
      <c r="G33" s="3540"/>
    </row>
    <row r="34" spans="1:7" hidden="1">
      <c r="A34" s="2496">
        <v>1</v>
      </c>
      <c r="B34" s="2493" t="s">
        <v>2526</v>
      </c>
      <c r="C34" s="2493"/>
      <c r="D34" s="2493"/>
      <c r="E34" s="3541"/>
      <c r="F34" s="3541"/>
      <c r="G34" s="3541"/>
    </row>
    <row r="35" spans="1:7" hidden="1">
      <c r="A35" s="2496">
        <v>2</v>
      </c>
      <c r="B35" s="2493" t="s">
        <v>2527</v>
      </c>
      <c r="C35" s="2493"/>
      <c r="D35" s="2493"/>
      <c r="E35" s="3541"/>
      <c r="F35" s="3541"/>
      <c r="G35" s="3541"/>
    </row>
    <row r="36" spans="1:7" hidden="1">
      <c r="A36" s="2496">
        <v>3</v>
      </c>
      <c r="B36" s="2493" t="s">
        <v>2528</v>
      </c>
      <c r="C36" s="2493"/>
      <c r="D36" s="2493"/>
      <c r="E36" s="3541"/>
      <c r="F36" s="3541"/>
      <c r="G36" s="3541"/>
    </row>
    <row r="37" spans="1:7" hidden="1">
      <c r="A37" s="2496">
        <v>4</v>
      </c>
      <c r="B37" s="2493" t="s">
        <v>2529</v>
      </c>
      <c r="C37" s="2493"/>
      <c r="D37" s="2493"/>
      <c r="E37" s="3541"/>
      <c r="F37" s="3541"/>
      <c r="G37" s="3541"/>
    </row>
    <row r="38" spans="1:7" hidden="1">
      <c r="A38" s="3542" t="s">
        <v>2530</v>
      </c>
      <c r="B38" s="3543"/>
      <c r="C38" s="3543"/>
      <c r="D38" s="3544"/>
      <c r="E38" s="3540"/>
      <c r="F38" s="3540"/>
      <c r="G38" s="35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56.25">
      <c r="A7" s="1777" t="s">
        <v>2746</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2019年8月14日（评估专业人员勘察现场之日）</v>
      </c>
    </row>
    <row r="12" spans="1:4" ht="18.75">
      <c r="A12" s="1779" t="s">
        <v>2024</v>
      </c>
    </row>
    <row r="13" spans="1:4" ht="18.75">
      <c r="A13" s="1773" t="s">
        <v>2939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2072</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18.75">
      <c r="A21" s="1773" t="s">
        <v>2073</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1月28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2074</v>
      </c>
    </row>
    <row r="25" spans="1:1" ht="75">
      <c r="A25" s="1773"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2439</v>
      </c>
      <c r="B8" s="2433" t="s">
        <v>2441</v>
      </c>
      <c r="C8" s="2434"/>
      <c r="D8" s="747"/>
      <c r="E8" s="748"/>
      <c r="F8" s="748"/>
      <c r="G8" s="749"/>
    </row>
    <row r="9" spans="1:25" s="2165" customFormat="1" ht="13.5" customHeight="1">
      <c r="A9" s="2430" t="s">
        <v>2440</v>
      </c>
      <c r="B9" s="2433" t="s">
        <v>2442</v>
      </c>
      <c r="C9" s="2434"/>
      <c r="D9" s="747"/>
      <c r="E9" s="748"/>
      <c r="F9" s="748"/>
      <c r="G9" s="749"/>
    </row>
    <row r="10" spans="1:25" s="2165" customFormat="1" ht="36">
      <c r="A10" s="2430">
        <v>2</v>
      </c>
      <c r="B10" s="746" t="s">
        <v>613</v>
      </c>
      <c r="C10" s="747">
        <f>C11+C14+C15</f>
        <v>0</v>
      </c>
      <c r="D10" s="758">
        <f>'数据-汇总表'!E3</f>
        <v>163338</v>
      </c>
      <c r="E10" s="747">
        <f>'数据-取费表'!B31</f>
        <v>150</v>
      </c>
      <c r="F10" s="759"/>
      <c r="G10" s="757" t="s">
        <v>614</v>
      </c>
    </row>
    <row r="11" spans="1:25" s="2165" customFormat="1" ht="13.5" customHeight="1">
      <c r="A11" s="2430" t="s">
        <v>2439</v>
      </c>
      <c r="B11" s="750" t="s">
        <v>610</v>
      </c>
      <c r="C11" s="751">
        <f>'数据-取费表'!B29</f>
        <v>0</v>
      </c>
      <c r="D11" s="752"/>
      <c r="E11" s="751"/>
      <c r="F11" s="753"/>
      <c r="G11" s="2439" t="s">
        <v>2450</v>
      </c>
    </row>
    <row r="12" spans="1:25" s="2165" customFormat="1" ht="13.5" customHeight="1">
      <c r="A12" s="2437" t="s">
        <v>2447</v>
      </c>
      <c r="B12" s="754" t="s">
        <v>611</v>
      </c>
      <c r="C12" s="755">
        <f>ROUND(D12*E12/10000,0)</f>
        <v>0</v>
      </c>
      <c r="D12" s="756">
        <f>'数据-汇总表'!E5</f>
        <v>0</v>
      </c>
      <c r="E12" s="755">
        <f>'数据-取费表'!B27</f>
        <v>0</v>
      </c>
      <c r="F12" s="753"/>
      <c r="G12" s="757"/>
    </row>
    <row r="13" spans="1:25" s="2165" customFormat="1" ht="13.5" customHeight="1">
      <c r="A13" s="2437" t="s">
        <v>2446</v>
      </c>
      <c r="B13" s="754" t="s">
        <v>612</v>
      </c>
      <c r="C13" s="755">
        <f>ROUND(D13*E13/10000,0)</f>
        <v>2450</v>
      </c>
      <c r="D13" s="756">
        <f>'数据-汇总表'!E6</f>
        <v>163338</v>
      </c>
      <c r="E13" s="755">
        <f>'数据-取费表'!B28</f>
        <v>150</v>
      </c>
      <c r="F13" s="753"/>
      <c r="G13" s="757"/>
    </row>
    <row r="14" spans="1:25" s="2165" customFormat="1" ht="13.5" customHeight="1">
      <c r="A14" s="2430" t="s">
        <v>2440</v>
      </c>
      <c r="B14" s="2436" t="s">
        <v>2443</v>
      </c>
      <c r="C14" s="2434"/>
      <c r="D14" s="756"/>
      <c r="E14" s="755"/>
      <c r="F14" s="2435"/>
      <c r="G14" s="2438" t="s">
        <v>2448</v>
      </c>
    </row>
    <row r="15" spans="1:25" s="2165" customFormat="1" ht="13.5" customHeight="1">
      <c r="A15" s="2430" t="s">
        <v>2445</v>
      </c>
      <c r="B15" s="2436" t="s">
        <v>2444</v>
      </c>
      <c r="C15" s="2434"/>
      <c r="D15" s="756"/>
      <c r="E15" s="755"/>
      <c r="F15" s="2435"/>
      <c r="G15" s="2438" t="s">
        <v>2449</v>
      </c>
    </row>
    <row r="16" spans="1:25" s="2166" customFormat="1" ht="48">
      <c r="A16" s="2430">
        <v>3</v>
      </c>
      <c r="B16" s="746" t="s">
        <v>615</v>
      </c>
      <c r="C16" s="2434"/>
      <c r="D16" s="758"/>
      <c r="E16" s="747"/>
      <c r="F16" s="759"/>
      <c r="G16" s="757" t="s">
        <v>2451</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0.84699999999999998</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c r="E1" s="2587"/>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t="e">
        <f>C49</f>
        <v>#DIV/0!</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36" t="s">
        <v>522</v>
      </c>
      <c r="D4" s="3437"/>
      <c r="E4" s="3471" t="s">
        <v>523</v>
      </c>
      <c r="F4" s="3472"/>
      <c r="G4" s="3436" t="s">
        <v>524</v>
      </c>
      <c r="H4" s="3437"/>
      <c r="I4" s="3436" t="s">
        <v>525</v>
      </c>
      <c r="J4" s="3437"/>
      <c r="K4" s="851" t="s">
        <v>526</v>
      </c>
      <c r="L4" s="2115"/>
      <c r="M4" s="2116"/>
      <c r="N4" s="2116"/>
      <c r="O4" s="2116"/>
      <c r="P4" s="3438" t="s">
        <v>527</v>
      </c>
      <c r="Q4" s="3439"/>
      <c r="R4" s="3444" t="s">
        <v>523</v>
      </c>
      <c r="S4" s="3445"/>
      <c r="T4" s="3444" t="s">
        <v>524</v>
      </c>
      <c r="U4" s="3445"/>
      <c r="V4" s="3431" t="s">
        <v>525</v>
      </c>
      <c r="W4" s="3431"/>
      <c r="X4" s="1550"/>
      <c r="Y4" s="3444" t="s">
        <v>527</v>
      </c>
      <c r="Z4" s="3445"/>
      <c r="AA4" s="3433" t="s">
        <v>523</v>
      </c>
      <c r="AB4" s="3433" t="s">
        <v>524</v>
      </c>
      <c r="AC4" s="3433" t="s">
        <v>525</v>
      </c>
    </row>
    <row r="5" spans="1:29" ht="15">
      <c r="A5" s="513"/>
      <c r="B5" s="514"/>
      <c r="C5" s="3454" t="s">
        <v>2927</v>
      </c>
      <c r="D5" s="3453"/>
      <c r="E5" s="3473" t="s">
        <v>2928</v>
      </c>
      <c r="F5" s="3474"/>
      <c r="G5" s="3454" t="s">
        <v>2929</v>
      </c>
      <c r="H5" s="3453"/>
      <c r="I5" s="3454" t="s">
        <v>2930</v>
      </c>
      <c r="J5" s="3453"/>
      <c r="K5" s="852"/>
      <c r="L5" s="2115"/>
      <c r="M5" s="2116"/>
      <c r="N5" s="2116"/>
      <c r="O5" s="2116"/>
      <c r="P5" s="3440"/>
      <c r="Q5" s="3441"/>
      <c r="R5" s="3446"/>
      <c r="S5" s="3447"/>
      <c r="T5" s="3446"/>
      <c r="U5" s="3447"/>
      <c r="V5" s="3431"/>
      <c r="W5" s="3431"/>
      <c r="X5" s="1550"/>
      <c r="Y5" s="3446"/>
      <c r="Z5" s="3447"/>
      <c r="AA5" s="3434"/>
      <c r="AB5" s="3434"/>
      <c r="AC5" s="3434"/>
    </row>
    <row r="6" spans="1:29" ht="15.75" thickBot="1">
      <c r="A6" s="515"/>
      <c r="B6" s="516"/>
      <c r="C6" s="3450" t="s">
        <v>2931</v>
      </c>
      <c r="D6" s="3451"/>
      <c r="E6" s="3469" t="s">
        <v>2931</v>
      </c>
      <c r="F6" s="3470"/>
      <c r="G6" s="3450" t="s">
        <v>2931</v>
      </c>
      <c r="H6" s="3451"/>
      <c r="I6" s="3450" t="s">
        <v>2931</v>
      </c>
      <c r="J6" s="3451"/>
      <c r="K6" s="852" t="s">
        <v>528</v>
      </c>
      <c r="L6" s="2115"/>
      <c r="M6" s="2116"/>
      <c r="N6" s="2116"/>
      <c r="O6" s="2116"/>
      <c r="P6" s="3442"/>
      <c r="Q6" s="3443"/>
      <c r="R6" s="3446"/>
      <c r="S6" s="3447"/>
      <c r="T6" s="3448"/>
      <c r="U6" s="3449"/>
      <c r="V6" s="3431"/>
      <c r="W6" s="3431"/>
      <c r="X6" s="1550"/>
      <c r="Y6" s="3448"/>
      <c r="Z6" s="3449"/>
      <c r="AA6" s="3435"/>
      <c r="AB6" s="3435"/>
      <c r="AC6" s="3435"/>
    </row>
    <row r="7" spans="1:29" s="1213" customFormat="1" ht="15.75" thickBot="1">
      <c r="A7" s="2864"/>
      <c r="B7" s="2871" t="s">
        <v>529</v>
      </c>
      <c r="C7" s="517">
        <f>'数据-取费表'!B2</f>
        <v>43691</v>
      </c>
      <c r="D7" s="518">
        <v>100</v>
      </c>
      <c r="E7" s="519"/>
      <c r="F7" s="520">
        <f>SUMIF(58:58,YEAR(E7)&amp;"-"&amp;MONTH(E7),59:59)</f>
        <v>0</v>
      </c>
      <c r="G7" s="521"/>
      <c r="H7" s="518">
        <f>SUMIF(58:58,YEAR(G7)&amp;"-"&amp;MONTH(G7),59:59)</f>
        <v>0</v>
      </c>
      <c r="I7" s="521"/>
      <c r="J7" s="518">
        <f>SUMIF(58:58,YEAR(I7)&amp;"-"&amp;MONTH(I7),59:59)</f>
        <v>0</v>
      </c>
      <c r="K7" s="853"/>
      <c r="L7" s="2117"/>
      <c r="M7" s="2118"/>
      <c r="N7" s="2118"/>
      <c r="O7" s="2118"/>
      <c r="P7" s="3462" t="s">
        <v>530</v>
      </c>
      <c r="Q7" s="3464"/>
      <c r="R7" s="1551" t="s">
        <v>13</v>
      </c>
      <c r="S7" s="1552">
        <f t="shared" ref="S7:S15" si="0">F7</f>
        <v>0</v>
      </c>
      <c r="T7" s="1551" t="s">
        <v>13</v>
      </c>
      <c r="U7" s="1552">
        <f t="shared" ref="U7:U15" si="1">H7</f>
        <v>0</v>
      </c>
      <c r="V7" s="1551" t="s">
        <v>13</v>
      </c>
      <c r="W7" s="1552">
        <f t="shared" ref="W7:W15" si="2">J7</f>
        <v>0</v>
      </c>
      <c r="X7" s="1553"/>
      <c r="Y7" s="3462" t="s">
        <v>530</v>
      </c>
      <c r="Z7" s="3463"/>
      <c r="AA7" s="1554" t="e">
        <f>D7/F7</f>
        <v>#DIV/0!</v>
      </c>
      <c r="AB7" s="1554" t="e">
        <f>D7/H7</f>
        <v>#DIV/0!</v>
      </c>
      <c r="AC7" s="1554" t="e">
        <f>D7/J7</f>
        <v>#DIV/0!</v>
      </c>
    </row>
    <row r="8" spans="1:29" s="1213" customFormat="1" ht="15.75" thickBot="1">
      <c r="A8" s="2865"/>
      <c r="B8" s="2872" t="s">
        <v>531</v>
      </c>
      <c r="C8" s="523" t="s">
        <v>576</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462" t="s">
        <v>533</v>
      </c>
      <c r="Q8" s="3463"/>
      <c r="R8" s="1551" t="s">
        <v>13</v>
      </c>
      <c r="S8" s="1552">
        <f t="shared" si="0"/>
        <v>0</v>
      </c>
      <c r="T8" s="1551" t="s">
        <v>13</v>
      </c>
      <c r="U8" s="1552">
        <f t="shared" si="1"/>
        <v>0</v>
      </c>
      <c r="V8" s="1551" t="s">
        <v>13</v>
      </c>
      <c r="W8" s="1552">
        <f t="shared" si="2"/>
        <v>0</v>
      </c>
      <c r="X8" s="1553"/>
      <c r="Y8" s="3462" t="s">
        <v>533</v>
      </c>
      <c r="Z8" s="3463"/>
      <c r="AA8" s="1554" t="e">
        <f t="shared" ref="AA8:AA46" si="3">D8/F8</f>
        <v>#DIV/0!</v>
      </c>
      <c r="AB8" s="1554" t="e">
        <f t="shared" ref="AB8:AB46" si="4">D8/H8</f>
        <v>#DIV/0!</v>
      </c>
      <c r="AC8" s="1554" t="e">
        <f t="shared" ref="AC8:AC46" si="5">D8/J8</f>
        <v>#DIV/0!</v>
      </c>
    </row>
    <row r="9" spans="1:29" s="1213" customFormat="1" ht="15">
      <c r="A9" s="2866"/>
      <c r="B9" s="2873" t="s">
        <v>2755</v>
      </c>
      <c r="C9" s="855"/>
      <c r="D9" s="252">
        <v>100</v>
      </c>
      <c r="E9" s="856"/>
      <c r="F9" s="857">
        <f>SUMIF(63:63,E9,64:64)-SUMIF(63:63,C9,64:64)+100</f>
        <v>100</v>
      </c>
      <c r="G9" s="858"/>
      <c r="H9" s="252">
        <f>SUMIF(63:63,G9,64:64)-SUMIF(63:63,C9,64:64)+100</f>
        <v>100</v>
      </c>
      <c r="I9" s="858"/>
      <c r="J9" s="252">
        <f>SUMIF(63:63,I9,64:64)-SUMIF(63:63,C9,64:64)+100</f>
        <v>100</v>
      </c>
      <c r="K9" s="853"/>
      <c r="L9" s="2117"/>
      <c r="M9" s="2118"/>
      <c r="N9" s="2118"/>
      <c r="O9" s="2119"/>
      <c r="P9" s="3430"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60"/>
      <c r="F10" s="861">
        <f>SUMIF(65:65,E10,66:66)-SUMIF(65:65,C10,66:66)+100</f>
        <v>100</v>
      </c>
      <c r="G10" s="859"/>
      <c r="H10" s="253">
        <f>SUMIF(65:65,G10,66:66)-SUMIF(65:65,C10,66:66)+100</f>
        <v>100</v>
      </c>
      <c r="I10" s="859"/>
      <c r="J10" s="253">
        <f>SUMIF(65:65,I10,66:66)-SUMIF(65:65,C10,66:66)+100</f>
        <v>100</v>
      </c>
      <c r="K10" s="862"/>
      <c r="L10" s="2120"/>
      <c r="M10" s="2160"/>
      <c r="N10" s="2160"/>
      <c r="O10" s="2121"/>
      <c r="P10" s="3430"/>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8"/>
      <c r="B11" s="2872" t="s">
        <v>2757</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2"/>
      <c r="M11" s="2116"/>
      <c r="N11" s="2116"/>
      <c r="O11" s="2123"/>
      <c r="P11" s="3430"/>
      <c r="Q11" s="1144" t="str">
        <f t="shared" si="6"/>
        <v>容积率</v>
      </c>
      <c r="R11" s="1551" t="s">
        <v>11</v>
      </c>
      <c r="S11" s="1552" t="e">
        <f t="shared" si="0"/>
        <v>#N/A</v>
      </c>
      <c r="T11" s="1551" t="s">
        <v>11</v>
      </c>
      <c r="U11" s="1552" t="e">
        <f t="shared" si="1"/>
        <v>#N/A</v>
      </c>
      <c r="V11" s="1551" t="s">
        <v>11</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30"/>
      <c r="Q12" s="1144">
        <f t="shared" si="6"/>
        <v>111</v>
      </c>
      <c r="R12" s="1551" t="s">
        <v>11</v>
      </c>
      <c r="S12" s="1552">
        <f t="shared" si="0"/>
        <v>100</v>
      </c>
      <c r="T12" s="1551" t="s">
        <v>11</v>
      </c>
      <c r="U12" s="1552">
        <f t="shared" si="1"/>
        <v>100</v>
      </c>
      <c r="V12" s="1551" t="s">
        <v>11</v>
      </c>
      <c r="W12" s="1552">
        <f t="shared" si="2"/>
        <v>100</v>
      </c>
      <c r="X12" s="1553"/>
      <c r="Y12" s="3376"/>
      <c r="Z12" s="1143">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30"/>
      <c r="Q13" s="1144">
        <f t="shared" si="6"/>
        <v>111</v>
      </c>
      <c r="R13" s="1551" t="s">
        <v>11</v>
      </c>
      <c r="S13" s="1552">
        <f t="shared" si="0"/>
        <v>100</v>
      </c>
      <c r="T13" s="1551" t="s">
        <v>11</v>
      </c>
      <c r="U13" s="1552">
        <f t="shared" si="1"/>
        <v>100</v>
      </c>
      <c r="V13" s="1551" t="s">
        <v>11</v>
      </c>
      <c r="W13" s="1552">
        <f t="shared" si="2"/>
        <v>100</v>
      </c>
      <c r="X13" s="1553"/>
      <c r="Y13" s="3376"/>
      <c r="Z13" s="1143">
        <f t="shared" si="7"/>
        <v>111</v>
      </c>
      <c r="AA13" s="1554">
        <f t="shared" si="3"/>
        <v>1</v>
      </c>
      <c r="AB13" s="1554">
        <f t="shared" si="4"/>
        <v>1</v>
      </c>
      <c r="AC13" s="1554">
        <f t="shared" si="5"/>
        <v>1</v>
      </c>
    </row>
    <row r="14" spans="1:29" ht="15.75"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30"/>
      <c r="Q14" s="1144">
        <f t="shared" si="6"/>
        <v>111</v>
      </c>
      <c r="R14" s="1551" t="s">
        <v>11</v>
      </c>
      <c r="S14" s="1552">
        <f t="shared" si="0"/>
        <v>100</v>
      </c>
      <c r="T14" s="1551" t="s">
        <v>11</v>
      </c>
      <c r="U14" s="1552">
        <f t="shared" si="1"/>
        <v>100</v>
      </c>
      <c r="V14" s="1551" t="s">
        <v>11</v>
      </c>
      <c r="W14" s="1552">
        <f t="shared" si="2"/>
        <v>100</v>
      </c>
      <c r="X14" s="1553"/>
      <c r="Y14" s="3376"/>
      <c r="Z14" s="1143">
        <f t="shared" si="7"/>
        <v>111</v>
      </c>
      <c r="AA14" s="1554">
        <f t="shared" si="3"/>
        <v>1</v>
      </c>
      <c r="AB14" s="1554">
        <f t="shared" si="4"/>
        <v>1</v>
      </c>
      <c r="AC14" s="1554">
        <f t="shared" si="5"/>
        <v>1</v>
      </c>
    </row>
    <row r="15" spans="1:29" ht="99.75">
      <c r="A15" s="2862"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465" t="s">
        <v>540</v>
      </c>
      <c r="Q15" s="1555" t="str">
        <f t="shared" si="6"/>
        <v>居住社区成熟度</v>
      </c>
      <c r="R15" s="1556" t="s">
        <v>11</v>
      </c>
      <c r="S15" s="1557">
        <f t="shared" si="0"/>
        <v>100</v>
      </c>
      <c r="T15" s="1556" t="s">
        <v>11</v>
      </c>
      <c r="U15" s="1557">
        <f t="shared" si="1"/>
        <v>100</v>
      </c>
      <c r="V15" s="1556" t="s">
        <v>11</v>
      </c>
      <c r="W15" s="1557">
        <f t="shared" si="2"/>
        <v>100</v>
      </c>
      <c r="X15" s="1550"/>
      <c r="Y15" s="3465" t="s">
        <v>540</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466"/>
      <c r="Q16" s="1555"/>
      <c r="R16" s="1556"/>
      <c r="S16" s="1557"/>
      <c r="T16" s="1556"/>
      <c r="U16" s="1557"/>
      <c r="V16" s="1556"/>
      <c r="W16" s="1557"/>
      <c r="X16" s="1550"/>
      <c r="Y16" s="3466"/>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466"/>
      <c r="Q17" s="1555" t="str">
        <f>B17</f>
        <v>交通便捷度</v>
      </c>
      <c r="R17" s="1556" t="s">
        <v>11</v>
      </c>
      <c r="S17" s="1557">
        <f>F17</f>
        <v>100</v>
      </c>
      <c r="T17" s="1556" t="s">
        <v>11</v>
      </c>
      <c r="U17" s="1557">
        <f>H17</f>
        <v>100</v>
      </c>
      <c r="V17" s="1556" t="s">
        <v>11</v>
      </c>
      <c r="W17" s="1557">
        <f>J17</f>
        <v>100</v>
      </c>
      <c r="X17" s="1550"/>
      <c r="Y17" s="346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466"/>
      <c r="Q18" s="1555"/>
      <c r="R18" s="1556"/>
      <c r="S18" s="1557"/>
      <c r="T18" s="1556"/>
      <c r="U18" s="1557"/>
      <c r="V18" s="1556"/>
      <c r="W18" s="1557"/>
      <c r="X18" s="1550"/>
      <c r="Y18" s="3466"/>
      <c r="Z18" s="1558"/>
      <c r="AA18" s="1559">
        <v>1</v>
      </c>
      <c r="AB18" s="1559">
        <v>1</v>
      </c>
      <c r="AC18" s="1559">
        <v>1</v>
      </c>
    </row>
    <row r="19" spans="1:29" ht="42.75">
      <c r="A19" s="530"/>
      <c r="B19" s="2561"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466"/>
      <c r="Q19" s="1555" t="str">
        <f>B19</f>
        <v>公共配套设施</v>
      </c>
      <c r="R19" s="1556" t="s">
        <v>11</v>
      </c>
      <c r="S19" s="1557">
        <f>F19</f>
        <v>100</v>
      </c>
      <c r="T19" s="1556" t="s">
        <v>11</v>
      </c>
      <c r="U19" s="1557">
        <f>H19</f>
        <v>100</v>
      </c>
      <c r="V19" s="1556" t="s">
        <v>11</v>
      </c>
      <c r="W19" s="1557">
        <f>J19</f>
        <v>100</v>
      </c>
      <c r="X19" s="1550"/>
      <c r="Y19" s="346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466"/>
      <c r="Q20" s="1555"/>
      <c r="R20" s="1556"/>
      <c r="S20" s="1557"/>
      <c r="T20" s="1556"/>
      <c r="U20" s="1557"/>
      <c r="V20" s="1556"/>
      <c r="W20" s="1557"/>
      <c r="X20" s="1550"/>
      <c r="Y20" s="3466"/>
      <c r="Z20" s="1558"/>
      <c r="AA20" s="1559">
        <v>1</v>
      </c>
      <c r="AB20" s="1559">
        <v>1</v>
      </c>
      <c r="AC20" s="1559">
        <v>1</v>
      </c>
    </row>
    <row r="21" spans="1:29" ht="28.5">
      <c r="A21" s="530"/>
      <c r="B21" s="2554"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66"/>
      <c r="Q21" s="2540" t="str">
        <f>B21</f>
        <v>基础设施水平</v>
      </c>
      <c r="R21" s="1556" t="s">
        <v>11</v>
      </c>
      <c r="S21" s="1557">
        <f>F21</f>
        <v>100</v>
      </c>
      <c r="T21" s="1556" t="s">
        <v>11</v>
      </c>
      <c r="U21" s="1557">
        <f>H21</f>
        <v>100</v>
      </c>
      <c r="V21" s="1556" t="s">
        <v>11</v>
      </c>
      <c r="W21" s="1557">
        <f>J21</f>
        <v>100</v>
      </c>
      <c r="X21" s="2542"/>
      <c r="Y21" s="346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466"/>
      <c r="Q22" s="2540"/>
      <c r="R22" s="1556"/>
      <c r="S22" s="1557"/>
      <c r="T22" s="1556"/>
      <c r="U22" s="1557"/>
      <c r="V22" s="1556"/>
      <c r="W22" s="1557"/>
      <c r="X22" s="2542"/>
      <c r="Y22" s="3466"/>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466"/>
      <c r="Q23" s="1555" t="str">
        <f>B23</f>
        <v>自然及人文环境</v>
      </c>
      <c r="R23" s="1556" t="s">
        <v>11</v>
      </c>
      <c r="S23" s="1557">
        <f>F23</f>
        <v>100</v>
      </c>
      <c r="T23" s="1556" t="s">
        <v>11</v>
      </c>
      <c r="U23" s="1557">
        <f>H23</f>
        <v>100</v>
      </c>
      <c r="V23" s="1556" t="s">
        <v>11</v>
      </c>
      <c r="W23" s="1557">
        <f>J23</f>
        <v>100</v>
      </c>
      <c r="X23" s="1550"/>
      <c r="Y23" s="346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466"/>
      <c r="Q24" s="1555"/>
      <c r="R24" s="1556"/>
      <c r="S24" s="1557"/>
      <c r="T24" s="1556"/>
      <c r="U24" s="1557"/>
      <c r="V24" s="1556"/>
      <c r="W24" s="1557"/>
      <c r="X24" s="1550"/>
      <c r="Y24" s="3466"/>
      <c r="Z24" s="1558"/>
      <c r="AA24" s="1559">
        <v>1</v>
      </c>
      <c r="AB24" s="1559">
        <v>1</v>
      </c>
      <c r="AC24" s="1559">
        <v>1</v>
      </c>
    </row>
    <row r="25" spans="1:29" ht="15">
      <c r="A25" s="530"/>
      <c r="B25" s="1877" t="s">
        <v>2255</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66"/>
      <c r="Q25" s="1555" t="str">
        <f t="shared" ref="Q25:Q46" si="11">B25</f>
        <v>楼层-1</v>
      </c>
      <c r="R25" s="1556" t="s">
        <v>11</v>
      </c>
      <c r="S25" s="1557">
        <f>F25</f>
        <v>100</v>
      </c>
      <c r="T25" s="1556" t="s">
        <v>11</v>
      </c>
      <c r="U25" s="1557">
        <f>H25</f>
        <v>100</v>
      </c>
      <c r="V25" s="1556" t="s">
        <v>11</v>
      </c>
      <c r="W25" s="1557">
        <f>J25</f>
        <v>100</v>
      </c>
      <c r="X25" s="1550"/>
      <c r="Y25" s="3466"/>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66"/>
      <c r="Q26" s="1555" t="str">
        <f t="shared" si="11"/>
        <v>朝向</v>
      </c>
      <c r="R26" s="1556" t="s">
        <v>11</v>
      </c>
      <c r="S26" s="1557">
        <f>F26</f>
        <v>100</v>
      </c>
      <c r="T26" s="1556" t="s">
        <v>11</v>
      </c>
      <c r="U26" s="1557">
        <f>H26</f>
        <v>100</v>
      </c>
      <c r="V26" s="1556" t="s">
        <v>11</v>
      </c>
      <c r="W26" s="1557">
        <f>J26</f>
        <v>100</v>
      </c>
      <c r="X26" s="1550"/>
      <c r="Y26" s="3466"/>
      <c r="Z26" s="1558" t="str">
        <f>Q26</f>
        <v>朝向</v>
      </c>
      <c r="AA26" s="1559">
        <f t="shared" si="3"/>
        <v>1</v>
      </c>
      <c r="AB26" s="1559">
        <f t="shared" si="4"/>
        <v>1</v>
      </c>
      <c r="AC26" s="1559">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66"/>
      <c r="Q27" s="1144" t="str">
        <f t="shared" si="11"/>
        <v>道路级别</v>
      </c>
      <c r="R27" s="1551" t="s">
        <v>11</v>
      </c>
      <c r="S27" s="1552">
        <f>F27</f>
        <v>100</v>
      </c>
      <c r="T27" s="1551" t="s">
        <v>11</v>
      </c>
      <c r="U27" s="1552">
        <f>H27</f>
        <v>100</v>
      </c>
      <c r="V27" s="1551" t="s">
        <v>11</v>
      </c>
      <c r="W27" s="1552">
        <f>J27</f>
        <v>100</v>
      </c>
      <c r="X27" s="1553"/>
      <c r="Y27" s="3466"/>
      <c r="Z27" s="1143"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66"/>
      <c r="Q28" s="1555">
        <f t="shared" si="11"/>
        <v>111</v>
      </c>
      <c r="R28" s="1556" t="s">
        <v>11</v>
      </c>
      <c r="S28" s="1557">
        <f t="shared" ref="S28:S46" si="12">F28</f>
        <v>100</v>
      </c>
      <c r="T28" s="1556" t="s">
        <v>11</v>
      </c>
      <c r="U28" s="1557">
        <f t="shared" ref="U28:U46" si="13">H28</f>
        <v>100</v>
      </c>
      <c r="V28" s="1556" t="s">
        <v>11</v>
      </c>
      <c r="W28" s="1557">
        <f t="shared" ref="W28:W46" si="14">J28</f>
        <v>100</v>
      </c>
      <c r="X28" s="1550"/>
      <c r="Y28" s="3466"/>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66"/>
      <c r="Q29" s="1555">
        <f t="shared" si="11"/>
        <v>111</v>
      </c>
      <c r="R29" s="1556" t="s">
        <v>11</v>
      </c>
      <c r="S29" s="1557">
        <f t="shared" si="12"/>
        <v>100</v>
      </c>
      <c r="T29" s="1556" t="s">
        <v>11</v>
      </c>
      <c r="U29" s="1557">
        <f t="shared" si="13"/>
        <v>100</v>
      </c>
      <c r="V29" s="1556" t="s">
        <v>11</v>
      </c>
      <c r="W29" s="1557">
        <f t="shared" si="14"/>
        <v>100</v>
      </c>
      <c r="X29" s="1550"/>
      <c r="Y29" s="346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66"/>
      <c r="Q30" s="1555">
        <f t="shared" si="11"/>
        <v>111</v>
      </c>
      <c r="R30" s="1556" t="s">
        <v>11</v>
      </c>
      <c r="S30" s="1557">
        <f t="shared" si="12"/>
        <v>100</v>
      </c>
      <c r="T30" s="1556" t="s">
        <v>11</v>
      </c>
      <c r="U30" s="1557">
        <f t="shared" si="13"/>
        <v>100</v>
      </c>
      <c r="V30" s="1556" t="s">
        <v>11</v>
      </c>
      <c r="W30" s="1557">
        <f t="shared" si="14"/>
        <v>100</v>
      </c>
      <c r="X30" s="1550"/>
      <c r="Y30" s="3466"/>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66"/>
      <c r="Q31" s="1555">
        <f t="shared" si="11"/>
        <v>111</v>
      </c>
      <c r="R31" s="1556" t="s">
        <v>11</v>
      </c>
      <c r="S31" s="1557">
        <f t="shared" si="12"/>
        <v>100</v>
      </c>
      <c r="T31" s="1556" t="s">
        <v>11</v>
      </c>
      <c r="U31" s="1557">
        <f t="shared" si="13"/>
        <v>100</v>
      </c>
      <c r="V31" s="1556" t="s">
        <v>11</v>
      </c>
      <c r="W31" s="1557">
        <f t="shared" si="14"/>
        <v>100</v>
      </c>
      <c r="X31" s="1550"/>
      <c r="Y31" s="3466"/>
      <c r="Z31" s="1558">
        <f t="shared" si="15"/>
        <v>111</v>
      </c>
      <c r="AA31" s="1559">
        <f t="shared" si="3"/>
        <v>1</v>
      </c>
      <c r="AB31" s="1559">
        <f t="shared" si="4"/>
        <v>1</v>
      </c>
      <c r="AC31" s="1559">
        <f t="shared" si="5"/>
        <v>1</v>
      </c>
    </row>
    <row r="32" spans="1:29" ht="15">
      <c r="A32" s="2859" t="s">
        <v>2754</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467" t="s">
        <v>550</v>
      </c>
      <c r="Q32" s="1555" t="str">
        <f t="shared" si="11"/>
        <v>建筑类型</v>
      </c>
      <c r="R32" s="1556" t="s">
        <v>11</v>
      </c>
      <c r="S32" s="1557">
        <f t="shared" si="12"/>
        <v>100</v>
      </c>
      <c r="T32" s="1556" t="s">
        <v>11</v>
      </c>
      <c r="U32" s="1557">
        <f t="shared" si="13"/>
        <v>100</v>
      </c>
      <c r="V32" s="1556" t="s">
        <v>11</v>
      </c>
      <c r="W32" s="1557">
        <f t="shared" si="14"/>
        <v>100</v>
      </c>
      <c r="X32" s="1550"/>
      <c r="Y32" s="3468" t="s">
        <v>550</v>
      </c>
      <c r="Z32" s="1558" t="str">
        <f t="shared" si="15"/>
        <v>建筑类型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2"/>
      <c r="M33" s="2153"/>
      <c r="N33" s="2153"/>
      <c r="O33" s="2125"/>
      <c r="P33" s="3468"/>
      <c r="Q33" s="1587" t="str">
        <f t="shared" si="11"/>
        <v>项目建筑规模</v>
      </c>
      <c r="R33" s="1560" t="s">
        <v>11</v>
      </c>
      <c r="S33" s="1561" t="e">
        <f t="shared" si="12"/>
        <v>#N/A</v>
      </c>
      <c r="T33" s="1560" t="s">
        <v>11</v>
      </c>
      <c r="U33" s="1561" t="e">
        <f t="shared" si="13"/>
        <v>#N/A</v>
      </c>
      <c r="V33" s="1560" t="s">
        <v>11</v>
      </c>
      <c r="W33" s="1561" t="e">
        <f t="shared" si="14"/>
        <v>#N/A</v>
      </c>
      <c r="X33" s="1562"/>
      <c r="Y33" s="3468"/>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468"/>
      <c r="Q34" s="1555" t="str">
        <f t="shared" si="11"/>
        <v>建筑结构</v>
      </c>
      <c r="R34" s="1556" t="s">
        <v>11</v>
      </c>
      <c r="S34" s="1557">
        <f t="shared" si="12"/>
        <v>100</v>
      </c>
      <c r="T34" s="1556" t="s">
        <v>11</v>
      </c>
      <c r="U34" s="1557">
        <f t="shared" si="13"/>
        <v>100</v>
      </c>
      <c r="V34" s="1556" t="s">
        <v>11</v>
      </c>
      <c r="W34" s="1557">
        <f t="shared" si="14"/>
        <v>100</v>
      </c>
      <c r="X34" s="1550"/>
      <c r="Y34" s="3468"/>
      <c r="Z34" s="1558" t="str">
        <f t="shared" si="15"/>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68"/>
      <c r="Q35" s="1555" t="str">
        <f t="shared" si="11"/>
        <v>建筑品质</v>
      </c>
      <c r="R35" s="1556" t="s">
        <v>11</v>
      </c>
      <c r="S35" s="1557">
        <f t="shared" si="12"/>
        <v>100</v>
      </c>
      <c r="T35" s="1556" t="s">
        <v>11</v>
      </c>
      <c r="U35" s="1557">
        <f t="shared" si="13"/>
        <v>100</v>
      </c>
      <c r="V35" s="1556" t="s">
        <v>11</v>
      </c>
      <c r="W35" s="1557">
        <f t="shared" si="14"/>
        <v>100</v>
      </c>
      <c r="X35" s="1550"/>
      <c r="Y35" s="3468"/>
      <c r="Z35" s="1558" t="str">
        <f t="shared" si="15"/>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68"/>
      <c r="Q36" s="1555" t="str">
        <f t="shared" si="11"/>
        <v>公共部分装修</v>
      </c>
      <c r="R36" s="1556" t="s">
        <v>11</v>
      </c>
      <c r="S36" s="1557">
        <f t="shared" si="12"/>
        <v>100</v>
      </c>
      <c r="T36" s="1556" t="s">
        <v>11</v>
      </c>
      <c r="U36" s="1557">
        <f t="shared" si="13"/>
        <v>100</v>
      </c>
      <c r="V36" s="1556" t="s">
        <v>11</v>
      </c>
      <c r="W36" s="1557">
        <f t="shared" si="14"/>
        <v>100</v>
      </c>
      <c r="X36" s="1550"/>
      <c r="Y36" s="3468"/>
      <c r="Z36" s="1558" t="str">
        <f t="shared" si="15"/>
        <v>公共部分装修</v>
      </c>
      <c r="AA36" s="1559">
        <f t="shared" si="3"/>
        <v>1</v>
      </c>
      <c r="AB36" s="1559">
        <f t="shared" si="4"/>
        <v>1</v>
      </c>
      <c r="AC36" s="1559">
        <f t="shared" si="5"/>
        <v>1</v>
      </c>
    </row>
    <row r="37" spans="1:29" s="1213"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7"/>
      <c r="M37" s="2118"/>
      <c r="N37" s="2118"/>
      <c r="O37" s="2119"/>
      <c r="P37" s="3468"/>
      <c r="Q37" s="1144" t="str">
        <f t="shared" si="11"/>
        <v>成新度</v>
      </c>
      <c r="R37" s="1551" t="s">
        <v>11</v>
      </c>
      <c r="S37" s="1552" t="e">
        <f t="shared" si="12"/>
        <v>#N/A</v>
      </c>
      <c r="T37" s="1551" t="s">
        <v>11</v>
      </c>
      <c r="U37" s="1552" t="e">
        <f t="shared" si="13"/>
        <v>#N/A</v>
      </c>
      <c r="V37" s="1551" t="s">
        <v>11</v>
      </c>
      <c r="W37" s="1552" t="e">
        <f t="shared" si="14"/>
        <v>#N/A</v>
      </c>
      <c r="X37" s="1553"/>
      <c r="Y37" s="3468"/>
      <c r="Z37" s="1143" t="str">
        <f t="shared" si="15"/>
        <v>成新度</v>
      </c>
      <c r="AA37" s="1554" t="e">
        <f t="shared" si="3"/>
        <v>#N/A</v>
      </c>
      <c r="AB37" s="1554" t="e">
        <f t="shared" si="4"/>
        <v>#N/A</v>
      </c>
      <c r="AC37" s="1554"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68" t="s">
        <v>550</v>
      </c>
      <c r="Q38" s="1555" t="str">
        <f t="shared" si="11"/>
        <v>物业管理</v>
      </c>
      <c r="R38" s="1556" t="s">
        <v>11</v>
      </c>
      <c r="S38" s="1557">
        <f t="shared" si="12"/>
        <v>100</v>
      </c>
      <c r="T38" s="1556" t="s">
        <v>11</v>
      </c>
      <c r="U38" s="1557">
        <f t="shared" si="13"/>
        <v>100</v>
      </c>
      <c r="V38" s="1556" t="s">
        <v>11</v>
      </c>
      <c r="W38" s="1557">
        <f t="shared" si="14"/>
        <v>100</v>
      </c>
      <c r="X38" s="1550"/>
      <c r="Y38" s="3468" t="s">
        <v>550</v>
      </c>
      <c r="Z38" s="1558" t="str">
        <f t="shared" si="15"/>
        <v>物业管理</v>
      </c>
      <c r="AA38" s="1559">
        <f t="shared" si="3"/>
        <v>1</v>
      </c>
      <c r="AB38" s="1559">
        <f t="shared" si="4"/>
        <v>1</v>
      </c>
      <c r="AC38" s="1559">
        <f t="shared" si="5"/>
        <v>1</v>
      </c>
    </row>
    <row r="39" spans="1:29" ht="15">
      <c r="A39" s="592"/>
      <c r="B39" s="1877"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68"/>
      <c r="Q39" s="1555" t="str">
        <f t="shared" si="11"/>
        <v>市政基础设施</v>
      </c>
      <c r="R39" s="1556" t="s">
        <v>11</v>
      </c>
      <c r="S39" s="1557">
        <f t="shared" si="12"/>
        <v>100</v>
      </c>
      <c r="T39" s="1556" t="s">
        <v>11</v>
      </c>
      <c r="U39" s="1557">
        <f t="shared" si="13"/>
        <v>100</v>
      </c>
      <c r="V39" s="1556" t="s">
        <v>11</v>
      </c>
      <c r="W39" s="1557">
        <f t="shared" si="14"/>
        <v>100</v>
      </c>
      <c r="X39" s="1550"/>
      <c r="Y39" s="3468"/>
      <c r="Z39" s="1558" t="str">
        <f t="shared" si="15"/>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68"/>
      <c r="Q40" s="1555" t="str">
        <f t="shared" si="11"/>
        <v>房型</v>
      </c>
      <c r="R40" s="1556" t="s">
        <v>11</v>
      </c>
      <c r="S40" s="1557">
        <f t="shared" si="12"/>
        <v>100</v>
      </c>
      <c r="T40" s="1556" t="s">
        <v>11</v>
      </c>
      <c r="U40" s="1557">
        <f t="shared" si="13"/>
        <v>100</v>
      </c>
      <c r="V40" s="1556" t="s">
        <v>11</v>
      </c>
      <c r="W40" s="1557">
        <f t="shared" si="14"/>
        <v>100</v>
      </c>
      <c r="X40" s="1550"/>
      <c r="Y40" s="3468"/>
      <c r="Z40" s="1558" t="str">
        <f t="shared" si="15"/>
        <v>房型</v>
      </c>
      <c r="AA40" s="1559">
        <f t="shared" si="3"/>
        <v>1</v>
      </c>
      <c r="AB40" s="1559">
        <f t="shared" si="4"/>
        <v>1</v>
      </c>
      <c r="AC40" s="1559">
        <f t="shared" si="5"/>
        <v>1</v>
      </c>
    </row>
    <row r="41" spans="1:29" s="1332"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68"/>
      <c r="Q41" s="1587" t="str">
        <f t="shared" si="11"/>
        <v>单套/主力户型建筑面积</v>
      </c>
      <c r="R41" s="1560" t="s">
        <v>11</v>
      </c>
      <c r="S41" s="1561">
        <f t="shared" si="12"/>
        <v>100</v>
      </c>
      <c r="T41" s="1560" t="s">
        <v>11</v>
      </c>
      <c r="U41" s="1561">
        <f t="shared" si="13"/>
        <v>100</v>
      </c>
      <c r="V41" s="1560" t="s">
        <v>11</v>
      </c>
      <c r="W41" s="1561">
        <f t="shared" si="14"/>
        <v>100</v>
      </c>
      <c r="X41" s="1562"/>
      <c r="Y41" s="3468"/>
      <c r="Z41" s="1563" t="str">
        <f t="shared" si="15"/>
        <v>单套/主力户型建筑面积</v>
      </c>
      <c r="AA41" s="1559">
        <f t="shared" si="3"/>
        <v>1</v>
      </c>
      <c r="AB41" s="1559">
        <f t="shared" si="4"/>
        <v>1</v>
      </c>
      <c r="AC41" s="1559">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468"/>
      <c r="Q42" s="1555" t="str">
        <f t="shared" si="11"/>
        <v>内部装修</v>
      </c>
      <c r="R42" s="1556" t="s">
        <v>11</v>
      </c>
      <c r="S42" s="1557">
        <f t="shared" si="12"/>
        <v>100</v>
      </c>
      <c r="T42" s="1556" t="s">
        <v>11</v>
      </c>
      <c r="U42" s="1557">
        <f t="shared" si="13"/>
        <v>100</v>
      </c>
      <c r="V42" s="1556" t="s">
        <v>11</v>
      </c>
      <c r="W42" s="1557">
        <f t="shared" si="14"/>
        <v>100</v>
      </c>
      <c r="X42" s="1550"/>
      <c r="Y42" s="3468"/>
      <c r="Z42" s="1558" t="str">
        <f t="shared" si="15"/>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68"/>
      <c r="Q43" s="1555" t="str">
        <f t="shared" si="11"/>
        <v>内部装修维护情况</v>
      </c>
      <c r="R43" s="1556" t="s">
        <v>11</v>
      </c>
      <c r="S43" s="1557">
        <f t="shared" si="12"/>
        <v>100</v>
      </c>
      <c r="T43" s="1556" t="s">
        <v>11</v>
      </c>
      <c r="U43" s="1557">
        <f t="shared" si="13"/>
        <v>100</v>
      </c>
      <c r="V43" s="1556" t="s">
        <v>11</v>
      </c>
      <c r="W43" s="1557">
        <f t="shared" si="14"/>
        <v>100</v>
      </c>
      <c r="X43" s="1550"/>
      <c r="Y43" s="3468"/>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68"/>
      <c r="Q44" s="1144">
        <f t="shared" si="11"/>
        <v>111</v>
      </c>
      <c r="R44" s="1551" t="s">
        <v>11</v>
      </c>
      <c r="S44" s="1552">
        <f t="shared" si="12"/>
        <v>100</v>
      </c>
      <c r="T44" s="1551" t="s">
        <v>11</v>
      </c>
      <c r="U44" s="1552">
        <f t="shared" si="13"/>
        <v>100</v>
      </c>
      <c r="V44" s="1551" t="s">
        <v>11</v>
      </c>
      <c r="W44" s="1552">
        <f t="shared" si="14"/>
        <v>100</v>
      </c>
      <c r="X44" s="1553"/>
      <c r="Y44" s="3468"/>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68"/>
      <c r="Q45" s="1555">
        <f t="shared" si="11"/>
        <v>111</v>
      </c>
      <c r="R45" s="1556" t="s">
        <v>11</v>
      </c>
      <c r="S45" s="1557">
        <f t="shared" si="12"/>
        <v>100</v>
      </c>
      <c r="T45" s="1556" t="s">
        <v>11</v>
      </c>
      <c r="U45" s="1557">
        <f t="shared" si="13"/>
        <v>100</v>
      </c>
      <c r="V45" s="1556" t="s">
        <v>11</v>
      </c>
      <c r="W45" s="1557">
        <f t="shared" si="14"/>
        <v>100</v>
      </c>
      <c r="X45" s="1550"/>
      <c r="Y45" s="3468"/>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47"/>
      <c r="Q46" s="1555">
        <f t="shared" si="11"/>
        <v>111</v>
      </c>
      <c r="R46" s="1556" t="s">
        <v>10</v>
      </c>
      <c r="S46" s="1557">
        <f t="shared" si="12"/>
        <v>100</v>
      </c>
      <c r="T46" s="1556" t="s">
        <v>10</v>
      </c>
      <c r="U46" s="1557">
        <f t="shared" si="13"/>
        <v>100</v>
      </c>
      <c r="V46" s="1556" t="s">
        <v>10</v>
      </c>
      <c r="W46" s="1557">
        <f t="shared" si="14"/>
        <v>100</v>
      </c>
      <c r="X46" s="1550"/>
      <c r="Y46" s="3547"/>
      <c r="Z46" s="1558">
        <f t="shared" si="15"/>
        <v>111</v>
      </c>
      <c r="AA46" s="1559">
        <f t="shared" si="3"/>
        <v>1</v>
      </c>
      <c r="AB46" s="1559">
        <f t="shared" si="4"/>
        <v>1</v>
      </c>
      <c r="AC46" s="1559">
        <f t="shared" si="5"/>
        <v>1</v>
      </c>
    </row>
    <row r="47" spans="1:29" ht="15">
      <c r="A47" s="605" t="s">
        <v>736</v>
      </c>
      <c r="B47" s="885"/>
      <c r="C47" s="2588" t="s">
        <v>9</v>
      </c>
      <c r="D47" s="2589"/>
      <c r="E47" s="2590"/>
      <c r="F47" s="2591"/>
      <c r="G47" s="2592"/>
      <c r="H47" s="2593"/>
      <c r="I47" s="2590"/>
      <c r="J47" s="2593"/>
      <c r="K47" s="1588"/>
      <c r="L47" s="2126"/>
      <c r="M47" s="2127"/>
      <c r="N47" s="2116"/>
      <c r="O47" s="2127"/>
      <c r="P47" s="3430" t="str">
        <f>A47</f>
        <v>成交单价（元/平方米）</v>
      </c>
      <c r="Q47" s="3430"/>
      <c r="R47" s="3546">
        <f>E47</f>
        <v>0</v>
      </c>
      <c r="S47" s="3546"/>
      <c r="T47" s="3546">
        <f>G47</f>
        <v>0</v>
      </c>
      <c r="U47" s="3546"/>
      <c r="V47" s="3546">
        <f>I47</f>
        <v>0</v>
      </c>
      <c r="W47" s="3546"/>
      <c r="X47" s="1542"/>
      <c r="Y47" s="1564"/>
      <c r="Z47" s="1542"/>
      <c r="AA47" s="1542"/>
      <c r="AB47" s="1542"/>
      <c r="AC47" s="1542"/>
    </row>
    <row r="48" spans="1:29" ht="15.75" thickBot="1">
      <c r="A48" s="613" t="s">
        <v>2759</v>
      </c>
      <c r="B48" s="886"/>
      <c r="C48" s="2594" t="e">
        <f>R49</f>
        <v>#DIV/0!</v>
      </c>
      <c r="D48" s="2595"/>
      <c r="E48" s="2596" t="e">
        <f>R48</f>
        <v>#DIV/0!</v>
      </c>
      <c r="F48" s="2596"/>
      <c r="G48" s="2594" t="e">
        <f>T48</f>
        <v>#DIV/0!</v>
      </c>
      <c r="H48" s="2595"/>
      <c r="I48" s="2596" t="e">
        <f>V48</f>
        <v>#DIV/0!</v>
      </c>
      <c r="J48" s="2595"/>
      <c r="K48" s="1589"/>
      <c r="L48" s="2126"/>
      <c r="M48" s="2127"/>
      <c r="N48" s="2127"/>
      <c r="O48" s="2127"/>
      <c r="P48" s="3430" t="str">
        <f>A48</f>
        <v>比较价格（元/平方米）</v>
      </c>
      <c r="Q48" s="3430"/>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0"/>
      <c r="L49" s="2126"/>
      <c r="M49" s="2127"/>
      <c r="N49" s="2127"/>
      <c r="O49" s="2127"/>
      <c r="P49" s="3427" t="str">
        <f>A49</f>
        <v>估价对象XX用房的比较价格（楼面单价，元/平方米）</v>
      </c>
      <c r="Q49" s="3428"/>
      <c r="R49" s="3545" t="e">
        <f>IF(F1="售价",ROUND(AVERAGE(R48:V48),0),ROUND(AVERAGE(R48:V48),1))</f>
        <v>#DIV/0!</v>
      </c>
      <c r="S49" s="3545"/>
      <c r="T49" s="3545"/>
      <c r="U49" s="3545"/>
      <c r="V49" s="3545"/>
      <c r="W49" s="354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2556</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2557</v>
      </c>
      <c r="C82" s="2559" t="s">
        <v>2558</v>
      </c>
      <c r="D82" s="2559" t="s">
        <v>2559</v>
      </c>
      <c r="E82" s="2559" t="s">
        <v>2560</v>
      </c>
      <c r="F82" s="2559" t="s">
        <v>2561</v>
      </c>
      <c r="G82" s="2559" t="s">
        <v>2562</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2256</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2555</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36" t="s">
        <v>522</v>
      </c>
      <c r="D4" s="3437"/>
      <c r="E4" s="3471" t="s">
        <v>523</v>
      </c>
      <c r="F4" s="3472"/>
      <c r="G4" s="3436" t="s">
        <v>524</v>
      </c>
      <c r="H4" s="3437"/>
      <c r="I4" s="3436" t="s">
        <v>525</v>
      </c>
      <c r="J4" s="3437"/>
      <c r="K4" s="512" t="s">
        <v>526</v>
      </c>
      <c r="L4" s="2115"/>
      <c r="M4" s="2116"/>
      <c r="N4" s="2116"/>
      <c r="O4" s="2116"/>
      <c r="P4" s="3438" t="s">
        <v>527</v>
      </c>
      <c r="Q4" s="3439"/>
      <c r="R4" s="3444" t="s">
        <v>523</v>
      </c>
      <c r="S4" s="3445"/>
      <c r="T4" s="3444" t="s">
        <v>524</v>
      </c>
      <c r="U4" s="3445"/>
      <c r="V4" s="3431" t="s">
        <v>525</v>
      </c>
      <c r="W4" s="3431"/>
      <c r="X4" s="1550"/>
      <c r="Y4" s="3444" t="s">
        <v>527</v>
      </c>
      <c r="Z4" s="3445"/>
      <c r="AA4" s="3433" t="s">
        <v>523</v>
      </c>
      <c r="AB4" s="3431" t="s">
        <v>524</v>
      </c>
      <c r="AC4" s="3433" t="s">
        <v>525</v>
      </c>
    </row>
    <row r="5" spans="1:29" ht="15">
      <c r="A5" s="513"/>
      <c r="B5" s="514"/>
      <c r="C5" s="3454" t="s">
        <v>2927</v>
      </c>
      <c r="D5" s="3453"/>
      <c r="E5" s="3473" t="s">
        <v>2928</v>
      </c>
      <c r="F5" s="3474"/>
      <c r="G5" s="3454" t="s">
        <v>2929</v>
      </c>
      <c r="H5" s="3453"/>
      <c r="I5" s="3454" t="s">
        <v>2930</v>
      </c>
      <c r="J5" s="3453"/>
      <c r="K5" s="512"/>
      <c r="L5" s="2115"/>
      <c r="M5" s="2116"/>
      <c r="N5" s="2116"/>
      <c r="O5" s="2116"/>
      <c r="P5" s="3440"/>
      <c r="Q5" s="3441"/>
      <c r="R5" s="3446"/>
      <c r="S5" s="3447"/>
      <c r="T5" s="3446"/>
      <c r="U5" s="3447"/>
      <c r="V5" s="3431"/>
      <c r="W5" s="3431"/>
      <c r="X5" s="1550"/>
      <c r="Y5" s="3446"/>
      <c r="Z5" s="3447"/>
      <c r="AA5" s="3434"/>
      <c r="AB5" s="3431"/>
      <c r="AC5" s="3434"/>
    </row>
    <row r="6" spans="1:29" ht="15.75" thickBot="1">
      <c r="A6" s="515"/>
      <c r="B6" s="516"/>
      <c r="C6" s="3450" t="s">
        <v>2931</v>
      </c>
      <c r="D6" s="3451"/>
      <c r="E6" s="3469" t="s">
        <v>2931</v>
      </c>
      <c r="F6" s="3470"/>
      <c r="G6" s="3450" t="s">
        <v>2931</v>
      </c>
      <c r="H6" s="3451"/>
      <c r="I6" s="3450" t="s">
        <v>2931</v>
      </c>
      <c r="J6" s="3451"/>
      <c r="K6" s="512" t="s">
        <v>528</v>
      </c>
      <c r="L6" s="2115"/>
      <c r="M6" s="2116"/>
      <c r="N6" s="2116"/>
      <c r="O6" s="2116"/>
      <c r="P6" s="3442"/>
      <c r="Q6" s="3443"/>
      <c r="R6" s="3446"/>
      <c r="S6" s="3447"/>
      <c r="T6" s="3448"/>
      <c r="U6" s="3449"/>
      <c r="V6" s="3431"/>
      <c r="W6" s="3431"/>
      <c r="X6" s="1550"/>
      <c r="Y6" s="3448"/>
      <c r="Z6" s="3449"/>
      <c r="AA6" s="3435"/>
      <c r="AB6" s="3431"/>
      <c r="AC6" s="3435"/>
    </row>
    <row r="7" spans="1:29" s="1213" customFormat="1" ht="15.75" thickBot="1">
      <c r="A7" s="2864"/>
      <c r="B7" s="2871" t="s">
        <v>529</v>
      </c>
      <c r="C7" s="517">
        <f>'数据-取费表'!B2</f>
        <v>43691</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62" t="s">
        <v>530</v>
      </c>
      <c r="Q7" s="3464"/>
      <c r="R7" s="1551" t="s">
        <v>8</v>
      </c>
      <c r="S7" s="1552">
        <f t="shared" ref="S7:S15" si="0">F7</f>
        <v>0</v>
      </c>
      <c r="T7" s="1551" t="s">
        <v>8</v>
      </c>
      <c r="U7" s="1552">
        <f t="shared" ref="U7:U15" si="1">H7</f>
        <v>0</v>
      </c>
      <c r="V7" s="1551" t="s">
        <v>8</v>
      </c>
      <c r="W7" s="1552">
        <f t="shared" ref="W7:W15" si="2">J7</f>
        <v>0</v>
      </c>
      <c r="X7" s="1553"/>
      <c r="Y7" s="3462" t="s">
        <v>530</v>
      </c>
      <c r="Z7" s="3463"/>
      <c r="AA7" s="1554" t="e">
        <f>D7/F7</f>
        <v>#DIV/0!</v>
      </c>
      <c r="AB7" s="1554" t="e">
        <f>D7/H7</f>
        <v>#DIV/0!</v>
      </c>
      <c r="AC7" s="1554" t="e">
        <f>D7/J7</f>
        <v>#DIV/0!</v>
      </c>
    </row>
    <row r="8" spans="1:29" s="1213"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62" t="s">
        <v>533</v>
      </c>
      <c r="Q8" s="3463"/>
      <c r="R8" s="1551" t="s">
        <v>8</v>
      </c>
      <c r="S8" s="1552">
        <f t="shared" si="0"/>
        <v>0</v>
      </c>
      <c r="T8" s="1551" t="s">
        <v>8</v>
      </c>
      <c r="U8" s="1552">
        <f t="shared" si="1"/>
        <v>0</v>
      </c>
      <c r="V8" s="1551" t="s">
        <v>8</v>
      </c>
      <c r="W8" s="1552">
        <f t="shared" si="2"/>
        <v>0</v>
      </c>
      <c r="X8" s="1553"/>
      <c r="Y8" s="3462" t="s">
        <v>533</v>
      </c>
      <c r="Z8" s="3463"/>
      <c r="AA8" s="1554" t="e">
        <f t="shared" ref="AA8:AA46" si="3">D8/F8</f>
        <v>#DIV/0!</v>
      </c>
      <c r="AB8" s="1554" t="e">
        <f t="shared" ref="AB8:AB46" si="4">D8/H8</f>
        <v>#DIV/0!</v>
      </c>
      <c r="AC8" s="1554" t="e">
        <f t="shared" ref="AC8:AC46" si="5">D8/J8</f>
        <v>#DIV/0!</v>
      </c>
    </row>
    <row r="9" spans="1:29" s="1213" customFormat="1" ht="15">
      <c r="A9" s="2866"/>
      <c r="B9" s="2873" t="s">
        <v>2755</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30"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30"/>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30"/>
      <c r="Q11" s="1144" t="str">
        <f t="shared" si="6"/>
        <v>容积率</v>
      </c>
      <c r="R11" s="1551" t="s">
        <v>8</v>
      </c>
      <c r="S11" s="1552" t="e">
        <f t="shared" si="0"/>
        <v>#N/A</v>
      </c>
      <c r="T11" s="1551" t="s">
        <v>8</v>
      </c>
      <c r="U11" s="1552" t="e">
        <f t="shared" si="1"/>
        <v>#N/A</v>
      </c>
      <c r="V11" s="1551" t="s">
        <v>8</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430"/>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430"/>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430"/>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 t="shared" si="3"/>
        <v>1</v>
      </c>
      <c r="AB14" s="1554">
        <f t="shared" si="4"/>
        <v>1</v>
      </c>
      <c r="AC14" s="1554">
        <f t="shared" si="5"/>
        <v>1</v>
      </c>
    </row>
    <row r="15" spans="1:29" ht="71.25">
      <c r="A15" s="2862"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65" t="s">
        <v>540</v>
      </c>
      <c r="Q15" s="1555" t="str">
        <f t="shared" si="6"/>
        <v>商业繁华度</v>
      </c>
      <c r="R15" s="1556" t="s">
        <v>8</v>
      </c>
      <c r="S15" s="1557">
        <f t="shared" si="0"/>
        <v>100</v>
      </c>
      <c r="T15" s="1556" t="s">
        <v>8</v>
      </c>
      <c r="U15" s="1557">
        <f t="shared" si="1"/>
        <v>100</v>
      </c>
      <c r="V15" s="1556" t="s">
        <v>8</v>
      </c>
      <c r="W15" s="1557">
        <f t="shared" si="2"/>
        <v>100</v>
      </c>
      <c r="X15" s="1550"/>
      <c r="Y15" s="3465"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66"/>
      <c r="Q16" s="1555"/>
      <c r="R16" s="1556"/>
      <c r="S16" s="1557"/>
      <c r="T16" s="1556"/>
      <c r="U16" s="1557"/>
      <c r="V16" s="1556"/>
      <c r="W16" s="1557"/>
      <c r="X16" s="1550"/>
      <c r="Y16" s="3466"/>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66"/>
      <c r="Q17" s="1555" t="str">
        <f>B17</f>
        <v>交通便捷度</v>
      </c>
      <c r="R17" s="1556" t="s">
        <v>8</v>
      </c>
      <c r="S17" s="1557">
        <f>F17</f>
        <v>100</v>
      </c>
      <c r="T17" s="1556" t="s">
        <v>8</v>
      </c>
      <c r="U17" s="1557">
        <f>H17</f>
        <v>100</v>
      </c>
      <c r="V17" s="1556" t="s">
        <v>8</v>
      </c>
      <c r="W17" s="1557">
        <f>J17</f>
        <v>100</v>
      </c>
      <c r="X17" s="1550"/>
      <c r="Y17" s="346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66"/>
      <c r="Q18" s="1555"/>
      <c r="R18" s="1556"/>
      <c r="S18" s="1557"/>
      <c r="T18" s="1556"/>
      <c r="U18" s="1557"/>
      <c r="V18" s="1556"/>
      <c r="W18" s="1557"/>
      <c r="X18" s="1550"/>
      <c r="Y18" s="3466"/>
      <c r="Z18" s="1558"/>
      <c r="AA18" s="1559">
        <v>1</v>
      </c>
      <c r="AB18" s="1559">
        <v>1</v>
      </c>
      <c r="AC18" s="1559">
        <v>1</v>
      </c>
    </row>
    <row r="19" spans="1:29" ht="42.75">
      <c r="A19" s="530"/>
      <c r="B19" s="2561"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66"/>
      <c r="Q19" s="1555" t="str">
        <f>B19</f>
        <v>公共配套设施</v>
      </c>
      <c r="R19" s="1556" t="s">
        <v>8</v>
      </c>
      <c r="S19" s="1557">
        <f>F19</f>
        <v>100</v>
      </c>
      <c r="T19" s="1556" t="s">
        <v>8</v>
      </c>
      <c r="U19" s="1557">
        <f>H19</f>
        <v>100</v>
      </c>
      <c r="V19" s="1556" t="s">
        <v>8</v>
      </c>
      <c r="W19" s="1557">
        <f>J19</f>
        <v>100</v>
      </c>
      <c r="X19" s="1550"/>
      <c r="Y19" s="346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66"/>
      <c r="Q20" s="1555"/>
      <c r="R20" s="1556"/>
      <c r="S20" s="1557"/>
      <c r="T20" s="1556"/>
      <c r="U20" s="1557"/>
      <c r="V20" s="1556"/>
      <c r="W20" s="1557"/>
      <c r="X20" s="1550"/>
      <c r="Y20" s="3466"/>
      <c r="Z20" s="1558"/>
      <c r="AA20" s="1559">
        <v>1</v>
      </c>
      <c r="AB20" s="1559">
        <v>1</v>
      </c>
      <c r="AC20" s="1559">
        <v>1</v>
      </c>
    </row>
    <row r="21" spans="1:29" ht="28.5">
      <c r="A21" s="530"/>
      <c r="B21" s="2554"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66"/>
      <c r="Q21" s="2540" t="str">
        <f>B21</f>
        <v>基础设施水平</v>
      </c>
      <c r="R21" s="1556" t="s">
        <v>8</v>
      </c>
      <c r="S21" s="1557">
        <f>F21</f>
        <v>100</v>
      </c>
      <c r="T21" s="1556" t="s">
        <v>8</v>
      </c>
      <c r="U21" s="1557">
        <f>H21</f>
        <v>100</v>
      </c>
      <c r="V21" s="1556" t="s">
        <v>8</v>
      </c>
      <c r="W21" s="1557">
        <f>J21</f>
        <v>100</v>
      </c>
      <c r="X21" s="2542"/>
      <c r="Y21" s="346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66"/>
      <c r="Q22" s="2540"/>
      <c r="R22" s="1556"/>
      <c r="S22" s="1557"/>
      <c r="T22" s="1556"/>
      <c r="U22" s="1557"/>
      <c r="V22" s="1556"/>
      <c r="W22" s="1557"/>
      <c r="X22" s="2542"/>
      <c r="Y22" s="3466"/>
      <c r="Z22" s="2541"/>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66"/>
      <c r="Q23" s="1555" t="str">
        <f>B23</f>
        <v>自然及人文环境</v>
      </c>
      <c r="R23" s="1556" t="s">
        <v>8</v>
      </c>
      <c r="S23" s="1557">
        <f>F23</f>
        <v>100</v>
      </c>
      <c r="T23" s="1556" t="s">
        <v>8</v>
      </c>
      <c r="U23" s="1557">
        <f>H23</f>
        <v>100</v>
      </c>
      <c r="V23" s="1556" t="s">
        <v>8</v>
      </c>
      <c r="W23" s="1557">
        <f>J23</f>
        <v>100</v>
      </c>
      <c r="X23" s="1550"/>
      <c r="Y23" s="346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66"/>
      <c r="Q24" s="1555"/>
      <c r="R24" s="1556"/>
      <c r="S24" s="1557"/>
      <c r="T24" s="1556"/>
      <c r="U24" s="1557"/>
      <c r="V24" s="1556"/>
      <c r="W24" s="1557"/>
      <c r="X24" s="1550"/>
      <c r="Y24" s="3466"/>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66"/>
      <c r="Q25" s="1555" t="str">
        <f t="shared" ref="Q25:Q46" si="11">B25</f>
        <v>临街状况</v>
      </c>
      <c r="R25" s="1556" t="s">
        <v>8</v>
      </c>
      <c r="S25" s="1557">
        <f>F25</f>
        <v>100</v>
      </c>
      <c r="T25" s="1556" t="s">
        <v>8</v>
      </c>
      <c r="U25" s="1557">
        <f>H25</f>
        <v>100</v>
      </c>
      <c r="V25" s="1556" t="s">
        <v>8</v>
      </c>
      <c r="W25" s="1557">
        <f>J25</f>
        <v>100</v>
      </c>
      <c r="X25" s="1550"/>
      <c r="Y25" s="3466"/>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66"/>
      <c r="Q26" s="1555" t="str">
        <f t="shared" si="11"/>
        <v>平面位置/可视性</v>
      </c>
      <c r="R26" s="1556" t="s">
        <v>8</v>
      </c>
      <c r="S26" s="1557">
        <f>F26</f>
        <v>100</v>
      </c>
      <c r="T26" s="1556" t="s">
        <v>8</v>
      </c>
      <c r="U26" s="1557">
        <f>H26</f>
        <v>100</v>
      </c>
      <c r="V26" s="1556" t="s">
        <v>8</v>
      </c>
      <c r="W26" s="1557">
        <f>J26</f>
        <v>100</v>
      </c>
      <c r="X26" s="1550"/>
      <c r="Y26" s="3466"/>
      <c r="Z26" s="1558" t="str">
        <f>Q26</f>
        <v>平面位置/可视性</v>
      </c>
      <c r="AA26" s="1559">
        <f t="shared" si="3"/>
        <v>1</v>
      </c>
      <c r="AB26" s="1559">
        <f t="shared" si="4"/>
        <v>1</v>
      </c>
      <c r="AC26" s="1559">
        <f t="shared" si="5"/>
        <v>1</v>
      </c>
    </row>
    <row r="27" spans="1:29" s="1213"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66"/>
      <c r="Q27" s="1144" t="str">
        <f t="shared" si="11"/>
        <v>人流量</v>
      </c>
      <c r="R27" s="1551" t="s">
        <v>8</v>
      </c>
      <c r="S27" s="1552">
        <f>F27</f>
        <v>100</v>
      </c>
      <c r="T27" s="1551" t="s">
        <v>8</v>
      </c>
      <c r="U27" s="1552">
        <f>H27</f>
        <v>100</v>
      </c>
      <c r="V27" s="1551" t="s">
        <v>8</v>
      </c>
      <c r="W27" s="1552">
        <f>J27</f>
        <v>100</v>
      </c>
      <c r="X27" s="1553"/>
      <c r="Y27" s="3466"/>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6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6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66"/>
      <c r="Q29" s="1555">
        <f t="shared" si="11"/>
        <v>111</v>
      </c>
      <c r="R29" s="1556" t="s">
        <v>8</v>
      </c>
      <c r="S29" s="1557">
        <f t="shared" si="12"/>
        <v>100</v>
      </c>
      <c r="T29" s="1556" t="s">
        <v>8</v>
      </c>
      <c r="U29" s="1557">
        <f t="shared" si="13"/>
        <v>100</v>
      </c>
      <c r="V29" s="1556" t="s">
        <v>8</v>
      </c>
      <c r="W29" s="1557">
        <f t="shared" si="14"/>
        <v>100</v>
      </c>
      <c r="X29" s="1550"/>
      <c r="Y29" s="346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66"/>
      <c r="Q30" s="1555">
        <f t="shared" si="11"/>
        <v>111</v>
      </c>
      <c r="R30" s="1556" t="s">
        <v>8</v>
      </c>
      <c r="S30" s="1557">
        <f t="shared" si="12"/>
        <v>100</v>
      </c>
      <c r="T30" s="1556" t="s">
        <v>8</v>
      </c>
      <c r="U30" s="1557">
        <f t="shared" si="13"/>
        <v>100</v>
      </c>
      <c r="V30" s="1556" t="s">
        <v>8</v>
      </c>
      <c r="W30" s="1557">
        <f t="shared" si="14"/>
        <v>100</v>
      </c>
      <c r="X30" s="1550"/>
      <c r="Y30" s="3466"/>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66"/>
      <c r="Q31" s="1555">
        <f t="shared" si="11"/>
        <v>111</v>
      </c>
      <c r="R31" s="1556" t="s">
        <v>8</v>
      </c>
      <c r="S31" s="1557">
        <f t="shared" si="12"/>
        <v>100</v>
      </c>
      <c r="T31" s="1556" t="s">
        <v>8</v>
      </c>
      <c r="U31" s="1557">
        <f t="shared" si="13"/>
        <v>100</v>
      </c>
      <c r="V31" s="1556" t="s">
        <v>8</v>
      </c>
      <c r="W31" s="1557">
        <f t="shared" si="14"/>
        <v>100</v>
      </c>
      <c r="X31" s="1550"/>
      <c r="Y31" s="3466"/>
      <c r="Z31" s="1558">
        <f t="shared" si="15"/>
        <v>111</v>
      </c>
      <c r="AA31" s="1559">
        <f t="shared" si="3"/>
        <v>1</v>
      </c>
      <c r="AB31" s="1559">
        <f t="shared" si="4"/>
        <v>1</v>
      </c>
      <c r="AC31" s="1559">
        <f t="shared" si="5"/>
        <v>1</v>
      </c>
    </row>
    <row r="32" spans="1:29" ht="15">
      <c r="A32" s="2859"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67" t="s">
        <v>550</v>
      </c>
      <c r="Q32" s="1555" t="str">
        <f t="shared" si="11"/>
        <v>商业类型</v>
      </c>
      <c r="R32" s="1556" t="s">
        <v>8</v>
      </c>
      <c r="S32" s="1557">
        <f t="shared" si="12"/>
        <v>100</v>
      </c>
      <c r="T32" s="1556" t="s">
        <v>8</v>
      </c>
      <c r="U32" s="1557">
        <f t="shared" si="13"/>
        <v>100</v>
      </c>
      <c r="V32" s="1556" t="s">
        <v>8</v>
      </c>
      <c r="W32" s="1557">
        <f t="shared" si="14"/>
        <v>100</v>
      </c>
      <c r="X32" s="1550"/>
      <c r="Y32" s="3468" t="s">
        <v>550</v>
      </c>
      <c r="Z32" s="1558" t="str">
        <f t="shared" si="15"/>
        <v>商业类型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68"/>
      <c r="Q33" s="1587" t="str">
        <f t="shared" si="11"/>
        <v>项目建筑规模</v>
      </c>
      <c r="R33" s="1560" t="s">
        <v>8</v>
      </c>
      <c r="S33" s="1561" t="e">
        <f t="shared" si="12"/>
        <v>#N/A</v>
      </c>
      <c r="T33" s="1560" t="s">
        <v>8</v>
      </c>
      <c r="U33" s="1561" t="e">
        <f t="shared" si="13"/>
        <v>#N/A</v>
      </c>
      <c r="V33" s="1560" t="s">
        <v>8</v>
      </c>
      <c r="W33" s="1561" t="e">
        <f t="shared" si="14"/>
        <v>#N/A</v>
      </c>
      <c r="X33" s="1562"/>
      <c r="Y33" s="3468"/>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68"/>
      <c r="Q34" s="1555" t="str">
        <f t="shared" si="11"/>
        <v>建筑结构</v>
      </c>
      <c r="R34" s="1556" t="s">
        <v>8</v>
      </c>
      <c r="S34" s="1557">
        <f t="shared" si="12"/>
        <v>100</v>
      </c>
      <c r="T34" s="1556" t="s">
        <v>8</v>
      </c>
      <c r="U34" s="1557">
        <f t="shared" si="13"/>
        <v>100</v>
      </c>
      <c r="V34" s="1556" t="s">
        <v>8</v>
      </c>
      <c r="W34" s="1557">
        <f t="shared" si="14"/>
        <v>100</v>
      </c>
      <c r="X34" s="1550"/>
      <c r="Y34" s="3468"/>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68"/>
      <c r="Q35" s="1555" t="str">
        <f t="shared" si="11"/>
        <v>公共部分装修</v>
      </c>
      <c r="R35" s="1556" t="s">
        <v>8</v>
      </c>
      <c r="S35" s="1557">
        <f t="shared" si="12"/>
        <v>100</v>
      </c>
      <c r="T35" s="1556" t="s">
        <v>8</v>
      </c>
      <c r="U35" s="1557">
        <f t="shared" si="13"/>
        <v>100</v>
      </c>
      <c r="V35" s="1556" t="s">
        <v>8</v>
      </c>
      <c r="W35" s="1557">
        <f t="shared" si="14"/>
        <v>100</v>
      </c>
      <c r="X35" s="1550"/>
      <c r="Y35" s="3468"/>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68"/>
      <c r="Q36" s="1555" t="str">
        <f t="shared" si="11"/>
        <v>成新度</v>
      </c>
      <c r="R36" s="1556" t="s">
        <v>8</v>
      </c>
      <c r="S36" s="1557" t="e">
        <f t="shared" si="12"/>
        <v>#N/A</v>
      </c>
      <c r="T36" s="1556" t="s">
        <v>8</v>
      </c>
      <c r="U36" s="1557" t="e">
        <f t="shared" si="13"/>
        <v>#N/A</v>
      </c>
      <c r="V36" s="1556" t="s">
        <v>8</v>
      </c>
      <c r="W36" s="1557" t="e">
        <f t="shared" si="14"/>
        <v>#N/A</v>
      </c>
      <c r="X36" s="1550"/>
      <c r="Y36" s="3468"/>
      <c r="Z36" s="1558" t="str">
        <f t="shared" si="15"/>
        <v>成新度</v>
      </c>
      <c r="AA36" s="1559" t="e">
        <f t="shared" si="3"/>
        <v>#N/A</v>
      </c>
      <c r="AB36" s="1559" t="e">
        <f t="shared" si="4"/>
        <v>#N/A</v>
      </c>
      <c r="AC36" s="1559" t="e">
        <f t="shared" si="5"/>
        <v>#N/A</v>
      </c>
    </row>
    <row r="37" spans="1:29" s="1213" customFormat="1" ht="15">
      <c r="A37" s="598"/>
      <c r="B37" s="1877"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68"/>
      <c r="Q37" s="1144" t="str">
        <f t="shared" si="11"/>
        <v>市政基础设施</v>
      </c>
      <c r="R37" s="1551" t="s">
        <v>8</v>
      </c>
      <c r="S37" s="1552">
        <f t="shared" si="12"/>
        <v>100</v>
      </c>
      <c r="T37" s="1551" t="s">
        <v>8</v>
      </c>
      <c r="U37" s="1552">
        <f t="shared" si="13"/>
        <v>100</v>
      </c>
      <c r="V37" s="1551" t="s">
        <v>8</v>
      </c>
      <c r="W37" s="1552">
        <f t="shared" si="14"/>
        <v>100</v>
      </c>
      <c r="X37" s="1553"/>
      <c r="Y37" s="3468"/>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68" t="s">
        <v>766</v>
      </c>
      <c r="Q38" s="1555" t="str">
        <f t="shared" si="11"/>
        <v>业态</v>
      </c>
      <c r="R38" s="1556" t="s">
        <v>8</v>
      </c>
      <c r="S38" s="1557">
        <f t="shared" si="12"/>
        <v>100</v>
      </c>
      <c r="T38" s="1556" t="s">
        <v>8</v>
      </c>
      <c r="U38" s="1557">
        <f t="shared" si="13"/>
        <v>100</v>
      </c>
      <c r="V38" s="1556" t="s">
        <v>8</v>
      </c>
      <c r="W38" s="1557">
        <f t="shared" si="14"/>
        <v>100</v>
      </c>
      <c r="X38" s="1550"/>
      <c r="Y38" s="3468"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68"/>
      <c r="Q39" s="1555" t="str">
        <f t="shared" si="11"/>
        <v>层高</v>
      </c>
      <c r="R39" s="1556" t="s">
        <v>8</v>
      </c>
      <c r="S39" s="1557">
        <f t="shared" si="12"/>
        <v>100</v>
      </c>
      <c r="T39" s="1556" t="s">
        <v>8</v>
      </c>
      <c r="U39" s="1557">
        <f t="shared" si="13"/>
        <v>100</v>
      </c>
      <c r="V39" s="1556" t="s">
        <v>8</v>
      </c>
      <c r="W39" s="1557">
        <f t="shared" si="14"/>
        <v>100</v>
      </c>
      <c r="X39" s="1550"/>
      <c r="Y39" s="3468"/>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68"/>
      <c r="Q40" s="1555" t="str">
        <f t="shared" si="11"/>
        <v>单套建筑面积</v>
      </c>
      <c r="R40" s="1556" t="s">
        <v>8</v>
      </c>
      <c r="S40" s="1557">
        <f t="shared" si="12"/>
        <v>100</v>
      </c>
      <c r="T40" s="1556" t="s">
        <v>8</v>
      </c>
      <c r="U40" s="1557">
        <f t="shared" si="13"/>
        <v>100</v>
      </c>
      <c r="V40" s="1556" t="s">
        <v>8</v>
      </c>
      <c r="W40" s="1557">
        <f t="shared" si="14"/>
        <v>100</v>
      </c>
      <c r="X40" s="1550"/>
      <c r="Y40" s="3468"/>
      <c r="Z40" s="1558" t="str">
        <f t="shared" si="15"/>
        <v>单套建筑面积</v>
      </c>
      <c r="AA40" s="1559">
        <f t="shared" si="3"/>
        <v>1</v>
      </c>
      <c r="AB40" s="1559">
        <f t="shared" si="4"/>
        <v>1</v>
      </c>
      <c r="AC40" s="1559">
        <f t="shared" si="5"/>
        <v>1</v>
      </c>
    </row>
    <row r="41" spans="1:29" s="1332"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68"/>
      <c r="Q41" s="1587" t="str">
        <f t="shared" si="11"/>
        <v>进深比</v>
      </c>
      <c r="R41" s="1560" t="s">
        <v>8</v>
      </c>
      <c r="S41" s="1561">
        <f t="shared" si="12"/>
        <v>100</v>
      </c>
      <c r="T41" s="1560" t="s">
        <v>8</v>
      </c>
      <c r="U41" s="1561">
        <f t="shared" si="13"/>
        <v>100</v>
      </c>
      <c r="V41" s="1560" t="s">
        <v>8</v>
      </c>
      <c r="W41" s="1561">
        <f t="shared" si="14"/>
        <v>100</v>
      </c>
      <c r="X41" s="1562"/>
      <c r="Y41" s="3468"/>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68"/>
      <c r="Q42" s="1555" t="str">
        <f t="shared" si="11"/>
        <v>内部装修</v>
      </c>
      <c r="R42" s="1556" t="s">
        <v>8</v>
      </c>
      <c r="S42" s="1557">
        <f t="shared" si="12"/>
        <v>100</v>
      </c>
      <c r="T42" s="1556" t="s">
        <v>8</v>
      </c>
      <c r="U42" s="1557">
        <f t="shared" si="13"/>
        <v>100</v>
      </c>
      <c r="V42" s="1556" t="s">
        <v>8</v>
      </c>
      <c r="W42" s="1557">
        <f t="shared" si="14"/>
        <v>100</v>
      </c>
      <c r="X42" s="1550"/>
      <c r="Y42" s="3468"/>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68"/>
      <c r="Q43" s="1555" t="str">
        <f t="shared" si="11"/>
        <v>内部装修维护情况</v>
      </c>
      <c r="R43" s="1556" t="s">
        <v>8</v>
      </c>
      <c r="S43" s="1557">
        <f t="shared" si="12"/>
        <v>100</v>
      </c>
      <c r="T43" s="1556" t="s">
        <v>8</v>
      </c>
      <c r="U43" s="1557">
        <f t="shared" si="13"/>
        <v>100</v>
      </c>
      <c r="V43" s="1556" t="s">
        <v>8</v>
      </c>
      <c r="W43" s="1557">
        <f t="shared" si="14"/>
        <v>100</v>
      </c>
      <c r="X43" s="1550"/>
      <c r="Y43" s="3468"/>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68"/>
      <c r="Q44" s="1144">
        <f t="shared" si="11"/>
        <v>111</v>
      </c>
      <c r="R44" s="1551" t="s">
        <v>8</v>
      </c>
      <c r="S44" s="1552">
        <f t="shared" si="12"/>
        <v>100</v>
      </c>
      <c r="T44" s="1551" t="s">
        <v>8</v>
      </c>
      <c r="U44" s="1552">
        <f t="shared" si="13"/>
        <v>100</v>
      </c>
      <c r="V44" s="1551" t="s">
        <v>8</v>
      </c>
      <c r="W44" s="1552">
        <f t="shared" si="14"/>
        <v>100</v>
      </c>
      <c r="X44" s="1553"/>
      <c r="Y44" s="3468"/>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68"/>
      <c r="Q45" s="1555">
        <f t="shared" si="11"/>
        <v>111</v>
      </c>
      <c r="R45" s="1556" t="s">
        <v>8</v>
      </c>
      <c r="S45" s="1557">
        <f t="shared" si="12"/>
        <v>100</v>
      </c>
      <c r="T45" s="1556" t="s">
        <v>8</v>
      </c>
      <c r="U45" s="1557">
        <f t="shared" si="13"/>
        <v>100</v>
      </c>
      <c r="V45" s="1556" t="s">
        <v>8</v>
      </c>
      <c r="W45" s="1557">
        <f t="shared" si="14"/>
        <v>100</v>
      </c>
      <c r="X45" s="1550"/>
      <c r="Y45" s="3468"/>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47"/>
      <c r="Q46" s="1555">
        <f t="shared" si="11"/>
        <v>111</v>
      </c>
      <c r="R46" s="1556" t="s">
        <v>8</v>
      </c>
      <c r="S46" s="1557">
        <f t="shared" si="12"/>
        <v>100</v>
      </c>
      <c r="T46" s="1556" t="s">
        <v>8</v>
      </c>
      <c r="U46" s="1557">
        <f t="shared" si="13"/>
        <v>100</v>
      </c>
      <c r="V46" s="1556" t="s">
        <v>8</v>
      </c>
      <c r="W46" s="1557">
        <f t="shared" si="14"/>
        <v>100</v>
      </c>
      <c r="X46" s="1550"/>
      <c r="Y46" s="3547"/>
      <c r="Z46" s="1558">
        <f t="shared" si="15"/>
        <v>111</v>
      </c>
      <c r="AA46" s="1559">
        <f t="shared" si="3"/>
        <v>1</v>
      </c>
      <c r="AB46" s="1559">
        <f t="shared" si="4"/>
        <v>1</v>
      </c>
      <c r="AC46" s="1559">
        <f t="shared" si="5"/>
        <v>1</v>
      </c>
    </row>
    <row r="47" spans="1:29" ht="15">
      <c r="A47" s="605" t="s">
        <v>736</v>
      </c>
      <c r="B47" s="885"/>
      <c r="C47" s="2588" t="s">
        <v>1</v>
      </c>
      <c r="D47" s="2589"/>
      <c r="E47" s="2590"/>
      <c r="F47" s="2591"/>
      <c r="G47" s="2592"/>
      <c r="H47" s="2593"/>
      <c r="I47" s="2590"/>
      <c r="J47" s="2593"/>
      <c r="K47" s="1593"/>
      <c r="L47" s="2126"/>
      <c r="M47" s="2127"/>
      <c r="N47" s="2116"/>
      <c r="O47" s="2127"/>
      <c r="P47" s="3430" t="str">
        <f>A47</f>
        <v>成交单价（元/平方米）</v>
      </c>
      <c r="Q47" s="3430"/>
      <c r="R47" s="3546">
        <f>E47</f>
        <v>0</v>
      </c>
      <c r="S47" s="3546"/>
      <c r="T47" s="3546">
        <f>G47</f>
        <v>0</v>
      </c>
      <c r="U47" s="3546"/>
      <c r="V47" s="3546">
        <f>I47</f>
        <v>0</v>
      </c>
      <c r="W47" s="3546"/>
      <c r="X47" s="1542"/>
      <c r="Y47" s="1564"/>
      <c r="Z47" s="1542"/>
      <c r="AA47" s="1542"/>
      <c r="AB47" s="1542"/>
      <c r="AC47" s="1542"/>
    </row>
    <row r="48" spans="1:29" ht="15.75" thickBot="1">
      <c r="A48" s="613" t="s">
        <v>2759</v>
      </c>
      <c r="B48" s="886"/>
      <c r="C48" s="2594" t="e">
        <f>R49</f>
        <v>#DIV/0!</v>
      </c>
      <c r="D48" s="2595"/>
      <c r="E48" s="2596" t="e">
        <f>R48</f>
        <v>#DIV/0!</v>
      </c>
      <c r="F48" s="2596"/>
      <c r="G48" s="2594" t="e">
        <f>T48</f>
        <v>#DIV/0!</v>
      </c>
      <c r="H48" s="2595"/>
      <c r="I48" s="2596" t="e">
        <f>V48</f>
        <v>#DIV/0!</v>
      </c>
      <c r="J48" s="2595"/>
      <c r="K48" s="1594"/>
      <c r="L48" s="2126"/>
      <c r="M48" s="2127"/>
      <c r="N48" s="2116"/>
      <c r="O48" s="2127"/>
      <c r="P48" s="3430" t="str">
        <f>A48</f>
        <v>比较价格（元/平方米）</v>
      </c>
      <c r="Q48" s="3430"/>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42"/>
      <c r="Y48" s="1542"/>
      <c r="Z48" s="1542"/>
      <c r="AA48" s="1542"/>
      <c r="AB48" s="1542"/>
      <c r="AC48" s="1542"/>
    </row>
    <row r="49" spans="1:29" ht="15.75" thickBot="1">
      <c r="A49" s="619" t="s">
        <v>2933</v>
      </c>
      <c r="B49" s="620"/>
      <c r="C49" s="2597" t="e">
        <f>R49</f>
        <v>#DIV/0!</v>
      </c>
      <c r="D49" s="2597"/>
      <c r="E49" s="2597"/>
      <c r="F49" s="2597"/>
      <c r="G49" s="2597"/>
      <c r="H49" s="2597"/>
      <c r="I49" s="2597"/>
      <c r="J49" s="2597"/>
      <c r="K49" s="1595"/>
      <c r="L49" s="2126"/>
      <c r="M49" s="2127"/>
      <c r="N49" s="2116"/>
      <c r="O49" s="2127"/>
      <c r="P49" s="3427" t="str">
        <f>A49</f>
        <v>估价对象XX用房的比较价格（楼面单价，元/平方米）</v>
      </c>
      <c r="Q49" s="3428"/>
      <c r="R49" s="3545" t="e">
        <f>IF(F1="售价",ROUND(AVERAGE(R48:V48),0),ROUND(AVERAGE(R48:V48),1))</f>
        <v>#DIV/0!</v>
      </c>
      <c r="S49" s="3545"/>
      <c r="T49" s="3545"/>
      <c r="U49" s="3545"/>
      <c r="V49" s="3545"/>
      <c r="W49" s="354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2556</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2557</v>
      </c>
      <c r="C82" s="2559" t="s">
        <v>2558</v>
      </c>
      <c r="D82" s="2559" t="s">
        <v>2559</v>
      </c>
      <c r="E82" s="2559" t="s">
        <v>2560</v>
      </c>
      <c r="F82" s="2559" t="s">
        <v>2561</v>
      </c>
      <c r="G82" s="2559" t="s">
        <v>2562</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2555</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36" t="s">
        <v>522</v>
      </c>
      <c r="D4" s="3437"/>
      <c r="E4" s="3471" t="s">
        <v>523</v>
      </c>
      <c r="F4" s="3472"/>
      <c r="G4" s="3436" t="s">
        <v>524</v>
      </c>
      <c r="H4" s="3437"/>
      <c r="I4" s="3436" t="s">
        <v>525</v>
      </c>
      <c r="J4" s="3437"/>
      <c r="K4" s="512" t="s">
        <v>526</v>
      </c>
      <c r="L4" s="2115"/>
      <c r="M4" s="2116"/>
      <c r="N4" s="2116"/>
      <c r="O4" s="2116"/>
      <c r="P4" s="3549" t="s">
        <v>527</v>
      </c>
      <c r="Q4" s="3439"/>
      <c r="R4" s="3444" t="s">
        <v>523</v>
      </c>
      <c r="S4" s="3445"/>
      <c r="T4" s="3444" t="s">
        <v>524</v>
      </c>
      <c r="U4" s="3445"/>
      <c r="V4" s="3431" t="s">
        <v>525</v>
      </c>
      <c r="W4" s="3431"/>
      <c r="X4" s="1550"/>
      <c r="Y4" s="3444" t="s">
        <v>527</v>
      </c>
      <c r="Z4" s="3445"/>
      <c r="AA4" s="3433" t="s">
        <v>523</v>
      </c>
      <c r="AB4" s="3433" t="s">
        <v>524</v>
      </c>
      <c r="AC4" s="3433" t="s">
        <v>525</v>
      </c>
    </row>
    <row r="5" spans="1:29" ht="15">
      <c r="A5" s="513"/>
      <c r="B5" s="514"/>
      <c r="C5" s="3454" t="s">
        <v>2927</v>
      </c>
      <c r="D5" s="3453"/>
      <c r="E5" s="3473" t="s">
        <v>2928</v>
      </c>
      <c r="F5" s="3474"/>
      <c r="G5" s="3454" t="s">
        <v>2929</v>
      </c>
      <c r="H5" s="3453"/>
      <c r="I5" s="3454" t="s">
        <v>2930</v>
      </c>
      <c r="J5" s="3453"/>
      <c r="K5" s="512"/>
      <c r="L5" s="2115"/>
      <c r="M5" s="2116"/>
      <c r="N5" s="2116"/>
      <c r="O5" s="2116"/>
      <c r="P5" s="3550"/>
      <c r="Q5" s="3441"/>
      <c r="R5" s="3446"/>
      <c r="S5" s="3447"/>
      <c r="T5" s="3446"/>
      <c r="U5" s="3447"/>
      <c r="V5" s="3431"/>
      <c r="W5" s="3431"/>
      <c r="X5" s="1550"/>
      <c r="Y5" s="3446"/>
      <c r="Z5" s="3447"/>
      <c r="AA5" s="3434"/>
      <c r="AB5" s="3434"/>
      <c r="AC5" s="3434"/>
    </row>
    <row r="6" spans="1:29" ht="15.75" thickBot="1">
      <c r="A6" s="515"/>
      <c r="B6" s="516"/>
      <c r="C6" s="3450" t="s">
        <v>2931</v>
      </c>
      <c r="D6" s="3451"/>
      <c r="E6" s="3469" t="s">
        <v>2931</v>
      </c>
      <c r="F6" s="3470"/>
      <c r="G6" s="3450" t="s">
        <v>2931</v>
      </c>
      <c r="H6" s="3451"/>
      <c r="I6" s="3450" t="s">
        <v>2931</v>
      </c>
      <c r="J6" s="3451"/>
      <c r="K6" s="512" t="s">
        <v>528</v>
      </c>
      <c r="L6" s="2115"/>
      <c r="M6" s="2116"/>
      <c r="N6" s="2116"/>
      <c r="O6" s="2116"/>
      <c r="P6" s="3551"/>
      <c r="Q6" s="3443"/>
      <c r="R6" s="3446"/>
      <c r="S6" s="3447"/>
      <c r="T6" s="3448"/>
      <c r="U6" s="3449"/>
      <c r="V6" s="3431"/>
      <c r="W6" s="3431"/>
      <c r="X6" s="1550"/>
      <c r="Y6" s="3448"/>
      <c r="Z6" s="3449"/>
      <c r="AA6" s="3435"/>
      <c r="AB6" s="3435"/>
      <c r="AC6" s="3435"/>
    </row>
    <row r="7" spans="1:29" s="1213" customFormat="1" ht="15.75" thickBot="1">
      <c r="A7" s="2864"/>
      <c r="B7" s="2871" t="s">
        <v>529</v>
      </c>
      <c r="C7" s="517">
        <f>'数据-取费表'!B2</f>
        <v>43691</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64" t="s">
        <v>530</v>
      </c>
      <c r="Q7" s="3464"/>
      <c r="R7" s="1551" t="s">
        <v>8</v>
      </c>
      <c r="S7" s="1552">
        <f t="shared" ref="S7:S15" si="0">F7</f>
        <v>0</v>
      </c>
      <c r="T7" s="1551" t="s">
        <v>8</v>
      </c>
      <c r="U7" s="1552">
        <f t="shared" ref="U7:U15" si="1">H7</f>
        <v>0</v>
      </c>
      <c r="V7" s="1551" t="s">
        <v>8</v>
      </c>
      <c r="W7" s="1552">
        <f t="shared" ref="W7:W15" si="2">J7</f>
        <v>0</v>
      </c>
      <c r="X7" s="1553"/>
      <c r="Y7" s="3462" t="s">
        <v>530</v>
      </c>
      <c r="Z7" s="3463"/>
      <c r="AA7" s="1554" t="e">
        <f>D7/F7</f>
        <v>#DIV/0!</v>
      </c>
      <c r="AB7" s="1554" t="e">
        <f>D7/H7</f>
        <v>#DIV/0!</v>
      </c>
      <c r="AC7" s="1554" t="e">
        <f>D7/J7</f>
        <v>#DIV/0!</v>
      </c>
    </row>
    <row r="8" spans="1:29" s="1213"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64" t="s">
        <v>533</v>
      </c>
      <c r="Q8" s="3463"/>
      <c r="R8" s="1551" t="s">
        <v>8</v>
      </c>
      <c r="S8" s="1552">
        <f t="shared" si="0"/>
        <v>0</v>
      </c>
      <c r="T8" s="1551" t="s">
        <v>8</v>
      </c>
      <c r="U8" s="1552">
        <f t="shared" si="1"/>
        <v>0</v>
      </c>
      <c r="V8" s="1551" t="s">
        <v>8</v>
      </c>
      <c r="W8" s="1552">
        <f t="shared" si="2"/>
        <v>0</v>
      </c>
      <c r="X8" s="1553"/>
      <c r="Y8" s="3462" t="s">
        <v>533</v>
      </c>
      <c r="Z8" s="3463"/>
      <c r="AA8" s="1554" t="e">
        <f t="shared" ref="AA8:AA47" si="3">D8/F8</f>
        <v>#DIV/0!</v>
      </c>
      <c r="AB8" s="1554" t="e">
        <f t="shared" ref="AB8:AB47" si="4">D8/H8</f>
        <v>#DIV/0!</v>
      </c>
      <c r="AC8" s="1554" t="e">
        <f t="shared" ref="AC8:AC47" si="5">D8/J8</f>
        <v>#DIV/0!</v>
      </c>
    </row>
    <row r="9" spans="1:29" s="1213" customFormat="1" ht="15">
      <c r="A9" s="2866"/>
      <c r="B9" s="2873" t="s">
        <v>2755</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30"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30"/>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30"/>
      <c r="Q11" s="1144" t="str">
        <f t="shared" si="6"/>
        <v>容积率</v>
      </c>
      <c r="R11" s="1551" t="s">
        <v>8</v>
      </c>
      <c r="S11" s="1552" t="e">
        <f t="shared" si="0"/>
        <v>#N/A</v>
      </c>
      <c r="T11" s="1551" t="s">
        <v>8</v>
      </c>
      <c r="U11" s="1552" t="e">
        <f t="shared" si="1"/>
        <v>#N/A</v>
      </c>
      <c r="V11" s="1551" t="s">
        <v>8</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430"/>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430"/>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430"/>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 t="shared" si="3"/>
        <v>1</v>
      </c>
      <c r="AB14" s="1554">
        <f t="shared" si="4"/>
        <v>1</v>
      </c>
      <c r="AC14" s="1554">
        <f t="shared" si="5"/>
        <v>1</v>
      </c>
    </row>
    <row r="15" spans="1:29" ht="71.25">
      <c r="A15" s="2862"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65" t="s">
        <v>540</v>
      </c>
      <c r="Q15" s="1555" t="str">
        <f t="shared" si="6"/>
        <v>办公集聚程度</v>
      </c>
      <c r="R15" s="1556" t="s">
        <v>8</v>
      </c>
      <c r="S15" s="1557">
        <f t="shared" si="0"/>
        <v>100</v>
      </c>
      <c r="T15" s="1556" t="s">
        <v>8</v>
      </c>
      <c r="U15" s="1557">
        <f t="shared" si="1"/>
        <v>100</v>
      </c>
      <c r="V15" s="1556" t="s">
        <v>8</v>
      </c>
      <c r="W15" s="1557">
        <f t="shared" si="2"/>
        <v>100</v>
      </c>
      <c r="X15" s="1550"/>
      <c r="Y15" s="3465"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66"/>
      <c r="Q16" s="1555"/>
      <c r="R16" s="1556"/>
      <c r="S16" s="1557"/>
      <c r="T16" s="1556"/>
      <c r="U16" s="1557"/>
      <c r="V16" s="1556"/>
      <c r="W16" s="1557"/>
      <c r="X16" s="1550"/>
      <c r="Y16" s="3466"/>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66"/>
      <c r="Q17" s="1555" t="str">
        <f>B17</f>
        <v>交通便捷度</v>
      </c>
      <c r="R17" s="1556" t="s">
        <v>8</v>
      </c>
      <c r="S17" s="1557">
        <f>F17</f>
        <v>100</v>
      </c>
      <c r="T17" s="1556" t="s">
        <v>8</v>
      </c>
      <c r="U17" s="1557">
        <f>H17</f>
        <v>100</v>
      </c>
      <c r="V17" s="1556" t="s">
        <v>8</v>
      </c>
      <c r="W17" s="1557">
        <f>J17</f>
        <v>100</v>
      </c>
      <c r="X17" s="1550"/>
      <c r="Y17" s="346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66"/>
      <c r="Q18" s="1555"/>
      <c r="R18" s="1556"/>
      <c r="S18" s="1557"/>
      <c r="T18" s="1556"/>
      <c r="U18" s="1557"/>
      <c r="V18" s="1556"/>
      <c r="W18" s="1557"/>
      <c r="X18" s="1550"/>
      <c r="Y18" s="3466"/>
      <c r="Z18" s="1558"/>
      <c r="AA18" s="1559">
        <v>1</v>
      </c>
      <c r="AB18" s="1559">
        <v>1</v>
      </c>
      <c r="AC18" s="1559">
        <v>1</v>
      </c>
    </row>
    <row r="19" spans="1:29" ht="42.75">
      <c r="A19" s="530"/>
      <c r="B19" s="2564"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66"/>
      <c r="Q19" s="1555" t="str">
        <f>B19</f>
        <v>公共配套设施</v>
      </c>
      <c r="R19" s="1556" t="s">
        <v>8</v>
      </c>
      <c r="S19" s="1557">
        <f>F19</f>
        <v>100</v>
      </c>
      <c r="T19" s="1556" t="s">
        <v>8</v>
      </c>
      <c r="U19" s="1557">
        <f>H19</f>
        <v>100</v>
      </c>
      <c r="V19" s="1556" t="s">
        <v>8</v>
      </c>
      <c r="W19" s="1557">
        <f>J19</f>
        <v>100</v>
      </c>
      <c r="X19" s="1550"/>
      <c r="Y19" s="346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66"/>
      <c r="Q20" s="1555"/>
      <c r="R20" s="1556"/>
      <c r="S20" s="1557"/>
      <c r="T20" s="1556"/>
      <c r="U20" s="1557"/>
      <c r="V20" s="1556"/>
      <c r="W20" s="1557"/>
      <c r="X20" s="1550"/>
      <c r="Y20" s="3466"/>
      <c r="Z20" s="1558"/>
      <c r="AA20" s="1559">
        <v>1</v>
      </c>
      <c r="AB20" s="1559">
        <v>1</v>
      </c>
      <c r="AC20" s="1559">
        <v>1</v>
      </c>
    </row>
    <row r="21" spans="1:29" ht="28.5">
      <c r="A21" s="530"/>
      <c r="B21" s="2552"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66"/>
      <c r="Q21" s="2540" t="str">
        <f>B21</f>
        <v>基础设施水平</v>
      </c>
      <c r="R21" s="1556" t="s">
        <v>8</v>
      </c>
      <c r="S21" s="1557">
        <f>F21</f>
        <v>100</v>
      </c>
      <c r="T21" s="1556" t="s">
        <v>8</v>
      </c>
      <c r="U21" s="1557">
        <f>H21</f>
        <v>100</v>
      </c>
      <c r="V21" s="1556" t="s">
        <v>8</v>
      </c>
      <c r="W21" s="1557">
        <f>J21</f>
        <v>100</v>
      </c>
      <c r="X21" s="2542"/>
      <c r="Y21" s="346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66"/>
      <c r="Q22" s="2540"/>
      <c r="R22" s="1556"/>
      <c r="S22" s="1557"/>
      <c r="T22" s="1556"/>
      <c r="U22" s="1557"/>
      <c r="V22" s="1556"/>
      <c r="W22" s="1557"/>
      <c r="X22" s="2542"/>
      <c r="Y22" s="3466"/>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66"/>
      <c r="Q23" s="1555" t="str">
        <f>B23</f>
        <v>环境质量</v>
      </c>
      <c r="R23" s="1556" t="s">
        <v>8</v>
      </c>
      <c r="S23" s="1557">
        <f>F23</f>
        <v>100</v>
      </c>
      <c r="T23" s="1556" t="s">
        <v>8</v>
      </c>
      <c r="U23" s="1557">
        <f>H23</f>
        <v>100</v>
      </c>
      <c r="V23" s="1556" t="s">
        <v>8</v>
      </c>
      <c r="W23" s="1557">
        <f>J23</f>
        <v>100</v>
      </c>
      <c r="X23" s="1550"/>
      <c r="Y23" s="346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66"/>
      <c r="Q24" s="1555"/>
      <c r="R24" s="1556"/>
      <c r="S24" s="1557"/>
      <c r="T24" s="1556"/>
      <c r="U24" s="1557"/>
      <c r="V24" s="1556"/>
      <c r="W24" s="1557"/>
      <c r="X24" s="1550"/>
      <c r="Y24" s="3466"/>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66"/>
      <c r="Q25" s="1555" t="str">
        <f>B25</f>
        <v>毗邻道路的类型与等级</v>
      </c>
      <c r="R25" s="1556" t="s">
        <v>8</v>
      </c>
      <c r="S25" s="1557">
        <f>F25</f>
        <v>100</v>
      </c>
      <c r="T25" s="1556" t="s">
        <v>8</v>
      </c>
      <c r="U25" s="1557">
        <f>H25</f>
        <v>100</v>
      </c>
      <c r="V25" s="1556" t="s">
        <v>8</v>
      </c>
      <c r="W25" s="1557">
        <f>J25</f>
        <v>100</v>
      </c>
      <c r="X25" s="1550"/>
      <c r="Y25" s="346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66"/>
      <c r="Q26" s="1555"/>
      <c r="R26" s="1556"/>
      <c r="S26" s="1557"/>
      <c r="T26" s="1556"/>
      <c r="U26" s="1557"/>
      <c r="V26" s="1556"/>
      <c r="W26" s="1557"/>
      <c r="X26" s="1550"/>
      <c r="Y26" s="3466"/>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66"/>
      <c r="Q27" s="1555" t="str">
        <f t="shared" ref="Q27:Q47" si="11">B27</f>
        <v>楼层</v>
      </c>
      <c r="R27" s="1556" t="s">
        <v>8</v>
      </c>
      <c r="S27" s="1557">
        <f>F27</f>
        <v>100</v>
      </c>
      <c r="T27" s="1556" t="s">
        <v>8</v>
      </c>
      <c r="U27" s="1557">
        <f>H27</f>
        <v>100</v>
      </c>
      <c r="V27" s="1556" t="s">
        <v>8</v>
      </c>
      <c r="W27" s="1557">
        <f>J27</f>
        <v>100</v>
      </c>
      <c r="X27" s="1550"/>
      <c r="Y27" s="3466"/>
      <c r="Z27" s="1558" t="str">
        <f>Q27</f>
        <v>楼层</v>
      </c>
      <c r="AA27" s="1559">
        <f t="shared" si="3"/>
        <v>1</v>
      </c>
      <c r="AB27" s="1559">
        <f t="shared" si="4"/>
        <v>1</v>
      </c>
      <c r="AC27" s="1559">
        <f t="shared" si="5"/>
        <v>1</v>
      </c>
    </row>
    <row r="28" spans="1:29" s="1213"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66"/>
      <c r="Q28" s="1144" t="str">
        <f t="shared" si="11"/>
        <v>朝向</v>
      </c>
      <c r="R28" s="1551" t="s">
        <v>8</v>
      </c>
      <c r="S28" s="1552">
        <f>F28</f>
        <v>100</v>
      </c>
      <c r="T28" s="1551" t="s">
        <v>8</v>
      </c>
      <c r="U28" s="1552">
        <f>H28</f>
        <v>100</v>
      </c>
      <c r="V28" s="1551" t="s">
        <v>8</v>
      </c>
      <c r="W28" s="1552">
        <f>J28</f>
        <v>100</v>
      </c>
      <c r="X28" s="1553"/>
      <c r="Y28" s="3466"/>
      <c r="Z28" s="1143"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66"/>
      <c r="Q29" s="1555">
        <f t="shared" si="11"/>
        <v>111</v>
      </c>
      <c r="R29" s="1556" t="s">
        <v>8</v>
      </c>
      <c r="S29" s="1557">
        <f t="shared" ref="S29:S47" si="12">F29</f>
        <v>100</v>
      </c>
      <c r="T29" s="1556" t="s">
        <v>8</v>
      </c>
      <c r="U29" s="1557">
        <f t="shared" ref="U29:U47" si="13">H29</f>
        <v>100</v>
      </c>
      <c r="V29" s="1556" t="s">
        <v>8</v>
      </c>
      <c r="W29" s="1557">
        <f t="shared" ref="W29:W47" si="14">J29</f>
        <v>100</v>
      </c>
      <c r="X29" s="1550"/>
      <c r="Y29" s="3466"/>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66"/>
      <c r="Q30" s="1555">
        <f t="shared" si="11"/>
        <v>111</v>
      </c>
      <c r="R30" s="1556" t="s">
        <v>8</v>
      </c>
      <c r="S30" s="1557">
        <f t="shared" si="12"/>
        <v>100</v>
      </c>
      <c r="T30" s="1556" t="s">
        <v>8</v>
      </c>
      <c r="U30" s="1557">
        <f t="shared" si="13"/>
        <v>100</v>
      </c>
      <c r="V30" s="1556" t="s">
        <v>8</v>
      </c>
      <c r="W30" s="1557">
        <f t="shared" si="14"/>
        <v>100</v>
      </c>
      <c r="X30" s="1550"/>
      <c r="Y30" s="3466"/>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66"/>
      <c r="Q31" s="1555">
        <f t="shared" si="11"/>
        <v>111</v>
      </c>
      <c r="R31" s="1556" t="s">
        <v>8</v>
      </c>
      <c r="S31" s="1557">
        <f t="shared" si="12"/>
        <v>100</v>
      </c>
      <c r="T31" s="1556" t="s">
        <v>8</v>
      </c>
      <c r="U31" s="1557">
        <f t="shared" si="13"/>
        <v>100</v>
      </c>
      <c r="V31" s="1556" t="s">
        <v>8</v>
      </c>
      <c r="W31" s="1557">
        <f t="shared" si="14"/>
        <v>100</v>
      </c>
      <c r="X31" s="1550"/>
      <c r="Y31" s="3466"/>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66"/>
      <c r="Q32" s="1555">
        <f t="shared" si="11"/>
        <v>111</v>
      </c>
      <c r="R32" s="1556" t="s">
        <v>8</v>
      </c>
      <c r="S32" s="1557">
        <f t="shared" si="12"/>
        <v>100</v>
      </c>
      <c r="T32" s="1556" t="s">
        <v>8</v>
      </c>
      <c r="U32" s="1557">
        <f t="shared" si="13"/>
        <v>100</v>
      </c>
      <c r="V32" s="1556" t="s">
        <v>8</v>
      </c>
      <c r="W32" s="1557">
        <f t="shared" si="14"/>
        <v>100</v>
      </c>
      <c r="X32" s="1550"/>
      <c r="Y32" s="3466"/>
      <c r="Z32" s="1558">
        <f t="shared" si="15"/>
        <v>111</v>
      </c>
      <c r="AA32" s="1559">
        <f t="shared" si="3"/>
        <v>1</v>
      </c>
      <c r="AB32" s="1559">
        <f t="shared" si="4"/>
        <v>1</v>
      </c>
      <c r="AC32" s="1559">
        <f t="shared" si="5"/>
        <v>1</v>
      </c>
    </row>
    <row r="33" spans="1:29" ht="15">
      <c r="A33" s="2859"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67" t="s">
        <v>550</v>
      </c>
      <c r="Q33" s="1555" t="str">
        <f t="shared" si="11"/>
        <v>建筑类型</v>
      </c>
      <c r="R33" s="1556" t="s">
        <v>8</v>
      </c>
      <c r="S33" s="1557">
        <f t="shared" si="12"/>
        <v>100</v>
      </c>
      <c r="T33" s="1556" t="s">
        <v>8</v>
      </c>
      <c r="U33" s="1557">
        <f t="shared" si="13"/>
        <v>100</v>
      </c>
      <c r="V33" s="1556" t="s">
        <v>8</v>
      </c>
      <c r="W33" s="1557">
        <f t="shared" si="14"/>
        <v>100</v>
      </c>
      <c r="X33" s="1550"/>
      <c r="Y33" s="3468" t="s">
        <v>550</v>
      </c>
      <c r="Z33" s="1558" t="str">
        <f t="shared" si="15"/>
        <v>建筑类型</v>
      </c>
      <c r="AA33" s="1559">
        <f t="shared" si="3"/>
        <v>1</v>
      </c>
      <c r="AB33" s="1559">
        <f t="shared" si="4"/>
        <v>1</v>
      </c>
      <c r="AC33" s="1559">
        <f t="shared" si="5"/>
        <v>1</v>
      </c>
    </row>
    <row r="34" spans="1:29" s="1332"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68"/>
      <c r="Q34" s="1587" t="str">
        <f t="shared" si="11"/>
        <v>项目建筑规模</v>
      </c>
      <c r="R34" s="1560" t="s">
        <v>8</v>
      </c>
      <c r="S34" s="1561" t="e">
        <f t="shared" si="12"/>
        <v>#N/A</v>
      </c>
      <c r="T34" s="1560" t="s">
        <v>8</v>
      </c>
      <c r="U34" s="1561" t="e">
        <f t="shared" si="13"/>
        <v>#N/A</v>
      </c>
      <c r="V34" s="1560" t="s">
        <v>8</v>
      </c>
      <c r="W34" s="1561" t="e">
        <f t="shared" si="14"/>
        <v>#N/A</v>
      </c>
      <c r="X34" s="1562"/>
      <c r="Y34" s="3468"/>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68"/>
      <c r="Q35" s="1555" t="str">
        <f t="shared" si="11"/>
        <v>建筑结构</v>
      </c>
      <c r="R35" s="1556" t="s">
        <v>8</v>
      </c>
      <c r="S35" s="1557">
        <f t="shared" si="12"/>
        <v>100</v>
      </c>
      <c r="T35" s="1556" t="s">
        <v>8</v>
      </c>
      <c r="U35" s="1557">
        <f t="shared" si="13"/>
        <v>100</v>
      </c>
      <c r="V35" s="1556" t="s">
        <v>8</v>
      </c>
      <c r="W35" s="1557">
        <f t="shared" si="14"/>
        <v>100</v>
      </c>
      <c r="X35" s="1550"/>
      <c r="Y35" s="3468"/>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68"/>
      <c r="Q36" s="1555" t="str">
        <f t="shared" si="11"/>
        <v>公共部分装修</v>
      </c>
      <c r="R36" s="1556" t="s">
        <v>8</v>
      </c>
      <c r="S36" s="1557">
        <f t="shared" si="12"/>
        <v>100</v>
      </c>
      <c r="T36" s="1556" t="s">
        <v>8</v>
      </c>
      <c r="U36" s="1557">
        <f t="shared" si="13"/>
        <v>100</v>
      </c>
      <c r="V36" s="1556" t="s">
        <v>8</v>
      </c>
      <c r="W36" s="1557">
        <f t="shared" si="14"/>
        <v>100</v>
      </c>
      <c r="X36" s="1550"/>
      <c r="Y36" s="3468"/>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68"/>
      <c r="Q37" s="1555" t="str">
        <f t="shared" si="11"/>
        <v>成新度</v>
      </c>
      <c r="R37" s="1556" t="s">
        <v>8</v>
      </c>
      <c r="S37" s="1557" t="e">
        <f t="shared" si="12"/>
        <v>#N/A</v>
      </c>
      <c r="T37" s="1556" t="s">
        <v>8</v>
      </c>
      <c r="U37" s="1557" t="e">
        <f t="shared" si="13"/>
        <v>#N/A</v>
      </c>
      <c r="V37" s="1556" t="s">
        <v>8</v>
      </c>
      <c r="W37" s="1557" t="e">
        <f t="shared" si="14"/>
        <v>#N/A</v>
      </c>
      <c r="X37" s="1550"/>
      <c r="Y37" s="3468"/>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68"/>
      <c r="Q38" s="1144" t="str">
        <f t="shared" si="11"/>
        <v>写字楼等级</v>
      </c>
      <c r="R38" s="1551" t="s">
        <v>8</v>
      </c>
      <c r="S38" s="1552">
        <f t="shared" si="12"/>
        <v>100</v>
      </c>
      <c r="T38" s="1551" t="s">
        <v>8</v>
      </c>
      <c r="U38" s="1552">
        <f t="shared" si="13"/>
        <v>100</v>
      </c>
      <c r="V38" s="1551" t="s">
        <v>8</v>
      </c>
      <c r="W38" s="1552">
        <f t="shared" si="14"/>
        <v>100</v>
      </c>
      <c r="X38" s="1553"/>
      <c r="Y38" s="3468"/>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68" t="s">
        <v>550</v>
      </c>
      <c r="Q39" s="1555" t="str">
        <f t="shared" si="11"/>
        <v>物业管理</v>
      </c>
      <c r="R39" s="1556" t="s">
        <v>8</v>
      </c>
      <c r="S39" s="1557">
        <f t="shared" si="12"/>
        <v>100</v>
      </c>
      <c r="T39" s="1556" t="s">
        <v>8</v>
      </c>
      <c r="U39" s="1557">
        <f t="shared" si="13"/>
        <v>100</v>
      </c>
      <c r="V39" s="1556" t="s">
        <v>8</v>
      </c>
      <c r="W39" s="1557">
        <f t="shared" si="14"/>
        <v>100</v>
      </c>
      <c r="X39" s="1550"/>
      <c r="Y39" s="3468" t="s">
        <v>550</v>
      </c>
      <c r="Z39" s="1558" t="str">
        <f t="shared" si="15"/>
        <v>物业管理</v>
      </c>
      <c r="AA39" s="1559">
        <f t="shared" si="3"/>
        <v>1</v>
      </c>
      <c r="AB39" s="1559">
        <f t="shared" si="4"/>
        <v>1</v>
      </c>
      <c r="AC39" s="1559">
        <f t="shared" si="5"/>
        <v>1</v>
      </c>
    </row>
    <row r="40" spans="1:29" ht="15">
      <c r="A40" s="592"/>
      <c r="B40" s="1877"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68"/>
      <c r="Q40" s="1555" t="str">
        <f t="shared" si="11"/>
        <v>市政基础设施</v>
      </c>
      <c r="R40" s="1556" t="s">
        <v>8</v>
      </c>
      <c r="S40" s="1557">
        <f t="shared" si="12"/>
        <v>100</v>
      </c>
      <c r="T40" s="1556" t="s">
        <v>8</v>
      </c>
      <c r="U40" s="1557">
        <f t="shared" si="13"/>
        <v>100</v>
      </c>
      <c r="V40" s="1556" t="s">
        <v>8</v>
      </c>
      <c r="W40" s="1557">
        <f t="shared" si="14"/>
        <v>100</v>
      </c>
      <c r="X40" s="1550"/>
      <c r="Y40" s="3468"/>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68"/>
      <c r="Q41" s="1555" t="str">
        <f t="shared" si="11"/>
        <v>层高</v>
      </c>
      <c r="R41" s="1556" t="s">
        <v>8</v>
      </c>
      <c r="S41" s="1557">
        <f t="shared" si="12"/>
        <v>100</v>
      </c>
      <c r="T41" s="1556" t="s">
        <v>8</v>
      </c>
      <c r="U41" s="1557">
        <f t="shared" si="13"/>
        <v>100</v>
      </c>
      <c r="V41" s="1556" t="s">
        <v>8</v>
      </c>
      <c r="W41" s="1557">
        <f t="shared" si="14"/>
        <v>100</v>
      </c>
      <c r="X41" s="1550"/>
      <c r="Y41" s="3468"/>
      <c r="Z41" s="1558" t="str">
        <f t="shared" si="15"/>
        <v>层高</v>
      </c>
      <c r="AA41" s="1559">
        <f t="shared" si="3"/>
        <v>1</v>
      </c>
      <c r="AB41" s="1559">
        <f t="shared" si="4"/>
        <v>1</v>
      </c>
      <c r="AC41" s="1559">
        <f t="shared" si="5"/>
        <v>1</v>
      </c>
    </row>
    <row r="42" spans="1:29" s="1332"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68"/>
      <c r="Q42" s="1587" t="str">
        <f t="shared" si="11"/>
        <v>单套建筑面积</v>
      </c>
      <c r="R42" s="1560" t="s">
        <v>8</v>
      </c>
      <c r="S42" s="1561">
        <f t="shared" si="12"/>
        <v>100</v>
      </c>
      <c r="T42" s="1560" t="s">
        <v>8</v>
      </c>
      <c r="U42" s="1561">
        <f t="shared" si="13"/>
        <v>100</v>
      </c>
      <c r="V42" s="1560" t="s">
        <v>8</v>
      </c>
      <c r="W42" s="1561">
        <f t="shared" si="14"/>
        <v>100</v>
      </c>
      <c r="X42" s="1562"/>
      <c r="Y42" s="3468"/>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68"/>
      <c r="Q43" s="1555" t="str">
        <f t="shared" si="11"/>
        <v>内部装修</v>
      </c>
      <c r="R43" s="1556" t="s">
        <v>8</v>
      </c>
      <c r="S43" s="1557">
        <f t="shared" si="12"/>
        <v>100</v>
      </c>
      <c r="T43" s="1556" t="s">
        <v>8</v>
      </c>
      <c r="U43" s="1557">
        <f t="shared" si="13"/>
        <v>100</v>
      </c>
      <c r="V43" s="1556" t="s">
        <v>8</v>
      </c>
      <c r="W43" s="1557">
        <f t="shared" si="14"/>
        <v>100</v>
      </c>
      <c r="X43" s="1550"/>
      <c r="Y43" s="3468"/>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68"/>
      <c r="Q44" s="1555" t="str">
        <f t="shared" si="11"/>
        <v>内部装修维护情况</v>
      </c>
      <c r="R44" s="1556" t="s">
        <v>8</v>
      </c>
      <c r="S44" s="1557">
        <f t="shared" si="12"/>
        <v>100</v>
      </c>
      <c r="T44" s="1556" t="s">
        <v>8</v>
      </c>
      <c r="U44" s="1557">
        <f t="shared" si="13"/>
        <v>100</v>
      </c>
      <c r="V44" s="1556" t="s">
        <v>8</v>
      </c>
      <c r="W44" s="1557">
        <f t="shared" si="14"/>
        <v>100</v>
      </c>
      <c r="X44" s="1550"/>
      <c r="Y44" s="3468"/>
      <c r="Z44" s="1558" t="str">
        <f t="shared" si="15"/>
        <v>内部装修维护情况</v>
      </c>
      <c r="AA44" s="1559">
        <f t="shared" si="3"/>
        <v>1</v>
      </c>
      <c r="AB44" s="1559">
        <f t="shared" si="4"/>
        <v>1</v>
      </c>
      <c r="AC44" s="1559">
        <f t="shared" si="5"/>
        <v>1</v>
      </c>
    </row>
    <row r="45" spans="1:29" s="1213"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68"/>
      <c r="Q45" s="1144">
        <f t="shared" si="11"/>
        <v>111</v>
      </c>
      <c r="R45" s="1551" t="s">
        <v>8</v>
      </c>
      <c r="S45" s="1552">
        <f t="shared" si="12"/>
        <v>100</v>
      </c>
      <c r="T45" s="1551" t="s">
        <v>8</v>
      </c>
      <c r="U45" s="1552">
        <f t="shared" si="13"/>
        <v>100</v>
      </c>
      <c r="V45" s="1551" t="s">
        <v>8</v>
      </c>
      <c r="W45" s="1552">
        <f t="shared" si="14"/>
        <v>100</v>
      </c>
      <c r="X45" s="1553"/>
      <c r="Y45" s="3468"/>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68"/>
      <c r="Q46" s="1555">
        <f t="shared" si="11"/>
        <v>111</v>
      </c>
      <c r="R46" s="1556" t="s">
        <v>8</v>
      </c>
      <c r="S46" s="1557">
        <f t="shared" si="12"/>
        <v>100</v>
      </c>
      <c r="T46" s="1556" t="s">
        <v>8</v>
      </c>
      <c r="U46" s="1557">
        <f t="shared" si="13"/>
        <v>100</v>
      </c>
      <c r="V46" s="1556" t="s">
        <v>8</v>
      </c>
      <c r="W46" s="1557">
        <f t="shared" si="14"/>
        <v>100</v>
      </c>
      <c r="X46" s="1550"/>
      <c r="Y46" s="3468"/>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47"/>
      <c r="Q47" s="1555">
        <f t="shared" si="11"/>
        <v>111</v>
      </c>
      <c r="R47" s="1556" t="s">
        <v>8</v>
      </c>
      <c r="S47" s="1557">
        <f t="shared" si="12"/>
        <v>100</v>
      </c>
      <c r="T47" s="1556" t="s">
        <v>8</v>
      </c>
      <c r="U47" s="1557">
        <f t="shared" si="13"/>
        <v>100</v>
      </c>
      <c r="V47" s="1556" t="s">
        <v>8</v>
      </c>
      <c r="W47" s="1557">
        <f t="shared" si="14"/>
        <v>100</v>
      </c>
      <c r="X47" s="1550"/>
      <c r="Y47" s="3547"/>
      <c r="Z47" s="1558">
        <f t="shared" si="15"/>
        <v>111</v>
      </c>
      <c r="AA47" s="1559">
        <f t="shared" si="3"/>
        <v>1</v>
      </c>
      <c r="AB47" s="1559">
        <f t="shared" si="4"/>
        <v>1</v>
      </c>
      <c r="AC47" s="1559">
        <f t="shared" si="5"/>
        <v>1</v>
      </c>
    </row>
    <row r="48" spans="1:29" ht="15">
      <c r="A48" s="605" t="s">
        <v>736</v>
      </c>
      <c r="B48" s="885"/>
      <c r="C48" s="2588" t="s">
        <v>1</v>
      </c>
      <c r="D48" s="2589"/>
      <c r="E48" s="2590"/>
      <c r="F48" s="2591"/>
      <c r="G48" s="2592"/>
      <c r="H48" s="2593"/>
      <c r="I48" s="2590"/>
      <c r="J48" s="2593"/>
      <c r="K48" s="1593"/>
      <c r="L48" s="2126"/>
      <c r="M48" s="2116"/>
      <c r="N48" s="2116"/>
      <c r="O48" s="2116"/>
      <c r="P48" s="3428" t="str">
        <f>A48</f>
        <v>成交单价（元/平方米）</v>
      </c>
      <c r="Q48" s="3430"/>
      <c r="R48" s="3546">
        <f>E48</f>
        <v>0</v>
      </c>
      <c r="S48" s="3546"/>
      <c r="T48" s="3546">
        <f>G48</f>
        <v>0</v>
      </c>
      <c r="U48" s="3546"/>
      <c r="V48" s="3546">
        <f>I48</f>
        <v>0</v>
      </c>
      <c r="W48" s="3546"/>
      <c r="X48" s="1542"/>
      <c r="Y48" s="1564"/>
      <c r="Z48" s="1542"/>
      <c r="AA48" s="1542"/>
      <c r="AB48" s="1542"/>
      <c r="AC48" s="1542"/>
    </row>
    <row r="49" spans="1:29" ht="15.75" thickBot="1">
      <c r="A49" s="613" t="s">
        <v>2759</v>
      </c>
      <c r="B49" s="886"/>
      <c r="C49" s="2594" t="e">
        <f>R50</f>
        <v>#DIV/0!</v>
      </c>
      <c r="D49" s="2595"/>
      <c r="E49" s="2596" t="e">
        <f>R49</f>
        <v>#DIV/0!</v>
      </c>
      <c r="F49" s="2596"/>
      <c r="G49" s="2594" t="e">
        <f>T49</f>
        <v>#DIV/0!</v>
      </c>
      <c r="H49" s="2595"/>
      <c r="I49" s="2596" t="e">
        <f>V49</f>
        <v>#DIV/0!</v>
      </c>
      <c r="J49" s="2595"/>
      <c r="K49" s="1594"/>
      <c r="L49" s="2126"/>
      <c r="M49" s="2116"/>
      <c r="N49" s="2116"/>
      <c r="O49" s="2116"/>
      <c r="P49" s="3428" t="str">
        <f>A49</f>
        <v>比较价格（元/平方米）</v>
      </c>
      <c r="Q49" s="3430"/>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1542"/>
      <c r="Y49" s="1542"/>
      <c r="Z49" s="1542"/>
      <c r="AA49" s="1542"/>
      <c r="AB49" s="1542"/>
      <c r="AC49" s="1542"/>
    </row>
    <row r="50" spans="1:29" ht="15.75" thickBot="1">
      <c r="A50" s="619" t="s">
        <v>2933</v>
      </c>
      <c r="B50" s="620"/>
      <c r="C50" s="2597" t="e">
        <f>R50</f>
        <v>#DIV/0!</v>
      </c>
      <c r="D50" s="2597"/>
      <c r="E50" s="2597"/>
      <c r="F50" s="2597"/>
      <c r="G50" s="2597"/>
      <c r="H50" s="2597"/>
      <c r="I50" s="2597"/>
      <c r="J50" s="2597"/>
      <c r="K50" s="1595"/>
      <c r="L50" s="2126"/>
      <c r="M50" s="2116"/>
      <c r="N50" s="2116"/>
      <c r="O50" s="2116"/>
      <c r="P50" s="3548" t="str">
        <f>A50</f>
        <v>估价对象XX用房的比较价格（楼面单价，元/平方米）</v>
      </c>
      <c r="Q50" s="3428"/>
      <c r="R50" s="3545" t="e">
        <f>IF(F1="售价",ROUND(AVERAGE(R49:V49),0),ROUND(AVERAGE(R49:V49),1))</f>
        <v>#DIV/0!</v>
      </c>
      <c r="S50" s="3545"/>
      <c r="T50" s="3545"/>
      <c r="U50" s="3545"/>
      <c r="V50" s="3545"/>
      <c r="W50" s="3545"/>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2019-8</v>
      </c>
      <c r="D59" s="2756">
        <f>EDATE(C59,-1)</f>
        <v>43647</v>
      </c>
      <c r="E59" s="2756">
        <f t="shared" ref="E59:O59" si="16">EDATE(D59,-1)</f>
        <v>43617</v>
      </c>
      <c r="F59" s="2756">
        <f t="shared" si="16"/>
        <v>43586</v>
      </c>
      <c r="G59" s="2756">
        <f t="shared" si="16"/>
        <v>43556</v>
      </c>
      <c r="H59" s="2756">
        <f t="shared" si="16"/>
        <v>43525</v>
      </c>
      <c r="I59" s="2756">
        <f t="shared" si="16"/>
        <v>43497</v>
      </c>
      <c r="J59" s="2756">
        <f t="shared" si="16"/>
        <v>43466</v>
      </c>
      <c r="K59" s="2756">
        <f t="shared" si="16"/>
        <v>43435</v>
      </c>
      <c r="L59" s="2756">
        <f t="shared" si="16"/>
        <v>43405</v>
      </c>
      <c r="M59" s="2756">
        <f t="shared" si="16"/>
        <v>43374</v>
      </c>
      <c r="N59" s="2756">
        <f t="shared" si="16"/>
        <v>43344</v>
      </c>
      <c r="O59" s="2756">
        <f t="shared" si="16"/>
        <v>43313</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2556</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2557</v>
      </c>
      <c r="C83" s="2559" t="s">
        <v>2558</v>
      </c>
      <c r="D83" s="2559" t="s">
        <v>2559</v>
      </c>
      <c r="E83" s="2559" t="s">
        <v>2560</v>
      </c>
      <c r="F83" s="2559" t="s">
        <v>2561</v>
      </c>
      <c r="G83" s="2559" t="s">
        <v>2562</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2555</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36" t="s">
        <v>522</v>
      </c>
      <c r="D4" s="3437"/>
      <c r="E4" s="3471" t="s">
        <v>523</v>
      </c>
      <c r="F4" s="3472"/>
      <c r="G4" s="3436" t="s">
        <v>524</v>
      </c>
      <c r="H4" s="3437"/>
      <c r="I4" s="3436" t="s">
        <v>525</v>
      </c>
      <c r="J4" s="3437"/>
      <c r="K4" s="512" t="s">
        <v>526</v>
      </c>
      <c r="L4" s="2115"/>
      <c r="M4" s="2116"/>
      <c r="N4" s="2116"/>
      <c r="O4" s="2116"/>
      <c r="P4" s="3438" t="s">
        <v>527</v>
      </c>
      <c r="Q4" s="3439"/>
      <c r="R4" s="3444" t="s">
        <v>523</v>
      </c>
      <c r="S4" s="3445"/>
      <c r="T4" s="3444" t="s">
        <v>524</v>
      </c>
      <c r="U4" s="3445"/>
      <c r="V4" s="3431" t="s">
        <v>525</v>
      </c>
      <c r="W4" s="3431"/>
      <c r="X4" s="1550"/>
      <c r="Y4" s="3444" t="s">
        <v>527</v>
      </c>
      <c r="Z4" s="3445"/>
      <c r="AA4" s="3433" t="s">
        <v>523</v>
      </c>
      <c r="AB4" s="3434" t="s">
        <v>524</v>
      </c>
      <c r="AC4" s="3433" t="s">
        <v>525</v>
      </c>
    </row>
    <row r="5" spans="1:29" ht="15">
      <c r="A5" s="513"/>
      <c r="B5" s="514"/>
      <c r="C5" s="3454" t="s">
        <v>2927</v>
      </c>
      <c r="D5" s="3453"/>
      <c r="E5" s="3473" t="s">
        <v>2928</v>
      </c>
      <c r="F5" s="3474"/>
      <c r="G5" s="3454" t="s">
        <v>2929</v>
      </c>
      <c r="H5" s="3453"/>
      <c r="I5" s="3454" t="s">
        <v>2930</v>
      </c>
      <c r="J5" s="3453"/>
      <c r="K5" s="512"/>
      <c r="L5" s="2115"/>
      <c r="M5" s="2116"/>
      <c r="N5" s="2116"/>
      <c r="O5" s="2116"/>
      <c r="P5" s="3440"/>
      <c r="Q5" s="3441"/>
      <c r="R5" s="3446"/>
      <c r="S5" s="3447"/>
      <c r="T5" s="3446"/>
      <c r="U5" s="3447"/>
      <c r="V5" s="3431"/>
      <c r="W5" s="3431"/>
      <c r="X5" s="1550"/>
      <c r="Y5" s="3446"/>
      <c r="Z5" s="3447"/>
      <c r="AA5" s="3434"/>
      <c r="AB5" s="3434"/>
      <c r="AC5" s="3434"/>
    </row>
    <row r="6" spans="1:29" ht="15.75" thickBot="1">
      <c r="A6" s="515"/>
      <c r="B6" s="516"/>
      <c r="C6" s="3450" t="s">
        <v>2931</v>
      </c>
      <c r="D6" s="3451"/>
      <c r="E6" s="3469" t="s">
        <v>2931</v>
      </c>
      <c r="F6" s="3470"/>
      <c r="G6" s="3450" t="s">
        <v>2931</v>
      </c>
      <c r="H6" s="3451"/>
      <c r="I6" s="3450" t="s">
        <v>2931</v>
      </c>
      <c r="J6" s="3451"/>
      <c r="K6" s="512" t="s">
        <v>528</v>
      </c>
      <c r="L6" s="2115"/>
      <c r="M6" s="2116"/>
      <c r="N6" s="2116"/>
      <c r="O6" s="2116"/>
      <c r="P6" s="3442"/>
      <c r="Q6" s="3443"/>
      <c r="R6" s="3446"/>
      <c r="S6" s="3447"/>
      <c r="T6" s="3448"/>
      <c r="U6" s="3449"/>
      <c r="V6" s="3431"/>
      <c r="W6" s="3431"/>
      <c r="X6" s="1550"/>
      <c r="Y6" s="3448"/>
      <c r="Z6" s="3449"/>
      <c r="AA6" s="3435"/>
      <c r="AB6" s="3435"/>
      <c r="AC6" s="3435"/>
    </row>
    <row r="7" spans="1:29" s="1213" customFormat="1" ht="15.75" thickBot="1">
      <c r="A7" s="2864"/>
      <c r="B7" s="2871" t="s">
        <v>529</v>
      </c>
      <c r="C7" s="517">
        <f>'数据-取费表'!B2</f>
        <v>43691</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62" t="s">
        <v>530</v>
      </c>
      <c r="Q7" s="3464"/>
      <c r="R7" s="1551" t="s">
        <v>8</v>
      </c>
      <c r="S7" s="1552">
        <f t="shared" ref="S7:S15" si="0">F7</f>
        <v>0</v>
      </c>
      <c r="T7" s="1551" t="s">
        <v>8</v>
      </c>
      <c r="U7" s="1552">
        <f t="shared" ref="U7:U15" si="1">H7</f>
        <v>0</v>
      </c>
      <c r="V7" s="1551" t="s">
        <v>8</v>
      </c>
      <c r="W7" s="1552">
        <f t="shared" ref="W7:W15" si="2">J7</f>
        <v>0</v>
      </c>
      <c r="X7" s="1553"/>
      <c r="Y7" s="3462" t="s">
        <v>530</v>
      </c>
      <c r="Z7" s="3463"/>
      <c r="AA7" s="1554" t="e">
        <f>D7/F7</f>
        <v>#DIV/0!</v>
      </c>
      <c r="AB7" s="1554" t="e">
        <f>D7/H7</f>
        <v>#DIV/0!</v>
      </c>
      <c r="AC7" s="1554" t="e">
        <f>D7/J7</f>
        <v>#DIV/0!</v>
      </c>
    </row>
    <row r="8" spans="1:29" s="1213"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62" t="s">
        <v>533</v>
      </c>
      <c r="Q8" s="3463"/>
      <c r="R8" s="1551" t="s">
        <v>8</v>
      </c>
      <c r="S8" s="1552">
        <f t="shared" si="0"/>
        <v>0</v>
      </c>
      <c r="T8" s="1551" t="s">
        <v>8</v>
      </c>
      <c r="U8" s="1552">
        <f t="shared" si="1"/>
        <v>0</v>
      </c>
      <c r="V8" s="1551" t="s">
        <v>8</v>
      </c>
      <c r="W8" s="1552">
        <f t="shared" si="2"/>
        <v>0</v>
      </c>
      <c r="X8" s="1553"/>
      <c r="Y8" s="3462" t="s">
        <v>533</v>
      </c>
      <c r="Z8" s="3463"/>
      <c r="AA8" s="1554" t="e">
        <f t="shared" ref="AA8:AA40" si="3">D8/F8</f>
        <v>#DIV/0!</v>
      </c>
      <c r="AB8" s="1554" t="e">
        <f t="shared" ref="AB8:AB40" si="4">D8/H8</f>
        <v>#DIV/0!</v>
      </c>
      <c r="AC8" s="1554" t="e">
        <f t="shared" ref="AC8:AC40" si="5">D8/J8</f>
        <v>#DIV/0!</v>
      </c>
    </row>
    <row r="9" spans="1:29" s="1213" customFormat="1" ht="15">
      <c r="A9" s="2866"/>
      <c r="B9" s="2873" t="s">
        <v>2755</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30"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7"/>
      <c r="B10" s="2872" t="s">
        <v>2756</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30"/>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8"/>
      <c r="B11" s="2872"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30"/>
      <c r="Q11" s="1144" t="str">
        <f t="shared" si="6"/>
        <v>容积率</v>
      </c>
      <c r="R11" s="1551" t="s">
        <v>8</v>
      </c>
      <c r="S11" s="1552" t="e">
        <f t="shared" si="0"/>
        <v>#N/A</v>
      </c>
      <c r="T11" s="1551" t="s">
        <v>8</v>
      </c>
      <c r="U11" s="1552" t="e">
        <f t="shared" si="1"/>
        <v>#N/A</v>
      </c>
      <c r="V11" s="1551" t="s">
        <v>8</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430"/>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430"/>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430"/>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 t="shared" si="3"/>
        <v>1</v>
      </c>
      <c r="AB14" s="1554">
        <f t="shared" si="4"/>
        <v>1</v>
      </c>
      <c r="AC14" s="1554">
        <f t="shared" si="5"/>
        <v>1</v>
      </c>
    </row>
    <row r="15" spans="1:29" ht="57">
      <c r="A15" s="2862"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65" t="s">
        <v>540</v>
      </c>
      <c r="Q15" s="1555" t="str">
        <f t="shared" si="6"/>
        <v>产业集聚程度</v>
      </c>
      <c r="R15" s="1556" t="s">
        <v>8</v>
      </c>
      <c r="S15" s="1557">
        <f t="shared" si="0"/>
        <v>100</v>
      </c>
      <c r="T15" s="1556" t="s">
        <v>8</v>
      </c>
      <c r="U15" s="1557">
        <f t="shared" si="1"/>
        <v>100</v>
      </c>
      <c r="V15" s="1556" t="s">
        <v>8</v>
      </c>
      <c r="W15" s="1557">
        <f t="shared" si="2"/>
        <v>100</v>
      </c>
      <c r="X15" s="1550"/>
      <c r="Y15" s="3465"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66"/>
      <c r="Q16" s="1555"/>
      <c r="R16" s="1556"/>
      <c r="S16" s="1557"/>
      <c r="T16" s="1556"/>
      <c r="U16" s="1557"/>
      <c r="V16" s="1556"/>
      <c r="W16" s="1557"/>
      <c r="X16" s="1550"/>
      <c r="Y16" s="3466"/>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66"/>
      <c r="Q17" s="1555" t="str">
        <f>B17</f>
        <v>交通便捷度</v>
      </c>
      <c r="R17" s="1556" t="s">
        <v>8</v>
      </c>
      <c r="S17" s="1557">
        <f>F17</f>
        <v>100</v>
      </c>
      <c r="T17" s="1556" t="s">
        <v>8</v>
      </c>
      <c r="U17" s="1557">
        <f>H17</f>
        <v>100</v>
      </c>
      <c r="V17" s="1556" t="s">
        <v>8</v>
      </c>
      <c r="W17" s="1557">
        <f>J17</f>
        <v>100</v>
      </c>
      <c r="X17" s="1550"/>
      <c r="Y17" s="346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66"/>
      <c r="Q18" s="1555"/>
      <c r="R18" s="1556"/>
      <c r="S18" s="1557"/>
      <c r="T18" s="1556"/>
      <c r="U18" s="1557"/>
      <c r="V18" s="1556"/>
      <c r="W18" s="1557"/>
      <c r="X18" s="1550"/>
      <c r="Y18" s="3466"/>
      <c r="Z18" s="1558"/>
      <c r="AA18" s="1559">
        <v>1</v>
      </c>
      <c r="AB18" s="1559">
        <v>1</v>
      </c>
      <c r="AC18" s="1559">
        <v>1</v>
      </c>
    </row>
    <row r="19" spans="1:29" ht="42.75">
      <c r="A19" s="530"/>
      <c r="B19" s="2564"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66"/>
      <c r="Q19" s="1555" t="str">
        <f>B19</f>
        <v>公共配套设施</v>
      </c>
      <c r="R19" s="1556" t="s">
        <v>8</v>
      </c>
      <c r="S19" s="1557">
        <f>F19</f>
        <v>100</v>
      </c>
      <c r="T19" s="1556" t="s">
        <v>8</v>
      </c>
      <c r="U19" s="1557">
        <f>H19</f>
        <v>100</v>
      </c>
      <c r="V19" s="1556" t="s">
        <v>8</v>
      </c>
      <c r="W19" s="1557">
        <f>J19</f>
        <v>100</v>
      </c>
      <c r="X19" s="1550"/>
      <c r="Y19" s="346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66"/>
      <c r="Q20" s="1555"/>
      <c r="R20" s="1556"/>
      <c r="S20" s="1557"/>
      <c r="T20" s="1556"/>
      <c r="U20" s="1557"/>
      <c r="V20" s="1556"/>
      <c r="W20" s="1557"/>
      <c r="X20" s="1550"/>
      <c r="Y20" s="3466"/>
      <c r="Z20" s="1558"/>
      <c r="AA20" s="1559">
        <v>1</v>
      </c>
      <c r="AB20" s="1559">
        <v>1</v>
      </c>
      <c r="AC20" s="1559">
        <v>1</v>
      </c>
    </row>
    <row r="21" spans="1:29" ht="28.5">
      <c r="A21" s="530"/>
      <c r="B21" s="2552"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66"/>
      <c r="Q21" s="2540" t="str">
        <f>B21</f>
        <v>基础设施水平</v>
      </c>
      <c r="R21" s="1556" t="s">
        <v>8</v>
      </c>
      <c r="S21" s="1557">
        <f>F21</f>
        <v>100</v>
      </c>
      <c r="T21" s="1556" t="s">
        <v>8</v>
      </c>
      <c r="U21" s="1557">
        <f>H21</f>
        <v>100</v>
      </c>
      <c r="V21" s="1556" t="s">
        <v>8</v>
      </c>
      <c r="W21" s="1557">
        <f>J21</f>
        <v>100</v>
      </c>
      <c r="X21" s="2542"/>
      <c r="Y21" s="346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66"/>
      <c r="Q22" s="2540"/>
      <c r="R22" s="1556"/>
      <c r="S22" s="1557"/>
      <c r="T22" s="1556"/>
      <c r="U22" s="1557"/>
      <c r="V22" s="1556"/>
      <c r="W22" s="1557"/>
      <c r="X22" s="2542"/>
      <c r="Y22" s="3466"/>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66"/>
      <c r="Q23" s="1555" t="str">
        <f>B23</f>
        <v>环境质量</v>
      </c>
      <c r="R23" s="1556" t="s">
        <v>8</v>
      </c>
      <c r="S23" s="1557">
        <f>F23</f>
        <v>100</v>
      </c>
      <c r="T23" s="1556" t="s">
        <v>8</v>
      </c>
      <c r="U23" s="1557">
        <f>H23</f>
        <v>100</v>
      </c>
      <c r="V23" s="1556" t="s">
        <v>8</v>
      </c>
      <c r="W23" s="1557">
        <f>J23</f>
        <v>100</v>
      </c>
      <c r="X23" s="1550"/>
      <c r="Y23" s="3466"/>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66"/>
      <c r="Q24" s="1555"/>
      <c r="R24" s="1556"/>
      <c r="S24" s="1557"/>
      <c r="T24" s="1556"/>
      <c r="U24" s="1557"/>
      <c r="V24" s="1556"/>
      <c r="W24" s="1557"/>
      <c r="X24" s="1550"/>
      <c r="Y24" s="346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66"/>
      <c r="Q25" s="1555">
        <f>B25</f>
        <v>111</v>
      </c>
      <c r="R25" s="1556" t="s">
        <v>8</v>
      </c>
      <c r="S25" s="1557">
        <f>F25</f>
        <v>100</v>
      </c>
      <c r="T25" s="1556" t="s">
        <v>8</v>
      </c>
      <c r="U25" s="1557">
        <f>H25</f>
        <v>100</v>
      </c>
      <c r="V25" s="1556" t="s">
        <v>8</v>
      </c>
      <c r="W25" s="1557">
        <f>J25</f>
        <v>100</v>
      </c>
      <c r="X25" s="1550"/>
      <c r="Y25" s="346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66"/>
      <c r="Q26" s="1555">
        <f t="shared" ref="Q26:Q40" si="11">B26</f>
        <v>111</v>
      </c>
      <c r="R26" s="1556" t="s">
        <v>8</v>
      </c>
      <c r="S26" s="1557">
        <f>F26</f>
        <v>100</v>
      </c>
      <c r="T26" s="1556" t="s">
        <v>8</v>
      </c>
      <c r="U26" s="1557">
        <f>H26</f>
        <v>100</v>
      </c>
      <c r="V26" s="1556" t="s">
        <v>8</v>
      </c>
      <c r="W26" s="1557">
        <f>J26</f>
        <v>100</v>
      </c>
      <c r="X26" s="1550"/>
      <c r="Y26" s="3466"/>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66"/>
      <c r="Q27" s="1144">
        <f t="shared" si="11"/>
        <v>111</v>
      </c>
      <c r="R27" s="1551" t="s">
        <v>8</v>
      </c>
      <c r="S27" s="1552">
        <f>F27</f>
        <v>100</v>
      </c>
      <c r="T27" s="1551" t="s">
        <v>8</v>
      </c>
      <c r="U27" s="1552">
        <f>H27</f>
        <v>100</v>
      </c>
      <c r="V27" s="1551" t="s">
        <v>8</v>
      </c>
      <c r="W27" s="1552">
        <f>J27</f>
        <v>100</v>
      </c>
      <c r="X27" s="1553"/>
      <c r="Y27" s="3466"/>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66"/>
      <c r="Q28" s="1555">
        <f t="shared" si="11"/>
        <v>111</v>
      </c>
      <c r="R28" s="1556" t="s">
        <v>8</v>
      </c>
      <c r="S28" s="1557">
        <f t="shared" ref="S28:S40" si="12">F28</f>
        <v>100</v>
      </c>
      <c r="T28" s="1556" t="s">
        <v>8</v>
      </c>
      <c r="U28" s="1557">
        <f t="shared" ref="U28:U40" si="13">H28</f>
        <v>100</v>
      </c>
      <c r="V28" s="1556" t="s">
        <v>8</v>
      </c>
      <c r="W28" s="1557">
        <f t="shared" ref="W28:W40" si="14">J28</f>
        <v>100</v>
      </c>
      <c r="X28" s="1550"/>
      <c r="Y28" s="3466"/>
      <c r="Z28" s="1558">
        <f t="shared" ref="Z28:Z40" si="15">Q28</f>
        <v>111</v>
      </c>
      <c r="AA28" s="1559">
        <f t="shared" si="3"/>
        <v>1</v>
      </c>
      <c r="AB28" s="1559">
        <f t="shared" si="4"/>
        <v>1</v>
      </c>
      <c r="AC28" s="1559">
        <f t="shared" si="5"/>
        <v>1</v>
      </c>
    </row>
    <row r="29" spans="1:29" ht="15">
      <c r="A29" s="2859"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67" t="s">
        <v>550</v>
      </c>
      <c r="Q29" s="1555" t="str">
        <f t="shared" si="11"/>
        <v>建筑类型</v>
      </c>
      <c r="R29" s="1556" t="s">
        <v>8</v>
      </c>
      <c r="S29" s="1557">
        <f t="shared" si="12"/>
        <v>100</v>
      </c>
      <c r="T29" s="1556" t="s">
        <v>8</v>
      </c>
      <c r="U29" s="1557">
        <f t="shared" si="13"/>
        <v>100</v>
      </c>
      <c r="V29" s="1556" t="s">
        <v>8</v>
      </c>
      <c r="W29" s="1557">
        <f t="shared" si="14"/>
        <v>100</v>
      </c>
      <c r="X29" s="1550"/>
      <c r="Y29" s="3468" t="s">
        <v>550</v>
      </c>
      <c r="Z29" s="1558" t="str">
        <f t="shared" si="15"/>
        <v>建筑类型</v>
      </c>
      <c r="AA29" s="1559">
        <f t="shared" si="3"/>
        <v>1</v>
      </c>
      <c r="AB29" s="1559">
        <f t="shared" si="4"/>
        <v>1</v>
      </c>
      <c r="AC29" s="1559">
        <f t="shared" si="5"/>
        <v>1</v>
      </c>
    </row>
    <row r="30" spans="1:29" s="1332"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68"/>
      <c r="Q30" s="1587" t="str">
        <f t="shared" si="11"/>
        <v>项目建筑规模</v>
      </c>
      <c r="R30" s="1560" t="s">
        <v>8</v>
      </c>
      <c r="S30" s="1561" t="e">
        <f t="shared" si="12"/>
        <v>#N/A</v>
      </c>
      <c r="T30" s="1560" t="s">
        <v>8</v>
      </c>
      <c r="U30" s="1561" t="e">
        <f t="shared" si="13"/>
        <v>#N/A</v>
      </c>
      <c r="V30" s="1560" t="s">
        <v>8</v>
      </c>
      <c r="W30" s="1561" t="e">
        <f t="shared" si="14"/>
        <v>#N/A</v>
      </c>
      <c r="X30" s="1562"/>
      <c r="Y30" s="3468"/>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68"/>
      <c r="Q31" s="1555" t="str">
        <f t="shared" si="11"/>
        <v>建筑结构</v>
      </c>
      <c r="R31" s="1556" t="s">
        <v>8</v>
      </c>
      <c r="S31" s="1557">
        <f t="shared" si="12"/>
        <v>100</v>
      </c>
      <c r="T31" s="1556" t="s">
        <v>8</v>
      </c>
      <c r="U31" s="1557">
        <f t="shared" si="13"/>
        <v>100</v>
      </c>
      <c r="V31" s="1556" t="s">
        <v>8</v>
      </c>
      <c r="W31" s="1557">
        <f t="shared" si="14"/>
        <v>100</v>
      </c>
      <c r="X31" s="1550"/>
      <c r="Y31" s="3468"/>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68"/>
      <c r="Q32" s="1555" t="str">
        <f t="shared" si="11"/>
        <v>公共部分装修</v>
      </c>
      <c r="R32" s="1556" t="s">
        <v>8</v>
      </c>
      <c r="S32" s="1557">
        <f t="shared" si="12"/>
        <v>100</v>
      </c>
      <c r="T32" s="1556" t="s">
        <v>8</v>
      </c>
      <c r="U32" s="1557">
        <f t="shared" si="13"/>
        <v>100</v>
      </c>
      <c r="V32" s="1556" t="s">
        <v>8</v>
      </c>
      <c r="W32" s="1557">
        <f t="shared" si="14"/>
        <v>100</v>
      </c>
      <c r="X32" s="1550"/>
      <c r="Y32" s="3468"/>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68"/>
      <c r="Q33" s="1555" t="str">
        <f t="shared" si="11"/>
        <v>成新度</v>
      </c>
      <c r="R33" s="1556" t="s">
        <v>8</v>
      </c>
      <c r="S33" s="1557" t="e">
        <f t="shared" si="12"/>
        <v>#N/A</v>
      </c>
      <c r="T33" s="1556" t="s">
        <v>8</v>
      </c>
      <c r="U33" s="1557" t="e">
        <f t="shared" si="13"/>
        <v>#N/A</v>
      </c>
      <c r="V33" s="1556" t="s">
        <v>8</v>
      </c>
      <c r="W33" s="1557" t="e">
        <f t="shared" si="14"/>
        <v>#N/A</v>
      </c>
      <c r="X33" s="1550"/>
      <c r="Y33" s="3468"/>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68"/>
      <c r="Q34" s="1144" t="str">
        <f t="shared" si="11"/>
        <v>物业管理</v>
      </c>
      <c r="R34" s="1551" t="s">
        <v>8</v>
      </c>
      <c r="S34" s="1552">
        <f t="shared" si="12"/>
        <v>100</v>
      </c>
      <c r="T34" s="1551" t="s">
        <v>8</v>
      </c>
      <c r="U34" s="1552">
        <f t="shared" si="13"/>
        <v>100</v>
      </c>
      <c r="V34" s="1551" t="s">
        <v>8</v>
      </c>
      <c r="W34" s="1552">
        <f t="shared" si="14"/>
        <v>100</v>
      </c>
      <c r="X34" s="1553"/>
      <c r="Y34" s="3468"/>
      <c r="Z34" s="1143" t="str">
        <f t="shared" si="15"/>
        <v>物业管理</v>
      </c>
      <c r="AA34" s="1554">
        <f t="shared" si="3"/>
        <v>1</v>
      </c>
      <c r="AB34" s="1554">
        <f t="shared" si="4"/>
        <v>1</v>
      </c>
      <c r="AC34" s="1554">
        <f t="shared" si="5"/>
        <v>1</v>
      </c>
    </row>
    <row r="35" spans="1:29" ht="15">
      <c r="A35" s="592"/>
      <c r="B35" s="1877"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68" t="s">
        <v>550</v>
      </c>
      <c r="Q35" s="1555" t="str">
        <f t="shared" si="11"/>
        <v>市政基础设施</v>
      </c>
      <c r="R35" s="1556" t="s">
        <v>8</v>
      </c>
      <c r="S35" s="1557">
        <f t="shared" si="12"/>
        <v>100</v>
      </c>
      <c r="T35" s="1556" t="s">
        <v>8</v>
      </c>
      <c r="U35" s="1557">
        <f t="shared" si="13"/>
        <v>100</v>
      </c>
      <c r="V35" s="1556" t="s">
        <v>8</v>
      </c>
      <c r="W35" s="1557">
        <f t="shared" si="14"/>
        <v>100</v>
      </c>
      <c r="X35" s="1550"/>
      <c r="Y35" s="3468"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68"/>
      <c r="Q36" s="1555" t="str">
        <f t="shared" si="11"/>
        <v>内部装修</v>
      </c>
      <c r="R36" s="1556" t="s">
        <v>8</v>
      </c>
      <c r="S36" s="1557">
        <f t="shared" si="12"/>
        <v>100</v>
      </c>
      <c r="T36" s="1556" t="s">
        <v>8</v>
      </c>
      <c r="U36" s="1557">
        <f t="shared" si="13"/>
        <v>100</v>
      </c>
      <c r="V36" s="1556" t="s">
        <v>8</v>
      </c>
      <c r="W36" s="1557">
        <f t="shared" si="14"/>
        <v>100</v>
      </c>
      <c r="X36" s="1550"/>
      <c r="Y36" s="3468"/>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68"/>
      <c r="Q37" s="1555" t="str">
        <f t="shared" si="11"/>
        <v>内部装修状况</v>
      </c>
      <c r="R37" s="1556" t="s">
        <v>8</v>
      </c>
      <c r="S37" s="1557">
        <f t="shared" si="12"/>
        <v>100</v>
      </c>
      <c r="T37" s="1556" t="s">
        <v>8</v>
      </c>
      <c r="U37" s="1557">
        <f t="shared" si="13"/>
        <v>100</v>
      </c>
      <c r="V37" s="1556" t="s">
        <v>8</v>
      </c>
      <c r="W37" s="1557">
        <f t="shared" si="14"/>
        <v>100</v>
      </c>
      <c r="X37" s="1550"/>
      <c r="Y37" s="3468"/>
      <c r="Z37" s="1558" t="str">
        <f t="shared" si="15"/>
        <v>内部装修状况</v>
      </c>
      <c r="AA37" s="1559">
        <f t="shared" si="3"/>
        <v>1</v>
      </c>
      <c r="AB37" s="1559">
        <f t="shared" si="4"/>
        <v>1</v>
      </c>
      <c r="AC37" s="1559">
        <f t="shared" si="5"/>
        <v>1</v>
      </c>
    </row>
    <row r="38" spans="1:29" s="1332"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68"/>
      <c r="Q38" s="1587">
        <f t="shared" si="11"/>
        <v>111</v>
      </c>
      <c r="R38" s="1560" t="s">
        <v>8</v>
      </c>
      <c r="S38" s="1561">
        <f t="shared" si="12"/>
        <v>100</v>
      </c>
      <c r="T38" s="1560" t="s">
        <v>8</v>
      </c>
      <c r="U38" s="1561">
        <f t="shared" si="13"/>
        <v>100</v>
      </c>
      <c r="V38" s="1560" t="s">
        <v>8</v>
      </c>
      <c r="W38" s="1561">
        <f t="shared" si="14"/>
        <v>100</v>
      </c>
      <c r="X38" s="1562"/>
      <c r="Y38" s="3468"/>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68"/>
      <c r="Q39" s="1555">
        <f t="shared" si="11"/>
        <v>111</v>
      </c>
      <c r="R39" s="1556" t="s">
        <v>8</v>
      </c>
      <c r="S39" s="1557">
        <f t="shared" si="12"/>
        <v>100</v>
      </c>
      <c r="T39" s="1556" t="s">
        <v>8</v>
      </c>
      <c r="U39" s="1557">
        <f t="shared" si="13"/>
        <v>100</v>
      </c>
      <c r="V39" s="1556" t="s">
        <v>8</v>
      </c>
      <c r="W39" s="1557">
        <f t="shared" si="14"/>
        <v>100</v>
      </c>
      <c r="X39" s="1550"/>
      <c r="Y39" s="3468"/>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47"/>
      <c r="Q40" s="1555">
        <f t="shared" si="11"/>
        <v>111</v>
      </c>
      <c r="R40" s="1556" t="s">
        <v>8</v>
      </c>
      <c r="S40" s="1557">
        <f t="shared" si="12"/>
        <v>100</v>
      </c>
      <c r="T40" s="1556" t="s">
        <v>8</v>
      </c>
      <c r="U40" s="1557">
        <f t="shared" si="13"/>
        <v>100</v>
      </c>
      <c r="V40" s="1556" t="s">
        <v>8</v>
      </c>
      <c r="W40" s="1557">
        <f t="shared" si="14"/>
        <v>100</v>
      </c>
      <c r="X40" s="1550"/>
      <c r="Y40" s="3547"/>
      <c r="Z40" s="1558">
        <f t="shared" si="15"/>
        <v>111</v>
      </c>
      <c r="AA40" s="1559">
        <f t="shared" si="3"/>
        <v>1</v>
      </c>
      <c r="AB40" s="1559">
        <f t="shared" si="4"/>
        <v>1</v>
      </c>
      <c r="AC40" s="1559">
        <f t="shared" si="5"/>
        <v>1</v>
      </c>
    </row>
    <row r="41" spans="1:29" ht="15">
      <c r="A41" s="605" t="s">
        <v>736</v>
      </c>
      <c r="B41" s="885"/>
      <c r="C41" s="2588" t="s">
        <v>1</v>
      </c>
      <c r="D41" s="2589"/>
      <c r="E41" s="2590"/>
      <c r="F41" s="2591"/>
      <c r="G41" s="2592"/>
      <c r="H41" s="2593"/>
      <c r="I41" s="2590"/>
      <c r="J41" s="2593"/>
      <c r="K41" s="1593"/>
      <c r="L41" s="2126"/>
      <c r="M41" s="2127"/>
      <c r="N41" s="2116"/>
      <c r="O41" s="2127"/>
      <c r="P41" s="3430" t="str">
        <f>A41</f>
        <v>成交单价（元/平方米）</v>
      </c>
      <c r="Q41" s="3430"/>
      <c r="R41" s="3546">
        <f>E41</f>
        <v>0</v>
      </c>
      <c r="S41" s="3546"/>
      <c r="T41" s="3546">
        <f>G41</f>
        <v>0</v>
      </c>
      <c r="U41" s="3546"/>
      <c r="V41" s="3546">
        <f>I41</f>
        <v>0</v>
      </c>
      <c r="W41" s="3546"/>
      <c r="X41" s="1542"/>
      <c r="Y41" s="1564"/>
      <c r="Z41" s="1542"/>
      <c r="AA41" s="1542"/>
      <c r="AB41" s="1542"/>
      <c r="AC41" s="1542"/>
    </row>
    <row r="42" spans="1:29" ht="15.75" thickBot="1">
      <c r="A42" s="613" t="s">
        <v>2759</v>
      </c>
      <c r="B42" s="886"/>
      <c r="C42" s="2594" t="e">
        <f>R43</f>
        <v>#DIV/0!</v>
      </c>
      <c r="D42" s="2595"/>
      <c r="E42" s="2596" t="e">
        <f>R42</f>
        <v>#DIV/0!</v>
      </c>
      <c r="F42" s="2596"/>
      <c r="G42" s="2594" t="e">
        <f>T42</f>
        <v>#DIV/0!</v>
      </c>
      <c r="H42" s="2595"/>
      <c r="I42" s="2596" t="e">
        <f>V42</f>
        <v>#DIV/0!</v>
      </c>
      <c r="J42" s="2595"/>
      <c r="K42" s="1594"/>
      <c r="L42" s="2126"/>
      <c r="M42" s="2127"/>
      <c r="N42" s="2116"/>
      <c r="O42" s="2127"/>
      <c r="P42" s="3430" t="str">
        <f>A42</f>
        <v>比较价格（元/平方米）</v>
      </c>
      <c r="Q42" s="3430"/>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1542"/>
      <c r="Y42" s="1542"/>
      <c r="Z42" s="1542"/>
      <c r="AA42" s="1542"/>
      <c r="AB42" s="1542"/>
      <c r="AC42" s="1542"/>
    </row>
    <row r="43" spans="1:29" ht="15.75" thickBot="1">
      <c r="A43" s="619" t="s">
        <v>2933</v>
      </c>
      <c r="B43" s="620"/>
      <c r="C43" s="2597" t="e">
        <f>R43</f>
        <v>#DIV/0!</v>
      </c>
      <c r="D43" s="2597"/>
      <c r="E43" s="2597"/>
      <c r="F43" s="2597"/>
      <c r="G43" s="2597"/>
      <c r="H43" s="2597"/>
      <c r="I43" s="2597"/>
      <c r="J43" s="2597"/>
      <c r="K43" s="1595"/>
      <c r="L43" s="2126"/>
      <c r="M43" s="2127"/>
      <c r="N43" s="2127"/>
      <c r="O43" s="2127"/>
      <c r="P43" s="3427" t="str">
        <f>A43</f>
        <v>估价对象XX用房的比较价格（楼面单价，元/平方米）</v>
      </c>
      <c r="Q43" s="3428"/>
      <c r="R43" s="3545" t="e">
        <f>IF(F1="售价",ROUND(AVERAGE(R42:V42),0),ROUND(AVERAGE(R42:V42),1))</f>
        <v>#DIV/0!</v>
      </c>
      <c r="S43" s="3545"/>
      <c r="T43" s="3545"/>
      <c r="U43" s="3545"/>
      <c r="V43" s="3545"/>
      <c r="W43" s="3545"/>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2019-8</v>
      </c>
      <c r="D52" s="2756">
        <f>EDATE(C52,-1)</f>
        <v>43647</v>
      </c>
      <c r="E52" s="2756">
        <f t="shared" ref="E52:O52" si="16">EDATE(D52,-1)</f>
        <v>43617</v>
      </c>
      <c r="F52" s="2756">
        <f t="shared" si="16"/>
        <v>43586</v>
      </c>
      <c r="G52" s="2756">
        <f t="shared" si="16"/>
        <v>43556</v>
      </c>
      <c r="H52" s="2756">
        <f t="shared" si="16"/>
        <v>43525</v>
      </c>
      <c r="I52" s="2756">
        <f t="shared" si="16"/>
        <v>43497</v>
      </c>
      <c r="J52" s="2756">
        <f t="shared" si="16"/>
        <v>43466</v>
      </c>
      <c r="K52" s="2756">
        <f t="shared" si="16"/>
        <v>43435</v>
      </c>
      <c r="L52" s="2756">
        <f t="shared" si="16"/>
        <v>43405</v>
      </c>
      <c r="M52" s="2756">
        <f t="shared" si="16"/>
        <v>43374</v>
      </c>
      <c r="N52" s="2756">
        <f t="shared" si="16"/>
        <v>43344</v>
      </c>
      <c r="O52" s="2756">
        <f t="shared" si="16"/>
        <v>43313</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2556</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2557</v>
      </c>
      <c r="C76" s="2559" t="s">
        <v>2558</v>
      </c>
      <c r="D76" s="2559" t="s">
        <v>2559</v>
      </c>
      <c r="E76" s="2559" t="s">
        <v>2560</v>
      </c>
      <c r="F76" s="2559" t="s">
        <v>2561</v>
      </c>
      <c r="G76" s="2559" t="s">
        <v>2562</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2555</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2075</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36" t="s">
        <v>798</v>
      </c>
      <c r="D4" s="3437"/>
      <c r="E4" s="3436" t="s">
        <v>799</v>
      </c>
      <c r="F4" s="3437"/>
      <c r="G4" s="3436" t="s">
        <v>800</v>
      </c>
      <c r="H4" s="3437"/>
      <c r="I4" s="3436" t="s">
        <v>801</v>
      </c>
      <c r="J4" s="3437"/>
      <c r="K4" s="512" t="s">
        <v>802</v>
      </c>
      <c r="L4" s="2115"/>
      <c r="M4" s="2116"/>
      <c r="N4" s="2116"/>
      <c r="O4" s="2116"/>
      <c r="P4" s="3438" t="s">
        <v>803</v>
      </c>
      <c r="Q4" s="3439"/>
      <c r="R4" s="3444" t="s">
        <v>799</v>
      </c>
      <c r="S4" s="3445"/>
      <c r="T4" s="3444" t="s">
        <v>800</v>
      </c>
      <c r="U4" s="3445"/>
      <c r="V4" s="3431" t="s">
        <v>801</v>
      </c>
      <c r="W4" s="3431"/>
      <c r="X4" s="1550"/>
      <c r="Y4" s="3444" t="s">
        <v>803</v>
      </c>
      <c r="Z4" s="3445"/>
      <c r="AA4" s="3433" t="s">
        <v>799</v>
      </c>
      <c r="AB4" s="3434" t="s">
        <v>800</v>
      </c>
      <c r="AC4" s="3433" t="s">
        <v>801</v>
      </c>
    </row>
    <row r="5" spans="1:29" ht="15">
      <c r="A5" s="513"/>
      <c r="B5" s="514"/>
      <c r="C5" s="3454" t="s">
        <v>2927</v>
      </c>
      <c r="D5" s="3453"/>
      <c r="E5" s="3454" t="s">
        <v>2928</v>
      </c>
      <c r="F5" s="3453"/>
      <c r="G5" s="3454" t="s">
        <v>2929</v>
      </c>
      <c r="H5" s="3453"/>
      <c r="I5" s="3454" t="s">
        <v>2930</v>
      </c>
      <c r="J5" s="3453"/>
      <c r="K5" s="512"/>
      <c r="L5" s="2115"/>
      <c r="M5" s="2116"/>
      <c r="N5" s="2116"/>
      <c r="O5" s="2116"/>
      <c r="P5" s="3440"/>
      <c r="Q5" s="3441"/>
      <c r="R5" s="3446"/>
      <c r="S5" s="3447"/>
      <c r="T5" s="3446"/>
      <c r="U5" s="3447"/>
      <c r="V5" s="3431"/>
      <c r="W5" s="3431"/>
      <c r="X5" s="1550"/>
      <c r="Y5" s="3446"/>
      <c r="Z5" s="3447"/>
      <c r="AA5" s="3434"/>
      <c r="AB5" s="3434"/>
      <c r="AC5" s="3434"/>
    </row>
    <row r="6" spans="1:29" ht="15.75" thickBot="1">
      <c r="A6" s="515"/>
      <c r="B6" s="516"/>
      <c r="C6" s="3450" t="s">
        <v>2931</v>
      </c>
      <c r="D6" s="3451"/>
      <c r="E6" s="3455" t="s">
        <v>2931</v>
      </c>
      <c r="F6" s="3456"/>
      <c r="G6" s="3450" t="s">
        <v>2931</v>
      </c>
      <c r="H6" s="3451"/>
      <c r="I6" s="3450" t="s">
        <v>2931</v>
      </c>
      <c r="J6" s="3451"/>
      <c r="K6" s="512" t="s">
        <v>528</v>
      </c>
      <c r="L6" s="2115"/>
      <c r="M6" s="2116"/>
      <c r="N6" s="2116"/>
      <c r="O6" s="2116"/>
      <c r="P6" s="3442"/>
      <c r="Q6" s="3443"/>
      <c r="R6" s="3446"/>
      <c r="S6" s="3447"/>
      <c r="T6" s="3448"/>
      <c r="U6" s="3449"/>
      <c r="V6" s="3431"/>
      <c r="W6" s="3431"/>
      <c r="X6" s="1550"/>
      <c r="Y6" s="3448"/>
      <c r="Z6" s="3449"/>
      <c r="AA6" s="3435"/>
      <c r="AB6" s="3435"/>
      <c r="AC6" s="3435"/>
    </row>
    <row r="7" spans="1:29" s="1213" customFormat="1" ht="15.75" thickBot="1">
      <c r="A7" s="2864"/>
      <c r="B7" s="2871" t="s">
        <v>529</v>
      </c>
      <c r="C7" s="517">
        <f>'数据-取费表'!B2</f>
        <v>43691</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62" t="s">
        <v>530</v>
      </c>
      <c r="Q7" s="3464"/>
      <c r="R7" s="1551" t="s">
        <v>8</v>
      </c>
      <c r="S7" s="1552">
        <f t="shared" ref="S7:S14" si="0">F7</f>
        <v>0</v>
      </c>
      <c r="T7" s="1551" t="s">
        <v>8</v>
      </c>
      <c r="U7" s="1552">
        <f t="shared" ref="U7:U14" si="1">H7</f>
        <v>0</v>
      </c>
      <c r="V7" s="1551" t="s">
        <v>8</v>
      </c>
      <c r="W7" s="1552">
        <f t="shared" ref="W7:W14" si="2">J7</f>
        <v>0</v>
      </c>
      <c r="X7" s="1553"/>
      <c r="Y7" s="3462" t="s">
        <v>530</v>
      </c>
      <c r="Z7" s="3463"/>
      <c r="AA7" s="1554" t="e">
        <f>D7/F7</f>
        <v>#DIV/0!</v>
      </c>
      <c r="AB7" s="1554" t="e">
        <f>D7/H7</f>
        <v>#DIV/0!</v>
      </c>
      <c r="AC7" s="1554" t="e">
        <f>D7/J7</f>
        <v>#DIV/0!</v>
      </c>
    </row>
    <row r="8" spans="1:29" s="1213"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62" t="s">
        <v>533</v>
      </c>
      <c r="Q8" s="3463"/>
      <c r="R8" s="1551" t="s">
        <v>8</v>
      </c>
      <c r="S8" s="1552">
        <f t="shared" si="0"/>
        <v>0</v>
      </c>
      <c r="T8" s="1551" t="s">
        <v>8</v>
      </c>
      <c r="U8" s="1552">
        <f t="shared" si="1"/>
        <v>0</v>
      </c>
      <c r="V8" s="1551" t="s">
        <v>8</v>
      </c>
      <c r="W8" s="1552">
        <f t="shared" si="2"/>
        <v>0</v>
      </c>
      <c r="X8" s="1553"/>
      <c r="Y8" s="3462" t="s">
        <v>533</v>
      </c>
      <c r="Z8" s="3463"/>
      <c r="AA8" s="1554" t="e">
        <f t="shared" ref="AA8:AA36" si="3">D8/F8</f>
        <v>#DIV/0!</v>
      </c>
      <c r="AB8" s="1554" t="e">
        <f t="shared" ref="AB8:AB36" si="4">D8/H8</f>
        <v>#DIV/0!</v>
      </c>
      <c r="AC8" s="1554" t="e">
        <f t="shared" ref="AC8:AC36" si="5">D8/J8</f>
        <v>#DIV/0!</v>
      </c>
    </row>
    <row r="9" spans="1:29" s="1213" customFormat="1" ht="15">
      <c r="A9" s="2866"/>
      <c r="B9" s="2873" t="s">
        <v>2755</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30" t="s">
        <v>535</v>
      </c>
      <c r="Q9" s="1144" t="str">
        <f t="shared" ref="Q9:Q14" si="6">B9</f>
        <v>用途</v>
      </c>
      <c r="R9" s="1551" t="s">
        <v>8</v>
      </c>
      <c r="S9" s="1552">
        <f t="shared" si="0"/>
        <v>100</v>
      </c>
      <c r="T9" s="1551" t="s">
        <v>8</v>
      </c>
      <c r="U9" s="1552">
        <f t="shared" si="1"/>
        <v>100</v>
      </c>
      <c r="V9" s="1551" t="s">
        <v>8</v>
      </c>
      <c r="W9" s="1552">
        <f t="shared" si="2"/>
        <v>100</v>
      </c>
      <c r="X9" s="1553"/>
      <c r="Y9" s="3376" t="s">
        <v>536</v>
      </c>
      <c r="Z9" s="1143" t="str">
        <f t="shared" ref="Z9:Z14" si="7">Q9</f>
        <v>用途</v>
      </c>
      <c r="AA9" s="1554">
        <f t="shared" si="3"/>
        <v>1</v>
      </c>
      <c r="AB9" s="1554">
        <f t="shared" si="4"/>
        <v>1</v>
      </c>
      <c r="AC9" s="1554">
        <f t="shared" si="5"/>
        <v>1</v>
      </c>
    </row>
    <row r="10" spans="1:29" s="1331" customFormat="1" ht="27">
      <c r="A10" s="2867"/>
      <c r="B10" s="2872" t="s">
        <v>2756</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30"/>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30"/>
      <c r="Q11" s="1144">
        <f t="shared" si="6"/>
        <v>111</v>
      </c>
      <c r="R11" s="1551" t="s">
        <v>8</v>
      </c>
      <c r="S11" s="1552">
        <f t="shared" si="0"/>
        <v>100</v>
      </c>
      <c r="T11" s="1551" t="s">
        <v>8</v>
      </c>
      <c r="U11" s="1552">
        <f t="shared" si="1"/>
        <v>100</v>
      </c>
      <c r="V11" s="1551" t="s">
        <v>8</v>
      </c>
      <c r="W11" s="1552">
        <f t="shared" si="2"/>
        <v>100</v>
      </c>
      <c r="X11" s="1553"/>
      <c r="Y11" s="3376"/>
      <c r="Z11" s="1143">
        <f t="shared" si="7"/>
        <v>111</v>
      </c>
      <c r="AA11" s="1554">
        <f t="shared" si="3"/>
        <v>1</v>
      </c>
      <c r="AB11" s="1554">
        <f t="shared" si="4"/>
        <v>1</v>
      </c>
      <c r="AC11" s="1554">
        <f t="shared" si="5"/>
        <v>1</v>
      </c>
    </row>
    <row r="12" spans="1:29" s="1213"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30"/>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30"/>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85.5">
      <c r="A14" s="2862" t="s">
        <v>2753</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465" t="s">
        <v>540</v>
      </c>
      <c r="Q14" s="1555" t="str">
        <f t="shared" si="6"/>
        <v>交通便捷度</v>
      </c>
      <c r="R14" s="1556" t="s">
        <v>8</v>
      </c>
      <c r="S14" s="1557">
        <f t="shared" si="0"/>
        <v>100</v>
      </c>
      <c r="T14" s="1556" t="s">
        <v>8</v>
      </c>
      <c r="U14" s="1557">
        <f t="shared" si="1"/>
        <v>100</v>
      </c>
      <c r="V14" s="1556" t="s">
        <v>8</v>
      </c>
      <c r="W14" s="1557">
        <f t="shared" si="2"/>
        <v>100</v>
      </c>
      <c r="X14" s="1550"/>
      <c r="Y14" s="3465" t="s">
        <v>540</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466"/>
      <c r="Q15" s="1555"/>
      <c r="R15" s="1556"/>
      <c r="S15" s="1557"/>
      <c r="T15" s="1556"/>
      <c r="U15" s="1557"/>
      <c r="V15" s="1556"/>
      <c r="W15" s="1557"/>
      <c r="X15" s="1550"/>
      <c r="Y15" s="3466"/>
      <c r="Z15" s="1558"/>
      <c r="AA15" s="1559">
        <v>1</v>
      </c>
      <c r="AB15" s="1559">
        <v>1</v>
      </c>
      <c r="AC15" s="1559">
        <v>1</v>
      </c>
    </row>
    <row r="16" spans="1:29" ht="42.75">
      <c r="A16" s="513"/>
      <c r="B16" s="2564"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466"/>
      <c r="Q16" s="1555" t="str">
        <f>B16</f>
        <v>公共配套设施</v>
      </c>
      <c r="R16" s="1556" t="s">
        <v>8</v>
      </c>
      <c r="S16" s="1557">
        <f>F16</f>
        <v>100</v>
      </c>
      <c r="T16" s="1556" t="s">
        <v>8</v>
      </c>
      <c r="U16" s="1557">
        <f>H16</f>
        <v>100</v>
      </c>
      <c r="V16" s="1556" t="s">
        <v>8</v>
      </c>
      <c r="W16" s="1557">
        <f>J16</f>
        <v>100</v>
      </c>
      <c r="X16" s="1550"/>
      <c r="Y16" s="3466"/>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466"/>
      <c r="Q17" s="1555"/>
      <c r="R17" s="1556"/>
      <c r="S17" s="1557"/>
      <c r="T17" s="1556"/>
      <c r="U17" s="1557"/>
      <c r="V17" s="1556"/>
      <c r="W17" s="1557"/>
      <c r="X17" s="1550"/>
      <c r="Y17" s="3466"/>
      <c r="Z17" s="1558"/>
      <c r="AA17" s="1559">
        <v>1</v>
      </c>
      <c r="AB17" s="1559">
        <v>1</v>
      </c>
      <c r="AC17" s="1559">
        <v>1</v>
      </c>
    </row>
    <row r="18" spans="1:29" ht="28.5">
      <c r="A18" s="513"/>
      <c r="B18" s="2552"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466"/>
      <c r="Q18" s="2540" t="str">
        <f>B18</f>
        <v>基础设施水平</v>
      </c>
      <c r="R18" s="1556" t="s">
        <v>8</v>
      </c>
      <c r="S18" s="1557">
        <f>F18</f>
        <v>100</v>
      </c>
      <c r="T18" s="1556" t="s">
        <v>8</v>
      </c>
      <c r="U18" s="1557">
        <f>H18</f>
        <v>100</v>
      </c>
      <c r="V18" s="1556" t="s">
        <v>8</v>
      </c>
      <c r="W18" s="1557">
        <f>J18</f>
        <v>100</v>
      </c>
      <c r="X18" s="2542"/>
      <c r="Y18" s="3466"/>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66"/>
      <c r="Q19" s="2540"/>
      <c r="R19" s="1556"/>
      <c r="S19" s="1557"/>
      <c r="T19" s="1556"/>
      <c r="U19" s="1557"/>
      <c r="V19" s="1556"/>
      <c r="W19" s="1557"/>
      <c r="X19" s="2542"/>
      <c r="Y19" s="3466"/>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466"/>
      <c r="Q20" s="1555" t="str">
        <f>B20</f>
        <v>自然及人文环境</v>
      </c>
      <c r="R20" s="1556" t="s">
        <v>8</v>
      </c>
      <c r="S20" s="1557">
        <f>F20</f>
        <v>100</v>
      </c>
      <c r="T20" s="1556" t="s">
        <v>8</v>
      </c>
      <c r="U20" s="1557">
        <f>H20</f>
        <v>100</v>
      </c>
      <c r="V20" s="1556" t="s">
        <v>8</v>
      </c>
      <c r="W20" s="1557">
        <f>J20</f>
        <v>100</v>
      </c>
      <c r="X20" s="1550"/>
      <c r="Y20" s="3466"/>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466"/>
      <c r="Q21" s="1555"/>
      <c r="R21" s="1556"/>
      <c r="S21" s="1557"/>
      <c r="T21" s="1556"/>
      <c r="U21" s="1557"/>
      <c r="V21" s="1556"/>
      <c r="W21" s="1557"/>
      <c r="X21" s="1550"/>
      <c r="Y21" s="3466"/>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66"/>
      <c r="Q22" s="1555" t="str">
        <f>B22</f>
        <v>楼层</v>
      </c>
      <c r="R22" s="1556" t="s">
        <v>8</v>
      </c>
      <c r="S22" s="1557">
        <f>F22</f>
        <v>100</v>
      </c>
      <c r="T22" s="1556" t="s">
        <v>8</v>
      </c>
      <c r="U22" s="1557">
        <f>H22</f>
        <v>100</v>
      </c>
      <c r="V22" s="1556" t="s">
        <v>8</v>
      </c>
      <c r="W22" s="1557">
        <f>J22</f>
        <v>100</v>
      </c>
      <c r="X22" s="1550"/>
      <c r="Y22" s="3466"/>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66"/>
      <c r="Q23" s="1555">
        <f>B23</f>
        <v>111</v>
      </c>
      <c r="R23" s="1556" t="s">
        <v>8</v>
      </c>
      <c r="S23" s="1557">
        <f>F23</f>
        <v>100</v>
      </c>
      <c r="T23" s="1556" t="s">
        <v>8</v>
      </c>
      <c r="U23" s="1557">
        <f>H23</f>
        <v>100</v>
      </c>
      <c r="V23" s="1556" t="s">
        <v>8</v>
      </c>
      <c r="W23" s="1557">
        <f>J23</f>
        <v>100</v>
      </c>
      <c r="X23" s="1550"/>
      <c r="Y23" s="3466"/>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66"/>
      <c r="Q24" s="1555">
        <f t="shared" ref="Q24:Q36" si="11">B24</f>
        <v>111</v>
      </c>
      <c r="R24" s="1556" t="s">
        <v>8</v>
      </c>
      <c r="S24" s="1557">
        <f>F24</f>
        <v>100</v>
      </c>
      <c r="T24" s="1556" t="s">
        <v>8</v>
      </c>
      <c r="U24" s="1557">
        <f>H24</f>
        <v>100</v>
      </c>
      <c r="V24" s="1556" t="s">
        <v>8</v>
      </c>
      <c r="W24" s="1557">
        <f>J24</f>
        <v>100</v>
      </c>
      <c r="X24" s="1550"/>
      <c r="Y24" s="3466"/>
      <c r="Z24" s="1558">
        <f>Q24</f>
        <v>111</v>
      </c>
      <c r="AA24" s="1559">
        <f t="shared" si="3"/>
        <v>1</v>
      </c>
      <c r="AB24" s="1559">
        <f t="shared" si="4"/>
        <v>1</v>
      </c>
      <c r="AC24" s="1559">
        <f t="shared" si="5"/>
        <v>1</v>
      </c>
    </row>
    <row r="25" spans="1:29" s="1213"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66"/>
      <c r="Q25" s="1144">
        <f t="shared" si="11"/>
        <v>111</v>
      </c>
      <c r="R25" s="1551" t="s">
        <v>8</v>
      </c>
      <c r="S25" s="1552">
        <f>F25</f>
        <v>100</v>
      </c>
      <c r="T25" s="1551" t="s">
        <v>8</v>
      </c>
      <c r="U25" s="1552">
        <f>H25</f>
        <v>100</v>
      </c>
      <c r="V25" s="1551" t="s">
        <v>8</v>
      </c>
      <c r="W25" s="1552">
        <f>J25</f>
        <v>100</v>
      </c>
      <c r="X25" s="1553"/>
      <c r="Y25" s="3466"/>
      <c r="Z25" s="1143">
        <f>Q25</f>
        <v>111</v>
      </c>
      <c r="AA25" s="1559">
        <f>D25/F25</f>
        <v>1</v>
      </c>
      <c r="AB25" s="1559">
        <f>D25/H25</f>
        <v>1</v>
      </c>
      <c r="AC25" s="1559">
        <f>D25/J25</f>
        <v>1</v>
      </c>
    </row>
    <row r="26" spans="1:29" ht="15">
      <c r="A26" s="2859"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6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68" t="s">
        <v>550</v>
      </c>
      <c r="Z26" s="1558" t="str">
        <f t="shared" ref="Z26:Z36" si="15">Q26</f>
        <v>配套类型</v>
      </c>
      <c r="AA26" s="1559">
        <f t="shared" si="3"/>
        <v>1</v>
      </c>
      <c r="AB26" s="1559">
        <f t="shared" si="4"/>
        <v>1</v>
      </c>
      <c r="AC26" s="1559">
        <f t="shared" si="5"/>
        <v>1</v>
      </c>
    </row>
    <row r="27" spans="1:29" s="1332"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68"/>
      <c r="Q27" s="1587" t="str">
        <f t="shared" si="11"/>
        <v>项目停车位配比</v>
      </c>
      <c r="R27" s="1560" t="s">
        <v>8</v>
      </c>
      <c r="S27" s="1561">
        <f t="shared" si="12"/>
        <v>100</v>
      </c>
      <c r="T27" s="1560" t="s">
        <v>8</v>
      </c>
      <c r="U27" s="1561">
        <f t="shared" si="13"/>
        <v>100</v>
      </c>
      <c r="V27" s="1560" t="s">
        <v>8</v>
      </c>
      <c r="W27" s="1561">
        <f t="shared" si="14"/>
        <v>100</v>
      </c>
      <c r="X27" s="1562"/>
      <c r="Y27" s="3468"/>
      <c r="Z27" s="1563" t="str">
        <f t="shared" si="15"/>
        <v>项目停车位配比</v>
      </c>
      <c r="AA27" s="1559">
        <f t="shared" si="3"/>
        <v>1</v>
      </c>
      <c r="AB27" s="1559">
        <f t="shared" si="4"/>
        <v>1</v>
      </c>
      <c r="AC27" s="1559">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68"/>
      <c r="Q28" s="1555" t="str">
        <f t="shared" si="11"/>
        <v>公共部分装修</v>
      </c>
      <c r="R28" s="1556" t="s">
        <v>8</v>
      </c>
      <c r="S28" s="1557">
        <f t="shared" si="12"/>
        <v>100</v>
      </c>
      <c r="T28" s="1556" t="s">
        <v>8</v>
      </c>
      <c r="U28" s="1557">
        <f t="shared" si="13"/>
        <v>100</v>
      </c>
      <c r="V28" s="1556" t="s">
        <v>8</v>
      </c>
      <c r="W28" s="1557">
        <f t="shared" si="14"/>
        <v>100</v>
      </c>
      <c r="X28" s="1550"/>
      <c r="Y28" s="3468"/>
      <c r="Z28" s="1558" t="str">
        <f t="shared" si="15"/>
        <v>公共部分装修</v>
      </c>
      <c r="AA28" s="1559">
        <f t="shared" si="3"/>
        <v>1</v>
      </c>
      <c r="AB28" s="1559">
        <f t="shared" si="4"/>
        <v>1</v>
      </c>
      <c r="AC28" s="1559">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468"/>
      <c r="Q29" s="1555" t="str">
        <f t="shared" si="11"/>
        <v>成新率</v>
      </c>
      <c r="R29" s="1556" t="s">
        <v>8</v>
      </c>
      <c r="S29" s="1557" t="e">
        <f t="shared" si="12"/>
        <v>#N/A</v>
      </c>
      <c r="T29" s="1556" t="s">
        <v>8</v>
      </c>
      <c r="U29" s="1557" t="e">
        <f t="shared" si="13"/>
        <v>#N/A</v>
      </c>
      <c r="V29" s="1556" t="s">
        <v>8</v>
      </c>
      <c r="W29" s="1557" t="e">
        <f t="shared" si="14"/>
        <v>#N/A</v>
      </c>
      <c r="X29" s="1550"/>
      <c r="Y29" s="3468"/>
      <c r="Z29" s="1558" t="str">
        <f t="shared" si="15"/>
        <v>成新率</v>
      </c>
      <c r="AA29" s="1559" t="e">
        <f t="shared" si="3"/>
        <v>#N/A</v>
      </c>
      <c r="AB29" s="1559" t="e">
        <f t="shared" si="4"/>
        <v>#N/A</v>
      </c>
      <c r="AC29" s="1559"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468"/>
      <c r="Q30" s="1555" t="str">
        <f t="shared" si="11"/>
        <v>物业等级</v>
      </c>
      <c r="R30" s="1556" t="s">
        <v>8</v>
      </c>
      <c r="S30" s="1557">
        <f t="shared" si="12"/>
        <v>100</v>
      </c>
      <c r="T30" s="1556" t="s">
        <v>8</v>
      </c>
      <c r="U30" s="1557">
        <f t="shared" si="13"/>
        <v>100</v>
      </c>
      <c r="V30" s="1556" t="s">
        <v>8</v>
      </c>
      <c r="W30" s="1557">
        <f t="shared" si="14"/>
        <v>100</v>
      </c>
      <c r="X30" s="1550"/>
      <c r="Y30" s="3468"/>
      <c r="Z30" s="1558" t="str">
        <f t="shared" si="15"/>
        <v>物业等级</v>
      </c>
      <c r="AA30" s="1559">
        <f t="shared" si="3"/>
        <v>1</v>
      </c>
      <c r="AB30" s="1559">
        <f t="shared" si="4"/>
        <v>1</v>
      </c>
      <c r="AC30" s="1559">
        <f t="shared" si="5"/>
        <v>1</v>
      </c>
    </row>
    <row r="31" spans="1:29" s="1213"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468"/>
      <c r="Q31" s="1144" t="str">
        <f t="shared" si="11"/>
        <v>停车位面积</v>
      </c>
      <c r="R31" s="1551" t="s">
        <v>8</v>
      </c>
      <c r="S31" s="1552" t="e">
        <f t="shared" si="12"/>
        <v>#N/A</v>
      </c>
      <c r="T31" s="1551" t="s">
        <v>8</v>
      </c>
      <c r="U31" s="1552" t="e">
        <f t="shared" si="13"/>
        <v>#N/A</v>
      </c>
      <c r="V31" s="1551" t="s">
        <v>8</v>
      </c>
      <c r="W31" s="1552" t="e">
        <f t="shared" si="14"/>
        <v>#N/A</v>
      </c>
      <c r="X31" s="1553"/>
      <c r="Y31" s="3468"/>
      <c r="Z31" s="1143" t="str">
        <f t="shared" si="15"/>
        <v>停车位面积</v>
      </c>
      <c r="AA31" s="1554" t="e">
        <f t="shared" si="3"/>
        <v>#N/A</v>
      </c>
      <c r="AB31" s="1554" t="e">
        <f t="shared" si="4"/>
        <v>#N/A</v>
      </c>
      <c r="AC31" s="1554"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68" t="s">
        <v>550</v>
      </c>
      <c r="Q32" s="1555" t="str">
        <f t="shared" si="11"/>
        <v>车位类型</v>
      </c>
      <c r="R32" s="1556" t="s">
        <v>8</v>
      </c>
      <c r="S32" s="1557">
        <f t="shared" si="12"/>
        <v>100</v>
      </c>
      <c r="T32" s="1556" t="s">
        <v>8</v>
      </c>
      <c r="U32" s="1557">
        <f t="shared" si="13"/>
        <v>100</v>
      </c>
      <c r="V32" s="1556" t="s">
        <v>8</v>
      </c>
      <c r="W32" s="1557">
        <f t="shared" si="14"/>
        <v>100</v>
      </c>
      <c r="X32" s="1550"/>
      <c r="Y32" s="3468" t="s">
        <v>550</v>
      </c>
      <c r="Z32" s="1558" t="str">
        <f t="shared" si="15"/>
        <v>车位类型</v>
      </c>
      <c r="AA32" s="1559">
        <f t="shared" si="3"/>
        <v>1</v>
      </c>
      <c r="AB32" s="1559">
        <f t="shared" si="4"/>
        <v>1</v>
      </c>
      <c r="AC32" s="1559">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68"/>
      <c r="Q33" s="1555" t="str">
        <f t="shared" si="11"/>
        <v>是否直接入户</v>
      </c>
      <c r="R33" s="1556" t="s">
        <v>8</v>
      </c>
      <c r="S33" s="1557">
        <f t="shared" si="12"/>
        <v>100</v>
      </c>
      <c r="T33" s="1556" t="s">
        <v>8</v>
      </c>
      <c r="U33" s="1557">
        <f t="shared" si="13"/>
        <v>100</v>
      </c>
      <c r="V33" s="1556" t="s">
        <v>8</v>
      </c>
      <c r="W33" s="1557">
        <f t="shared" si="14"/>
        <v>100</v>
      </c>
      <c r="X33" s="1550"/>
      <c r="Y33" s="3468"/>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68"/>
      <c r="Q34" s="1555">
        <f t="shared" si="11"/>
        <v>111</v>
      </c>
      <c r="R34" s="1556" t="s">
        <v>8</v>
      </c>
      <c r="S34" s="1557">
        <f t="shared" si="12"/>
        <v>100</v>
      </c>
      <c r="T34" s="1556" t="s">
        <v>8</v>
      </c>
      <c r="U34" s="1557">
        <f t="shared" si="13"/>
        <v>100</v>
      </c>
      <c r="V34" s="1556" t="s">
        <v>8</v>
      </c>
      <c r="W34" s="1557">
        <f t="shared" si="14"/>
        <v>100</v>
      </c>
      <c r="X34" s="1550"/>
      <c r="Y34" s="3468"/>
      <c r="Z34" s="1558">
        <f t="shared" si="15"/>
        <v>111</v>
      </c>
      <c r="AA34" s="1559">
        <f t="shared" si="3"/>
        <v>1</v>
      </c>
      <c r="AB34" s="1559">
        <f t="shared" si="4"/>
        <v>1</v>
      </c>
      <c r="AC34" s="1559">
        <f t="shared" si="5"/>
        <v>1</v>
      </c>
    </row>
    <row r="35" spans="1:29" s="1332"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68"/>
      <c r="Q35" s="1587">
        <f t="shared" si="11"/>
        <v>111</v>
      </c>
      <c r="R35" s="1560" t="s">
        <v>8</v>
      </c>
      <c r="S35" s="1561">
        <f t="shared" si="12"/>
        <v>100</v>
      </c>
      <c r="T35" s="1560" t="s">
        <v>8</v>
      </c>
      <c r="U35" s="1561">
        <f t="shared" si="13"/>
        <v>100</v>
      </c>
      <c r="V35" s="1560" t="s">
        <v>8</v>
      </c>
      <c r="W35" s="1561">
        <f t="shared" si="14"/>
        <v>100</v>
      </c>
      <c r="X35" s="1562"/>
      <c r="Y35" s="3468"/>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68"/>
      <c r="Q36" s="1555">
        <f t="shared" si="11"/>
        <v>111</v>
      </c>
      <c r="R36" s="1556" t="s">
        <v>8</v>
      </c>
      <c r="S36" s="1557">
        <f t="shared" si="12"/>
        <v>100</v>
      </c>
      <c r="T36" s="1556" t="s">
        <v>8</v>
      </c>
      <c r="U36" s="1557">
        <f t="shared" si="13"/>
        <v>100</v>
      </c>
      <c r="V36" s="1556" t="s">
        <v>8</v>
      </c>
      <c r="W36" s="1557">
        <f t="shared" si="14"/>
        <v>100</v>
      </c>
      <c r="X36" s="1550"/>
      <c r="Y36" s="3468"/>
      <c r="Z36" s="1558">
        <f t="shared" si="15"/>
        <v>111</v>
      </c>
      <c r="AA36" s="1559">
        <f t="shared" si="3"/>
        <v>1</v>
      </c>
      <c r="AB36" s="1559">
        <f t="shared" si="4"/>
        <v>1</v>
      </c>
      <c r="AC36" s="1559">
        <f t="shared" si="5"/>
        <v>1</v>
      </c>
    </row>
    <row r="37" spans="1:29" ht="15">
      <c r="A37" s="1828" t="s">
        <v>2076</v>
      </c>
      <c r="B37" s="1829" t="s">
        <v>2077</v>
      </c>
      <c r="C37" s="2588" t="s">
        <v>1</v>
      </c>
      <c r="D37" s="2589"/>
      <c r="E37" s="2590"/>
      <c r="F37" s="2591"/>
      <c r="G37" s="2592"/>
      <c r="H37" s="2593"/>
      <c r="I37" s="2590"/>
      <c r="J37" s="2593"/>
      <c r="K37" s="1593"/>
      <c r="L37" s="2126"/>
      <c r="M37" s="2127"/>
      <c r="N37" s="2116"/>
      <c r="O37" s="2127"/>
      <c r="P37" s="3430" t="str">
        <f>A37</f>
        <v>成交单价</v>
      </c>
      <c r="Q37" s="3430"/>
      <c r="R37" s="3546">
        <f>E37</f>
        <v>0</v>
      </c>
      <c r="S37" s="3546"/>
      <c r="T37" s="3546">
        <f>G37</f>
        <v>0</v>
      </c>
      <c r="U37" s="3546"/>
      <c r="V37" s="3546">
        <f>I37</f>
        <v>0</v>
      </c>
      <c r="W37" s="3546"/>
      <c r="X37" s="1542"/>
      <c r="Y37" s="1564"/>
      <c r="Z37" s="1542"/>
      <c r="AA37" s="1542"/>
      <c r="AB37" s="1542"/>
      <c r="AC37" s="1542"/>
    </row>
    <row r="38" spans="1:29" ht="15.75" thickBot="1">
      <c r="A38" s="613" t="s">
        <v>2759</v>
      </c>
      <c r="B38" s="886"/>
      <c r="C38" s="2594" t="e">
        <f>R39</f>
        <v>#DIV/0!</v>
      </c>
      <c r="D38" s="2595"/>
      <c r="E38" s="2596" t="e">
        <f>R38</f>
        <v>#DIV/0!</v>
      </c>
      <c r="F38" s="2596"/>
      <c r="G38" s="2594" t="e">
        <f>T38</f>
        <v>#DIV/0!</v>
      </c>
      <c r="H38" s="2595"/>
      <c r="I38" s="2596" t="e">
        <f>V38</f>
        <v>#DIV/0!</v>
      </c>
      <c r="J38" s="2595"/>
      <c r="K38" s="1594"/>
      <c r="L38" s="2126"/>
      <c r="M38" s="2127"/>
      <c r="N38" s="2127"/>
      <c r="O38" s="2127"/>
      <c r="P38" s="3430" t="str">
        <f>A38</f>
        <v>比较价格（元/平方米）</v>
      </c>
      <c r="Q38" s="3430"/>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1542"/>
      <c r="Y38" s="1542"/>
      <c r="Z38" s="1542"/>
      <c r="AA38" s="1542"/>
      <c r="AB38" s="1542"/>
      <c r="AC38" s="1542"/>
    </row>
    <row r="39" spans="1:29" ht="15.75" thickBot="1">
      <c r="A39" s="619" t="s">
        <v>2933</v>
      </c>
      <c r="B39" s="620"/>
      <c r="C39" s="2597" t="e">
        <f>R39</f>
        <v>#DIV/0!</v>
      </c>
      <c r="D39" s="2597"/>
      <c r="E39" s="2597"/>
      <c r="F39" s="2597"/>
      <c r="G39" s="2597"/>
      <c r="H39" s="2597"/>
      <c r="I39" s="2597"/>
      <c r="J39" s="2597"/>
      <c r="K39" s="1595"/>
      <c r="L39" s="2126"/>
      <c r="M39" s="2127"/>
      <c r="N39" s="2127"/>
      <c r="O39" s="2127"/>
      <c r="P39" s="3427" t="str">
        <f>A39</f>
        <v>估价对象XX用房的比较价格（楼面单价，元/平方米）</v>
      </c>
      <c r="Q39" s="3428"/>
      <c r="R39" s="3545" t="e">
        <f>IF(F1="售价",ROUND(AVERAGE(R38:V38),0),ROUND(AVERAGE(R38:V38),1))</f>
        <v>#DIV/0!</v>
      </c>
      <c r="S39" s="3545"/>
      <c r="T39" s="3545"/>
      <c r="U39" s="3545"/>
      <c r="V39" s="3545"/>
      <c r="W39" s="3545"/>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2019-8</v>
      </c>
      <c r="D48" s="2756">
        <f>EDATE(C48,-1)</f>
        <v>43647</v>
      </c>
      <c r="E48" s="2756">
        <f t="shared" ref="E48:O48" si="16">EDATE(D48,-1)</f>
        <v>43617</v>
      </c>
      <c r="F48" s="2756">
        <f t="shared" si="16"/>
        <v>43586</v>
      </c>
      <c r="G48" s="2756">
        <f t="shared" si="16"/>
        <v>43556</v>
      </c>
      <c r="H48" s="2756">
        <f t="shared" si="16"/>
        <v>43525</v>
      </c>
      <c r="I48" s="2756">
        <f t="shared" si="16"/>
        <v>43497</v>
      </c>
      <c r="J48" s="2756">
        <f t="shared" si="16"/>
        <v>43466</v>
      </c>
      <c r="K48" s="2756">
        <f t="shared" si="16"/>
        <v>43435</v>
      </c>
      <c r="L48" s="2756">
        <f t="shared" si="16"/>
        <v>43405</v>
      </c>
      <c r="M48" s="2756">
        <f t="shared" si="16"/>
        <v>43374</v>
      </c>
      <c r="N48" s="2756">
        <f t="shared" si="16"/>
        <v>43344</v>
      </c>
      <c r="O48" s="2756">
        <f t="shared" si="16"/>
        <v>43313</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2556</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2557</v>
      </c>
      <c r="C67" s="2559" t="s">
        <v>2558</v>
      </c>
      <c r="D67" s="2559" t="s">
        <v>2559</v>
      </c>
      <c r="E67" s="2559" t="s">
        <v>2560</v>
      </c>
      <c r="F67" s="2559" t="s">
        <v>2561</v>
      </c>
      <c r="G67" s="2559" t="s">
        <v>2562</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36" t="s">
        <v>798</v>
      </c>
      <c r="D4" s="3437"/>
      <c r="E4" s="3471" t="s">
        <v>799</v>
      </c>
      <c r="F4" s="3472"/>
      <c r="G4" s="3436" t="s">
        <v>800</v>
      </c>
      <c r="H4" s="3437"/>
      <c r="I4" s="3436" t="s">
        <v>801</v>
      </c>
      <c r="J4" s="3437"/>
      <c r="K4" s="512" t="s">
        <v>802</v>
      </c>
      <c r="L4" s="2115"/>
      <c r="M4" s="2116"/>
      <c r="N4" s="2116"/>
      <c r="O4" s="2116"/>
      <c r="P4" s="3438" t="s">
        <v>803</v>
      </c>
      <c r="Q4" s="3439"/>
      <c r="R4" s="3444" t="s">
        <v>799</v>
      </c>
      <c r="S4" s="3445"/>
      <c r="T4" s="3444" t="s">
        <v>800</v>
      </c>
      <c r="U4" s="3445"/>
      <c r="V4" s="3431" t="s">
        <v>801</v>
      </c>
      <c r="W4" s="3431"/>
      <c r="X4" s="1550"/>
      <c r="Y4" s="3444" t="s">
        <v>803</v>
      </c>
      <c r="Z4" s="3445"/>
      <c r="AA4" s="3433" t="s">
        <v>799</v>
      </c>
      <c r="AB4" s="3434" t="s">
        <v>800</v>
      </c>
      <c r="AC4" s="3433" t="s">
        <v>801</v>
      </c>
    </row>
    <row r="5" spans="1:29" ht="15">
      <c r="A5" s="513"/>
      <c r="B5" s="514"/>
      <c r="C5" s="3454" t="s">
        <v>2927</v>
      </c>
      <c r="D5" s="3453"/>
      <c r="E5" s="3473" t="s">
        <v>2928</v>
      </c>
      <c r="F5" s="3474"/>
      <c r="G5" s="3454" t="s">
        <v>2929</v>
      </c>
      <c r="H5" s="3453"/>
      <c r="I5" s="3454" t="s">
        <v>2930</v>
      </c>
      <c r="J5" s="3453"/>
      <c r="K5" s="512"/>
      <c r="L5" s="2115"/>
      <c r="M5" s="2116"/>
      <c r="N5" s="2116"/>
      <c r="O5" s="2116"/>
      <c r="P5" s="3440"/>
      <c r="Q5" s="3441"/>
      <c r="R5" s="3446"/>
      <c r="S5" s="3447"/>
      <c r="T5" s="3446"/>
      <c r="U5" s="3447"/>
      <c r="V5" s="3431"/>
      <c r="W5" s="3431"/>
      <c r="X5" s="1550"/>
      <c r="Y5" s="3446"/>
      <c r="Z5" s="3447"/>
      <c r="AA5" s="3434"/>
      <c r="AB5" s="3434"/>
      <c r="AC5" s="3434"/>
    </row>
    <row r="6" spans="1:29" ht="15.75" thickBot="1">
      <c r="A6" s="515"/>
      <c r="B6" s="516"/>
      <c r="C6" s="3450" t="s">
        <v>2931</v>
      </c>
      <c r="D6" s="3451"/>
      <c r="E6" s="3469" t="s">
        <v>2931</v>
      </c>
      <c r="F6" s="3470"/>
      <c r="G6" s="3450" t="s">
        <v>2931</v>
      </c>
      <c r="H6" s="3451"/>
      <c r="I6" s="3450" t="s">
        <v>2931</v>
      </c>
      <c r="J6" s="3451"/>
      <c r="K6" s="512" t="s">
        <v>528</v>
      </c>
      <c r="L6" s="2115"/>
      <c r="M6" s="2116"/>
      <c r="N6" s="2116"/>
      <c r="O6" s="2116"/>
      <c r="P6" s="3442"/>
      <c r="Q6" s="3443"/>
      <c r="R6" s="3446"/>
      <c r="S6" s="3447"/>
      <c r="T6" s="3448"/>
      <c r="U6" s="3449"/>
      <c r="V6" s="3431"/>
      <c r="W6" s="3431"/>
      <c r="X6" s="1550"/>
      <c r="Y6" s="3448"/>
      <c r="Z6" s="3449"/>
      <c r="AA6" s="3435"/>
      <c r="AB6" s="3435"/>
      <c r="AC6" s="3435"/>
    </row>
    <row r="7" spans="1:29" s="1213" customFormat="1" ht="15.75" thickBot="1">
      <c r="A7" s="2864"/>
      <c r="B7" s="2871" t="s">
        <v>529</v>
      </c>
      <c r="C7" s="517">
        <f>'数据-取费表'!B2</f>
        <v>43691</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62" t="s">
        <v>530</v>
      </c>
      <c r="Q7" s="3464"/>
      <c r="R7" s="1551" t="s">
        <v>8</v>
      </c>
      <c r="S7" s="1552">
        <f t="shared" ref="S7:S14" si="0">F7</f>
        <v>0</v>
      </c>
      <c r="T7" s="1551" t="s">
        <v>8</v>
      </c>
      <c r="U7" s="1552">
        <f t="shared" ref="U7:U14" si="1">H7</f>
        <v>0</v>
      </c>
      <c r="V7" s="1551" t="s">
        <v>8</v>
      </c>
      <c r="W7" s="1552">
        <f t="shared" ref="W7:W14" si="2">J7</f>
        <v>0</v>
      </c>
      <c r="X7" s="1553"/>
      <c r="Y7" s="3462" t="s">
        <v>530</v>
      </c>
      <c r="Z7" s="3463"/>
      <c r="AA7" s="1554" t="e">
        <f>D7/F7</f>
        <v>#DIV/0!</v>
      </c>
      <c r="AB7" s="1554" t="e">
        <f>D7/H7</f>
        <v>#DIV/0!</v>
      </c>
      <c r="AC7" s="1554" t="e">
        <f>D7/J7</f>
        <v>#DIV/0!</v>
      </c>
    </row>
    <row r="8" spans="1:29" s="1213"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62" t="s">
        <v>533</v>
      </c>
      <c r="Q8" s="3463"/>
      <c r="R8" s="1551" t="s">
        <v>8</v>
      </c>
      <c r="S8" s="1552">
        <f t="shared" si="0"/>
        <v>0</v>
      </c>
      <c r="T8" s="1551" t="s">
        <v>8</v>
      </c>
      <c r="U8" s="1552">
        <f t="shared" si="1"/>
        <v>0</v>
      </c>
      <c r="V8" s="1551" t="s">
        <v>8</v>
      </c>
      <c r="W8" s="1552">
        <f t="shared" si="2"/>
        <v>0</v>
      </c>
      <c r="X8" s="1553"/>
      <c r="Y8" s="3462" t="s">
        <v>533</v>
      </c>
      <c r="Z8" s="3463"/>
      <c r="AA8" s="1554" t="e">
        <f t="shared" ref="AA8:AA34" si="3">D8/F8</f>
        <v>#DIV/0!</v>
      </c>
      <c r="AB8" s="1554" t="e">
        <f t="shared" ref="AB8:AB34" si="4">D8/H8</f>
        <v>#DIV/0!</v>
      </c>
      <c r="AC8" s="1554" t="e">
        <f t="shared" ref="AC8:AC34" si="5">D8/J8</f>
        <v>#DIV/0!</v>
      </c>
    </row>
    <row r="9" spans="1:29" s="1213" customFormat="1" ht="15">
      <c r="A9" s="2866"/>
      <c r="B9" s="2873" t="s">
        <v>2755</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30" t="s">
        <v>535</v>
      </c>
      <c r="Q9" s="1144" t="str">
        <f t="shared" ref="Q9:Q14" si="6">B9</f>
        <v>用途</v>
      </c>
      <c r="R9" s="1551" t="s">
        <v>8</v>
      </c>
      <c r="S9" s="1552">
        <f t="shared" si="0"/>
        <v>100</v>
      </c>
      <c r="T9" s="1551" t="s">
        <v>8</v>
      </c>
      <c r="U9" s="1552">
        <f t="shared" si="1"/>
        <v>100</v>
      </c>
      <c r="V9" s="1551" t="s">
        <v>8</v>
      </c>
      <c r="W9" s="1552">
        <f t="shared" si="2"/>
        <v>100</v>
      </c>
      <c r="X9" s="1553"/>
      <c r="Y9" s="3376" t="s">
        <v>536</v>
      </c>
      <c r="Z9" s="1143" t="str">
        <f t="shared" ref="Z9:Z14" si="7">Q9</f>
        <v>用途</v>
      </c>
      <c r="AA9" s="1554">
        <f t="shared" si="3"/>
        <v>1</v>
      </c>
      <c r="AB9" s="1554">
        <f t="shared" si="4"/>
        <v>1</v>
      </c>
      <c r="AC9" s="1554">
        <f t="shared" si="5"/>
        <v>1</v>
      </c>
    </row>
    <row r="10" spans="1:29" s="1331" customFormat="1" ht="27">
      <c r="A10" s="2867"/>
      <c r="B10" s="2872" t="s">
        <v>2756</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30"/>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430"/>
      <c r="Q11" s="1144">
        <f t="shared" si="6"/>
        <v>111</v>
      </c>
      <c r="R11" s="1551" t="s">
        <v>8</v>
      </c>
      <c r="S11" s="1552">
        <f t="shared" si="0"/>
        <v>100</v>
      </c>
      <c r="T11" s="1551" t="s">
        <v>8</v>
      </c>
      <c r="U11" s="1552">
        <f t="shared" si="1"/>
        <v>100</v>
      </c>
      <c r="V11" s="1551" t="s">
        <v>8</v>
      </c>
      <c r="W11" s="1552">
        <f t="shared" si="2"/>
        <v>100</v>
      </c>
      <c r="X11" s="1553"/>
      <c r="Y11" s="3376"/>
      <c r="Z11" s="1143">
        <f t="shared" si="7"/>
        <v>111</v>
      </c>
      <c r="AA11" s="1554">
        <f t="shared" si="3"/>
        <v>1</v>
      </c>
      <c r="AB11" s="1554">
        <f t="shared" si="4"/>
        <v>1</v>
      </c>
      <c r="AC11" s="1554">
        <f t="shared" si="5"/>
        <v>1</v>
      </c>
    </row>
    <row r="12" spans="1:29" s="1213"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430"/>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430"/>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85.5">
      <c r="A14" s="2862" t="s">
        <v>2753</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65" t="s">
        <v>540</v>
      </c>
      <c r="Q14" s="1555" t="str">
        <f t="shared" si="6"/>
        <v>交通便捷度</v>
      </c>
      <c r="R14" s="1556" t="s">
        <v>8</v>
      </c>
      <c r="S14" s="1557">
        <f t="shared" si="0"/>
        <v>100</v>
      </c>
      <c r="T14" s="1556" t="s">
        <v>8</v>
      </c>
      <c r="U14" s="1557">
        <f t="shared" si="1"/>
        <v>100</v>
      </c>
      <c r="V14" s="1556" t="s">
        <v>8</v>
      </c>
      <c r="W14" s="1557">
        <f t="shared" si="2"/>
        <v>100</v>
      </c>
      <c r="X14" s="1550"/>
      <c r="Y14" s="3465"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66"/>
      <c r="Q15" s="1555"/>
      <c r="R15" s="1556"/>
      <c r="S15" s="1557"/>
      <c r="T15" s="1556"/>
      <c r="U15" s="1557"/>
      <c r="V15" s="1556"/>
      <c r="W15" s="1557"/>
      <c r="X15" s="1550"/>
      <c r="Y15" s="3466"/>
      <c r="Z15" s="1558"/>
      <c r="AA15" s="1559">
        <v>1</v>
      </c>
      <c r="AB15" s="1559">
        <v>1</v>
      </c>
      <c r="AC15" s="1559">
        <v>1</v>
      </c>
    </row>
    <row r="16" spans="1:29" ht="42.75">
      <c r="A16" s="530"/>
      <c r="B16" s="2564"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66"/>
      <c r="Q16" s="1555" t="str">
        <f>B16</f>
        <v>公共配套设施</v>
      </c>
      <c r="R16" s="1556" t="s">
        <v>8</v>
      </c>
      <c r="S16" s="1557">
        <f>F16</f>
        <v>100</v>
      </c>
      <c r="T16" s="1556" t="s">
        <v>8</v>
      </c>
      <c r="U16" s="1557">
        <f>H16</f>
        <v>100</v>
      </c>
      <c r="V16" s="1556" t="s">
        <v>8</v>
      </c>
      <c r="W16" s="1557">
        <f>J16</f>
        <v>100</v>
      </c>
      <c r="X16" s="1550"/>
      <c r="Y16" s="346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66"/>
      <c r="Q17" s="1555"/>
      <c r="R17" s="1556"/>
      <c r="S17" s="1557"/>
      <c r="T17" s="1556"/>
      <c r="U17" s="1557"/>
      <c r="V17" s="1556"/>
      <c r="W17" s="1557"/>
      <c r="X17" s="1550"/>
      <c r="Y17" s="3466"/>
      <c r="Z17" s="1558"/>
      <c r="AA17" s="1559">
        <v>1</v>
      </c>
      <c r="AB17" s="1559">
        <v>1</v>
      </c>
      <c r="AC17" s="1559">
        <v>1</v>
      </c>
    </row>
    <row r="18" spans="1:29" ht="28.5">
      <c r="A18" s="530"/>
      <c r="B18" s="2552"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66"/>
      <c r="Q18" s="2540" t="str">
        <f>B18</f>
        <v>基础设施水平</v>
      </c>
      <c r="R18" s="1556" t="s">
        <v>8</v>
      </c>
      <c r="S18" s="1557">
        <f>F18</f>
        <v>100</v>
      </c>
      <c r="T18" s="1556" t="s">
        <v>8</v>
      </c>
      <c r="U18" s="1557">
        <f>H18</f>
        <v>100</v>
      </c>
      <c r="V18" s="1556" t="s">
        <v>8</v>
      </c>
      <c r="W18" s="1557">
        <f>J18</f>
        <v>100</v>
      </c>
      <c r="X18" s="2542"/>
      <c r="Y18" s="346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66"/>
      <c r="Q19" s="2540"/>
      <c r="R19" s="1556"/>
      <c r="S19" s="1557"/>
      <c r="T19" s="1556"/>
      <c r="U19" s="1557"/>
      <c r="V19" s="1556"/>
      <c r="W19" s="1557"/>
      <c r="X19" s="2542"/>
      <c r="Y19" s="3466"/>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66"/>
      <c r="Q20" s="1555" t="str">
        <f>B20</f>
        <v>自然及人文环境</v>
      </c>
      <c r="R20" s="1556" t="s">
        <v>8</v>
      </c>
      <c r="S20" s="1557">
        <f>F20</f>
        <v>100</v>
      </c>
      <c r="T20" s="1556" t="s">
        <v>8</v>
      </c>
      <c r="U20" s="1557">
        <f>H20</f>
        <v>100</v>
      </c>
      <c r="V20" s="1556" t="s">
        <v>8</v>
      </c>
      <c r="W20" s="1557">
        <f>J20</f>
        <v>100</v>
      </c>
      <c r="X20" s="1550"/>
      <c r="Y20" s="346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66"/>
      <c r="Q21" s="1555"/>
      <c r="R21" s="1556"/>
      <c r="S21" s="1557"/>
      <c r="T21" s="1556"/>
      <c r="U21" s="1557"/>
      <c r="V21" s="1556"/>
      <c r="W21" s="1557"/>
      <c r="X21" s="1550"/>
      <c r="Y21" s="3466"/>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66"/>
      <c r="Q22" s="1555" t="str">
        <f>B22</f>
        <v>楼层</v>
      </c>
      <c r="R22" s="1556" t="s">
        <v>8</v>
      </c>
      <c r="S22" s="1557">
        <f>F22</f>
        <v>100</v>
      </c>
      <c r="T22" s="1556" t="s">
        <v>8</v>
      </c>
      <c r="U22" s="1557">
        <f>H22</f>
        <v>100</v>
      </c>
      <c r="V22" s="1556" t="s">
        <v>8</v>
      </c>
      <c r="W22" s="1557">
        <f>J22</f>
        <v>100</v>
      </c>
      <c r="X22" s="1550"/>
      <c r="Y22" s="346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66"/>
      <c r="Q23" s="1555">
        <f>B23</f>
        <v>111</v>
      </c>
      <c r="R23" s="1556" t="s">
        <v>8</v>
      </c>
      <c r="S23" s="1557">
        <f>F23</f>
        <v>100</v>
      </c>
      <c r="T23" s="1556" t="s">
        <v>8</v>
      </c>
      <c r="U23" s="1557">
        <f>H23</f>
        <v>100</v>
      </c>
      <c r="V23" s="1556" t="s">
        <v>8</v>
      </c>
      <c r="W23" s="1557">
        <f>J23</f>
        <v>100</v>
      </c>
      <c r="X23" s="1550"/>
      <c r="Y23" s="346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66"/>
      <c r="Q24" s="1555">
        <f t="shared" ref="Q24:Q34" si="11">B24</f>
        <v>111</v>
      </c>
      <c r="R24" s="1556" t="s">
        <v>8</v>
      </c>
      <c r="S24" s="1557">
        <f>F24</f>
        <v>100</v>
      </c>
      <c r="T24" s="1556" t="s">
        <v>8</v>
      </c>
      <c r="U24" s="1557">
        <f>H24</f>
        <v>100</v>
      </c>
      <c r="V24" s="1556" t="s">
        <v>8</v>
      </c>
      <c r="W24" s="1557">
        <f>J24</f>
        <v>100</v>
      </c>
      <c r="X24" s="1550"/>
      <c r="Y24" s="3466"/>
      <c r="Z24" s="1558">
        <f>Q24</f>
        <v>111</v>
      </c>
      <c r="AA24" s="1559">
        <f t="shared" si="3"/>
        <v>1</v>
      </c>
      <c r="AB24" s="1559">
        <f t="shared" si="4"/>
        <v>1</v>
      </c>
      <c r="AC24" s="1559">
        <f t="shared" si="5"/>
        <v>1</v>
      </c>
    </row>
    <row r="25" spans="1:29" s="1213"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66"/>
      <c r="Q25" s="1144">
        <f t="shared" si="11"/>
        <v>111</v>
      </c>
      <c r="R25" s="1551" t="s">
        <v>8</v>
      </c>
      <c r="S25" s="1552">
        <f>F25</f>
        <v>100</v>
      </c>
      <c r="T25" s="1551" t="s">
        <v>8</v>
      </c>
      <c r="U25" s="1552">
        <f>H25</f>
        <v>100</v>
      </c>
      <c r="V25" s="1551" t="s">
        <v>8</v>
      </c>
      <c r="W25" s="1552">
        <f>J25</f>
        <v>100</v>
      </c>
      <c r="X25" s="1553"/>
      <c r="Y25" s="3466"/>
      <c r="Z25" s="1143">
        <f>Q25</f>
        <v>111</v>
      </c>
      <c r="AA25" s="1559">
        <f>D25/F25</f>
        <v>1</v>
      </c>
      <c r="AB25" s="1559">
        <f>D25/H25</f>
        <v>1</v>
      </c>
      <c r="AC25" s="1559">
        <f>D25/J25</f>
        <v>1</v>
      </c>
    </row>
    <row r="26" spans="1:29" ht="15">
      <c r="A26" s="2859"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6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68" t="s">
        <v>821</v>
      </c>
      <c r="Z26" s="1558" t="str">
        <f t="shared" ref="Z26:Z34" si="15">Q26</f>
        <v>公共部分装修</v>
      </c>
      <c r="AA26" s="1559">
        <f t="shared" si="3"/>
        <v>1</v>
      </c>
      <c r="AB26" s="1559">
        <f t="shared" si="4"/>
        <v>1</v>
      </c>
      <c r="AC26" s="1559">
        <f t="shared" si="5"/>
        <v>1</v>
      </c>
    </row>
    <row r="27" spans="1:29" s="1332"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68"/>
      <c r="Q27" s="1587" t="str">
        <f t="shared" si="11"/>
        <v>成新率</v>
      </c>
      <c r="R27" s="1560" t="s">
        <v>8</v>
      </c>
      <c r="S27" s="1561" t="e">
        <f t="shared" si="12"/>
        <v>#N/A</v>
      </c>
      <c r="T27" s="1560" t="s">
        <v>8</v>
      </c>
      <c r="U27" s="1561" t="e">
        <f t="shared" si="13"/>
        <v>#N/A</v>
      </c>
      <c r="V27" s="1560" t="s">
        <v>8</v>
      </c>
      <c r="W27" s="1561" t="e">
        <f t="shared" si="14"/>
        <v>#N/A</v>
      </c>
      <c r="X27" s="1562"/>
      <c r="Y27" s="3468"/>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68"/>
      <c r="Q28" s="1555" t="str">
        <f t="shared" si="11"/>
        <v>物业等级</v>
      </c>
      <c r="R28" s="1556" t="s">
        <v>8</v>
      </c>
      <c r="S28" s="1557">
        <f t="shared" si="12"/>
        <v>100</v>
      </c>
      <c r="T28" s="1556" t="s">
        <v>8</v>
      </c>
      <c r="U28" s="1557">
        <f t="shared" si="13"/>
        <v>100</v>
      </c>
      <c r="V28" s="1556" t="s">
        <v>8</v>
      </c>
      <c r="W28" s="1557">
        <f t="shared" si="14"/>
        <v>100</v>
      </c>
      <c r="X28" s="1550"/>
      <c r="Y28" s="3468"/>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68"/>
      <c r="Q29" s="1555" t="str">
        <f t="shared" si="11"/>
        <v>有无电梯</v>
      </c>
      <c r="R29" s="1556" t="s">
        <v>8</v>
      </c>
      <c r="S29" s="1557">
        <f t="shared" si="12"/>
        <v>100</v>
      </c>
      <c r="T29" s="1556" t="s">
        <v>8</v>
      </c>
      <c r="U29" s="1557">
        <f t="shared" si="13"/>
        <v>100</v>
      </c>
      <c r="V29" s="1556" t="s">
        <v>8</v>
      </c>
      <c r="W29" s="1557">
        <f t="shared" si="14"/>
        <v>100</v>
      </c>
      <c r="X29" s="1550"/>
      <c r="Y29" s="3468"/>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68"/>
      <c r="Q30" s="1555" t="str">
        <f t="shared" si="11"/>
        <v>建筑面积</v>
      </c>
      <c r="R30" s="1556" t="s">
        <v>8</v>
      </c>
      <c r="S30" s="1557" t="e">
        <f t="shared" si="12"/>
        <v>#N/A</v>
      </c>
      <c r="T30" s="1556" t="s">
        <v>8</v>
      </c>
      <c r="U30" s="1557" t="e">
        <f t="shared" si="13"/>
        <v>#N/A</v>
      </c>
      <c r="V30" s="1556" t="s">
        <v>8</v>
      </c>
      <c r="W30" s="1557" t="e">
        <f t="shared" si="14"/>
        <v>#N/A</v>
      </c>
      <c r="X30" s="1550"/>
      <c r="Y30" s="3468"/>
      <c r="Z30" s="1558" t="str">
        <f t="shared" si="15"/>
        <v>建筑面积</v>
      </c>
      <c r="AA30" s="1559" t="e">
        <f t="shared" si="3"/>
        <v>#N/A</v>
      </c>
      <c r="AB30" s="1559" t="e">
        <f t="shared" si="4"/>
        <v>#N/A</v>
      </c>
      <c r="AC30" s="1559" t="e">
        <f t="shared" si="5"/>
        <v>#N/A</v>
      </c>
    </row>
    <row r="31" spans="1:29" s="1213"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68"/>
      <c r="Q31" s="1144" t="str">
        <f t="shared" si="11"/>
        <v>是否封闭</v>
      </c>
      <c r="R31" s="1551" t="s">
        <v>8</v>
      </c>
      <c r="S31" s="1552">
        <f t="shared" si="12"/>
        <v>100</v>
      </c>
      <c r="T31" s="1551" t="s">
        <v>8</v>
      </c>
      <c r="U31" s="1552">
        <f t="shared" si="13"/>
        <v>100</v>
      </c>
      <c r="V31" s="1551" t="s">
        <v>8</v>
      </c>
      <c r="W31" s="1552">
        <f t="shared" si="14"/>
        <v>100</v>
      </c>
      <c r="X31" s="1553"/>
      <c r="Y31" s="3468"/>
      <c r="Z31" s="1143"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68" t="s">
        <v>550</v>
      </c>
      <c r="Q32" s="1555">
        <f t="shared" si="11"/>
        <v>111</v>
      </c>
      <c r="R32" s="1556" t="s">
        <v>8</v>
      </c>
      <c r="S32" s="1557">
        <f t="shared" si="12"/>
        <v>100</v>
      </c>
      <c r="T32" s="1556" t="s">
        <v>8</v>
      </c>
      <c r="U32" s="1557">
        <f t="shared" si="13"/>
        <v>100</v>
      </c>
      <c r="V32" s="1556" t="s">
        <v>8</v>
      </c>
      <c r="W32" s="1557">
        <f t="shared" si="14"/>
        <v>100</v>
      </c>
      <c r="X32" s="1550"/>
      <c r="Y32" s="3468"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68"/>
      <c r="Q33" s="1555">
        <f t="shared" si="11"/>
        <v>111</v>
      </c>
      <c r="R33" s="1556" t="s">
        <v>8</v>
      </c>
      <c r="S33" s="1557">
        <f t="shared" si="12"/>
        <v>100</v>
      </c>
      <c r="T33" s="1556" t="s">
        <v>8</v>
      </c>
      <c r="U33" s="1557">
        <f t="shared" si="13"/>
        <v>100</v>
      </c>
      <c r="V33" s="1556" t="s">
        <v>8</v>
      </c>
      <c r="W33" s="1557">
        <f t="shared" si="14"/>
        <v>100</v>
      </c>
      <c r="X33" s="1550"/>
      <c r="Y33" s="3468"/>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68"/>
      <c r="Q34" s="1555">
        <f t="shared" si="11"/>
        <v>111</v>
      </c>
      <c r="R34" s="1556" t="s">
        <v>8</v>
      </c>
      <c r="S34" s="1557">
        <f t="shared" si="12"/>
        <v>100</v>
      </c>
      <c r="T34" s="1556" t="s">
        <v>8</v>
      </c>
      <c r="U34" s="1557">
        <f t="shared" si="13"/>
        <v>100</v>
      </c>
      <c r="V34" s="1556" t="s">
        <v>8</v>
      </c>
      <c r="W34" s="1557">
        <f t="shared" si="14"/>
        <v>100</v>
      </c>
      <c r="X34" s="1550"/>
      <c r="Y34" s="3468"/>
      <c r="Z34" s="1558">
        <f t="shared" si="15"/>
        <v>111</v>
      </c>
      <c r="AA34" s="1559">
        <f t="shared" si="3"/>
        <v>1</v>
      </c>
      <c r="AB34" s="1559">
        <f t="shared" si="4"/>
        <v>1</v>
      </c>
      <c r="AC34" s="1559">
        <f t="shared" si="5"/>
        <v>1</v>
      </c>
    </row>
    <row r="35" spans="1:29" ht="15">
      <c r="A35" s="605" t="s">
        <v>736</v>
      </c>
      <c r="B35" s="885"/>
      <c r="C35" s="2588" t="s">
        <v>1</v>
      </c>
      <c r="D35" s="2589"/>
      <c r="E35" s="2590"/>
      <c r="F35" s="2591"/>
      <c r="G35" s="2592"/>
      <c r="H35" s="2593"/>
      <c r="I35" s="2590"/>
      <c r="J35" s="2593"/>
      <c r="K35" s="1593"/>
      <c r="L35" s="2126"/>
      <c r="M35" s="2127"/>
      <c r="N35" s="2116"/>
      <c r="O35" s="2127"/>
      <c r="P35" s="3430" t="str">
        <f>A35</f>
        <v>成交单价（元/平方米）</v>
      </c>
      <c r="Q35" s="3430"/>
      <c r="R35" s="3546">
        <f>E35</f>
        <v>0</v>
      </c>
      <c r="S35" s="3546"/>
      <c r="T35" s="3546">
        <f>G35</f>
        <v>0</v>
      </c>
      <c r="U35" s="3546"/>
      <c r="V35" s="3546">
        <f>I35</f>
        <v>0</v>
      </c>
      <c r="W35" s="3546"/>
      <c r="X35" s="1542"/>
      <c r="Y35" s="1564"/>
      <c r="Z35" s="1542"/>
      <c r="AA35" s="1542"/>
      <c r="AB35" s="1542"/>
      <c r="AC35" s="1542"/>
    </row>
    <row r="36" spans="1:29" ht="15.75" thickBot="1">
      <c r="A36" s="613" t="s">
        <v>2759</v>
      </c>
      <c r="B36" s="886"/>
      <c r="C36" s="2594" t="e">
        <f>R37</f>
        <v>#DIV/0!</v>
      </c>
      <c r="D36" s="2595"/>
      <c r="E36" s="2596" t="e">
        <f>R36</f>
        <v>#DIV/0!</v>
      </c>
      <c r="F36" s="2596"/>
      <c r="G36" s="2594" t="e">
        <f>T36</f>
        <v>#DIV/0!</v>
      </c>
      <c r="H36" s="2595"/>
      <c r="I36" s="2596" t="e">
        <f>V36</f>
        <v>#DIV/0!</v>
      </c>
      <c r="J36" s="2595"/>
      <c r="K36" s="1594"/>
      <c r="L36" s="2126"/>
      <c r="M36" s="2127"/>
      <c r="N36" s="2116"/>
      <c r="O36" s="2127"/>
      <c r="P36" s="3430" t="str">
        <f>A36</f>
        <v>比较价格（元/平方米）</v>
      </c>
      <c r="Q36" s="3430"/>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1542"/>
      <c r="Y36" s="1542"/>
      <c r="Z36" s="1542"/>
      <c r="AA36" s="1542"/>
      <c r="AB36" s="1542"/>
      <c r="AC36" s="1542"/>
    </row>
    <row r="37" spans="1:29" ht="15.75" thickBot="1">
      <c r="A37" s="619" t="s">
        <v>2933</v>
      </c>
      <c r="B37" s="620"/>
      <c r="C37" s="2597" t="e">
        <f>R37</f>
        <v>#DIV/0!</v>
      </c>
      <c r="D37" s="2597"/>
      <c r="E37" s="2597"/>
      <c r="F37" s="2597"/>
      <c r="G37" s="2597"/>
      <c r="H37" s="2597"/>
      <c r="I37" s="2597"/>
      <c r="J37" s="2597"/>
      <c r="K37" s="1595"/>
      <c r="L37" s="2126"/>
      <c r="M37" s="2127"/>
      <c r="N37" s="2127"/>
      <c r="O37" s="2127"/>
      <c r="P37" s="3427" t="str">
        <f>A37</f>
        <v>估价对象XX用房的比较价格（楼面单价，元/平方米）</v>
      </c>
      <c r="Q37" s="3428"/>
      <c r="R37" s="3545" t="e">
        <f>IF(F1="售价",ROUND(AVERAGE(R36:V36),0),ROUND(AVERAGE(R36:V36),1))</f>
        <v>#DIV/0!</v>
      </c>
      <c r="S37" s="3545"/>
      <c r="T37" s="3545"/>
      <c r="U37" s="3545"/>
      <c r="V37" s="3545"/>
      <c r="W37" s="3545"/>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2019-8</v>
      </c>
      <c r="D46" s="2756">
        <f>EDATE(C46,-1)</f>
        <v>43647</v>
      </c>
      <c r="E46" s="2756">
        <f t="shared" ref="E46:O46" si="16">EDATE(D46,-1)</f>
        <v>43617</v>
      </c>
      <c r="F46" s="2756">
        <f t="shared" si="16"/>
        <v>43586</v>
      </c>
      <c r="G46" s="2756">
        <f t="shared" si="16"/>
        <v>43556</v>
      </c>
      <c r="H46" s="2756">
        <f t="shared" si="16"/>
        <v>43525</v>
      </c>
      <c r="I46" s="2756">
        <f t="shared" si="16"/>
        <v>43497</v>
      </c>
      <c r="J46" s="2756">
        <f t="shared" si="16"/>
        <v>43466</v>
      </c>
      <c r="K46" s="2756">
        <f t="shared" si="16"/>
        <v>43435</v>
      </c>
      <c r="L46" s="2756">
        <f t="shared" si="16"/>
        <v>43405</v>
      </c>
      <c r="M46" s="2756">
        <f t="shared" si="16"/>
        <v>43374</v>
      </c>
      <c r="N46" s="2756">
        <f t="shared" si="16"/>
        <v>43344</v>
      </c>
      <c r="O46" s="2756">
        <f t="shared" si="16"/>
        <v>43313</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2556</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2557</v>
      </c>
      <c r="C65" s="2559" t="s">
        <v>2558</v>
      </c>
      <c r="D65" s="2559" t="s">
        <v>2559</v>
      </c>
      <c r="E65" s="2559" t="s">
        <v>2560</v>
      </c>
      <c r="F65" s="2559" t="s">
        <v>2561</v>
      </c>
      <c r="G65" s="2559" t="s">
        <v>2562</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7" sqref="F7"/>
    </sheetView>
  </sheetViews>
  <sheetFormatPr defaultColWidth="9" defaultRowHeight="20.25" customHeight="1"/>
  <cols>
    <col min="1" max="1" width="14.25" style="3218" customWidth="1"/>
    <col min="2" max="2" width="18.75" style="3218" customWidth="1"/>
    <col min="3" max="5" width="14.25" style="3218" customWidth="1"/>
    <col min="6" max="6" width="11" style="3218" customWidth="1"/>
    <col min="7" max="7" width="9" style="3218"/>
    <col min="8" max="8" width="13.75" style="3218" customWidth="1"/>
    <col min="9" max="256" width="9" style="3218"/>
    <col min="257" max="257" width="14.25" style="3218" customWidth="1"/>
    <col min="258" max="258" width="18.75" style="3218" customWidth="1"/>
    <col min="259" max="261" width="14.25" style="3218" customWidth="1"/>
    <col min="262" max="262" width="11" style="3218" customWidth="1"/>
    <col min="263" max="263" width="9" style="3218"/>
    <col min="264" max="264" width="13.75" style="3218" customWidth="1"/>
    <col min="265" max="512" width="9" style="3218"/>
    <col min="513" max="513" width="14.25" style="3218" customWidth="1"/>
    <col min="514" max="514" width="18.75" style="3218" customWidth="1"/>
    <col min="515" max="517" width="14.25" style="3218" customWidth="1"/>
    <col min="518" max="518" width="11" style="3218" customWidth="1"/>
    <col min="519" max="519" width="9" style="3218"/>
    <col min="520" max="520" width="13.75" style="3218" customWidth="1"/>
    <col min="521" max="768" width="9" style="3218"/>
    <col min="769" max="769" width="14.25" style="3218" customWidth="1"/>
    <col min="770" max="770" width="18.75" style="3218" customWidth="1"/>
    <col min="771" max="773" width="14.25" style="3218" customWidth="1"/>
    <col min="774" max="774" width="11" style="3218" customWidth="1"/>
    <col min="775" max="775" width="9" style="3218"/>
    <col min="776" max="776" width="13.75" style="3218" customWidth="1"/>
    <col min="777" max="1024" width="9" style="3218"/>
    <col min="1025" max="1025" width="14.25" style="3218" customWidth="1"/>
    <col min="1026" max="1026" width="18.75" style="3218" customWidth="1"/>
    <col min="1027" max="1029" width="14.25" style="3218" customWidth="1"/>
    <col min="1030" max="1030" width="11" style="3218" customWidth="1"/>
    <col min="1031" max="1031" width="9" style="3218"/>
    <col min="1032" max="1032" width="13.75" style="3218" customWidth="1"/>
    <col min="1033" max="1280" width="9" style="3218"/>
    <col min="1281" max="1281" width="14.25" style="3218" customWidth="1"/>
    <col min="1282" max="1282" width="18.75" style="3218" customWidth="1"/>
    <col min="1283" max="1285" width="14.25" style="3218" customWidth="1"/>
    <col min="1286" max="1286" width="11" style="3218" customWidth="1"/>
    <col min="1287" max="1287" width="9" style="3218"/>
    <col min="1288" max="1288" width="13.75" style="3218" customWidth="1"/>
    <col min="1289" max="1536" width="9" style="3218"/>
    <col min="1537" max="1537" width="14.25" style="3218" customWidth="1"/>
    <col min="1538" max="1538" width="18.75" style="3218" customWidth="1"/>
    <col min="1539" max="1541" width="14.25" style="3218" customWidth="1"/>
    <col min="1542" max="1542" width="11" style="3218" customWidth="1"/>
    <col min="1543" max="1543" width="9" style="3218"/>
    <col min="1544" max="1544" width="13.75" style="3218" customWidth="1"/>
    <col min="1545" max="1792" width="9" style="3218"/>
    <col min="1793" max="1793" width="14.25" style="3218" customWidth="1"/>
    <col min="1794" max="1794" width="18.75" style="3218" customWidth="1"/>
    <col min="1795" max="1797" width="14.25" style="3218" customWidth="1"/>
    <col min="1798" max="1798" width="11" style="3218" customWidth="1"/>
    <col min="1799" max="1799" width="9" style="3218"/>
    <col min="1800" max="1800" width="13.75" style="3218" customWidth="1"/>
    <col min="1801" max="2048" width="9" style="3218"/>
    <col min="2049" max="2049" width="14.25" style="3218" customWidth="1"/>
    <col min="2050" max="2050" width="18.75" style="3218" customWidth="1"/>
    <col min="2051" max="2053" width="14.25" style="3218" customWidth="1"/>
    <col min="2054" max="2054" width="11" style="3218" customWidth="1"/>
    <col min="2055" max="2055" width="9" style="3218"/>
    <col min="2056" max="2056" width="13.75" style="3218" customWidth="1"/>
    <col min="2057" max="2304" width="9" style="3218"/>
    <col min="2305" max="2305" width="14.25" style="3218" customWidth="1"/>
    <col min="2306" max="2306" width="18.75" style="3218" customWidth="1"/>
    <col min="2307" max="2309" width="14.25" style="3218" customWidth="1"/>
    <col min="2310" max="2310" width="11" style="3218" customWidth="1"/>
    <col min="2311" max="2311" width="9" style="3218"/>
    <col min="2312" max="2312" width="13.75" style="3218" customWidth="1"/>
    <col min="2313" max="2560" width="9" style="3218"/>
    <col min="2561" max="2561" width="14.25" style="3218" customWidth="1"/>
    <col min="2562" max="2562" width="18.75" style="3218" customWidth="1"/>
    <col min="2563" max="2565" width="14.25" style="3218" customWidth="1"/>
    <col min="2566" max="2566" width="11" style="3218" customWidth="1"/>
    <col min="2567" max="2567" width="9" style="3218"/>
    <col min="2568" max="2568" width="13.75" style="3218" customWidth="1"/>
    <col min="2569" max="2816" width="9" style="3218"/>
    <col min="2817" max="2817" width="14.25" style="3218" customWidth="1"/>
    <col min="2818" max="2818" width="18.75" style="3218" customWidth="1"/>
    <col min="2819" max="2821" width="14.25" style="3218" customWidth="1"/>
    <col min="2822" max="2822" width="11" style="3218" customWidth="1"/>
    <col min="2823" max="2823" width="9" style="3218"/>
    <col min="2824" max="2824" width="13.75" style="3218" customWidth="1"/>
    <col min="2825" max="3072" width="9" style="3218"/>
    <col min="3073" max="3073" width="14.25" style="3218" customWidth="1"/>
    <col min="3074" max="3074" width="18.75" style="3218" customWidth="1"/>
    <col min="3075" max="3077" width="14.25" style="3218" customWidth="1"/>
    <col min="3078" max="3078" width="11" style="3218" customWidth="1"/>
    <col min="3079" max="3079" width="9" style="3218"/>
    <col min="3080" max="3080" width="13.75" style="3218" customWidth="1"/>
    <col min="3081" max="3328" width="9" style="3218"/>
    <col min="3329" max="3329" width="14.25" style="3218" customWidth="1"/>
    <col min="3330" max="3330" width="18.75" style="3218" customWidth="1"/>
    <col min="3331" max="3333" width="14.25" style="3218" customWidth="1"/>
    <col min="3334" max="3334" width="11" style="3218" customWidth="1"/>
    <col min="3335" max="3335" width="9" style="3218"/>
    <col min="3336" max="3336" width="13.75" style="3218" customWidth="1"/>
    <col min="3337" max="3584" width="9" style="3218"/>
    <col min="3585" max="3585" width="14.25" style="3218" customWidth="1"/>
    <col min="3586" max="3586" width="18.75" style="3218" customWidth="1"/>
    <col min="3587" max="3589" width="14.25" style="3218" customWidth="1"/>
    <col min="3590" max="3590" width="11" style="3218" customWidth="1"/>
    <col min="3591" max="3591" width="9" style="3218"/>
    <col min="3592" max="3592" width="13.75" style="3218" customWidth="1"/>
    <col min="3593" max="3840" width="9" style="3218"/>
    <col min="3841" max="3841" width="14.25" style="3218" customWidth="1"/>
    <col min="3842" max="3842" width="18.75" style="3218" customWidth="1"/>
    <col min="3843" max="3845" width="14.25" style="3218" customWidth="1"/>
    <col min="3846" max="3846" width="11" style="3218" customWidth="1"/>
    <col min="3847" max="3847" width="9" style="3218"/>
    <col min="3848" max="3848" width="13.75" style="3218" customWidth="1"/>
    <col min="3849" max="4096" width="9" style="3218"/>
    <col min="4097" max="4097" width="14.25" style="3218" customWidth="1"/>
    <col min="4098" max="4098" width="18.75" style="3218" customWidth="1"/>
    <col min="4099" max="4101" width="14.25" style="3218" customWidth="1"/>
    <col min="4102" max="4102" width="11" style="3218" customWidth="1"/>
    <col min="4103" max="4103" width="9" style="3218"/>
    <col min="4104" max="4104" width="13.75" style="3218" customWidth="1"/>
    <col min="4105" max="4352" width="9" style="3218"/>
    <col min="4353" max="4353" width="14.25" style="3218" customWidth="1"/>
    <col min="4354" max="4354" width="18.75" style="3218" customWidth="1"/>
    <col min="4355" max="4357" width="14.25" style="3218" customWidth="1"/>
    <col min="4358" max="4358" width="11" style="3218" customWidth="1"/>
    <col min="4359" max="4359" width="9" style="3218"/>
    <col min="4360" max="4360" width="13.75" style="3218" customWidth="1"/>
    <col min="4361" max="4608" width="9" style="3218"/>
    <col min="4609" max="4609" width="14.25" style="3218" customWidth="1"/>
    <col min="4610" max="4610" width="18.75" style="3218" customWidth="1"/>
    <col min="4611" max="4613" width="14.25" style="3218" customWidth="1"/>
    <col min="4614" max="4614" width="11" style="3218" customWidth="1"/>
    <col min="4615" max="4615" width="9" style="3218"/>
    <col min="4616" max="4616" width="13.75" style="3218" customWidth="1"/>
    <col min="4617" max="4864" width="9" style="3218"/>
    <col min="4865" max="4865" width="14.25" style="3218" customWidth="1"/>
    <col min="4866" max="4866" width="18.75" style="3218" customWidth="1"/>
    <col min="4867" max="4869" width="14.25" style="3218" customWidth="1"/>
    <col min="4870" max="4870" width="11" style="3218" customWidth="1"/>
    <col min="4871" max="4871" width="9" style="3218"/>
    <col min="4872" max="4872" width="13.75" style="3218" customWidth="1"/>
    <col min="4873" max="5120" width="9" style="3218"/>
    <col min="5121" max="5121" width="14.25" style="3218" customWidth="1"/>
    <col min="5122" max="5122" width="18.75" style="3218" customWidth="1"/>
    <col min="5123" max="5125" width="14.25" style="3218" customWidth="1"/>
    <col min="5126" max="5126" width="11" style="3218" customWidth="1"/>
    <col min="5127" max="5127" width="9" style="3218"/>
    <col min="5128" max="5128" width="13.75" style="3218" customWidth="1"/>
    <col min="5129" max="5376" width="9" style="3218"/>
    <col min="5377" max="5377" width="14.25" style="3218" customWidth="1"/>
    <col min="5378" max="5378" width="18.75" style="3218" customWidth="1"/>
    <col min="5379" max="5381" width="14.25" style="3218" customWidth="1"/>
    <col min="5382" max="5382" width="11" style="3218" customWidth="1"/>
    <col min="5383" max="5383" width="9" style="3218"/>
    <col min="5384" max="5384" width="13.75" style="3218" customWidth="1"/>
    <col min="5385" max="5632" width="9" style="3218"/>
    <col min="5633" max="5633" width="14.25" style="3218" customWidth="1"/>
    <col min="5634" max="5634" width="18.75" style="3218" customWidth="1"/>
    <col min="5635" max="5637" width="14.25" style="3218" customWidth="1"/>
    <col min="5638" max="5638" width="11" style="3218" customWidth="1"/>
    <col min="5639" max="5639" width="9" style="3218"/>
    <col min="5640" max="5640" width="13.75" style="3218" customWidth="1"/>
    <col min="5641" max="5888" width="9" style="3218"/>
    <col min="5889" max="5889" width="14.25" style="3218" customWidth="1"/>
    <col min="5890" max="5890" width="18.75" style="3218" customWidth="1"/>
    <col min="5891" max="5893" width="14.25" style="3218" customWidth="1"/>
    <col min="5894" max="5894" width="11" style="3218" customWidth="1"/>
    <col min="5895" max="5895" width="9" style="3218"/>
    <col min="5896" max="5896" width="13.75" style="3218" customWidth="1"/>
    <col min="5897" max="6144" width="9" style="3218"/>
    <col min="6145" max="6145" width="14.25" style="3218" customWidth="1"/>
    <col min="6146" max="6146" width="18.75" style="3218" customWidth="1"/>
    <col min="6147" max="6149" width="14.25" style="3218" customWidth="1"/>
    <col min="6150" max="6150" width="11" style="3218" customWidth="1"/>
    <col min="6151" max="6151" width="9" style="3218"/>
    <col min="6152" max="6152" width="13.75" style="3218" customWidth="1"/>
    <col min="6153" max="6400" width="9" style="3218"/>
    <col min="6401" max="6401" width="14.25" style="3218" customWidth="1"/>
    <col min="6402" max="6402" width="18.75" style="3218" customWidth="1"/>
    <col min="6403" max="6405" width="14.25" style="3218" customWidth="1"/>
    <col min="6406" max="6406" width="11" style="3218" customWidth="1"/>
    <col min="6407" max="6407" width="9" style="3218"/>
    <col min="6408" max="6408" width="13.75" style="3218" customWidth="1"/>
    <col min="6409" max="6656" width="9" style="3218"/>
    <col min="6657" max="6657" width="14.25" style="3218" customWidth="1"/>
    <col min="6658" max="6658" width="18.75" style="3218" customWidth="1"/>
    <col min="6659" max="6661" width="14.25" style="3218" customWidth="1"/>
    <col min="6662" max="6662" width="11" style="3218" customWidth="1"/>
    <col min="6663" max="6663" width="9" style="3218"/>
    <col min="6664" max="6664" width="13.75" style="3218" customWidth="1"/>
    <col min="6665" max="6912" width="9" style="3218"/>
    <col min="6913" max="6913" width="14.25" style="3218" customWidth="1"/>
    <col min="6914" max="6914" width="18.75" style="3218" customWidth="1"/>
    <col min="6915" max="6917" width="14.25" style="3218" customWidth="1"/>
    <col min="6918" max="6918" width="11" style="3218" customWidth="1"/>
    <col min="6919" max="6919" width="9" style="3218"/>
    <col min="6920" max="6920" width="13.75" style="3218" customWidth="1"/>
    <col min="6921" max="7168" width="9" style="3218"/>
    <col min="7169" max="7169" width="14.25" style="3218" customWidth="1"/>
    <col min="7170" max="7170" width="18.75" style="3218" customWidth="1"/>
    <col min="7171" max="7173" width="14.25" style="3218" customWidth="1"/>
    <col min="7174" max="7174" width="11" style="3218" customWidth="1"/>
    <col min="7175" max="7175" width="9" style="3218"/>
    <col min="7176" max="7176" width="13.75" style="3218" customWidth="1"/>
    <col min="7177" max="7424" width="9" style="3218"/>
    <col min="7425" max="7425" width="14.25" style="3218" customWidth="1"/>
    <col min="7426" max="7426" width="18.75" style="3218" customWidth="1"/>
    <col min="7427" max="7429" width="14.25" style="3218" customWidth="1"/>
    <col min="7430" max="7430" width="11" style="3218" customWidth="1"/>
    <col min="7431" max="7431" width="9" style="3218"/>
    <col min="7432" max="7432" width="13.75" style="3218" customWidth="1"/>
    <col min="7433" max="7680" width="9" style="3218"/>
    <col min="7681" max="7681" width="14.25" style="3218" customWidth="1"/>
    <col min="7682" max="7682" width="18.75" style="3218" customWidth="1"/>
    <col min="7683" max="7685" width="14.25" style="3218" customWidth="1"/>
    <col min="7686" max="7686" width="11" style="3218" customWidth="1"/>
    <col min="7687" max="7687" width="9" style="3218"/>
    <col min="7688" max="7688" width="13.75" style="3218" customWidth="1"/>
    <col min="7689" max="7936" width="9" style="3218"/>
    <col min="7937" max="7937" width="14.25" style="3218" customWidth="1"/>
    <col min="7938" max="7938" width="18.75" style="3218" customWidth="1"/>
    <col min="7939" max="7941" width="14.25" style="3218" customWidth="1"/>
    <col min="7942" max="7942" width="11" style="3218" customWidth="1"/>
    <col min="7943" max="7943" width="9" style="3218"/>
    <col min="7944" max="7944" width="13.75" style="3218" customWidth="1"/>
    <col min="7945" max="8192" width="9" style="3218"/>
    <col min="8193" max="8193" width="14.25" style="3218" customWidth="1"/>
    <col min="8194" max="8194" width="18.75" style="3218" customWidth="1"/>
    <col min="8195" max="8197" width="14.25" style="3218" customWidth="1"/>
    <col min="8198" max="8198" width="11" style="3218" customWidth="1"/>
    <col min="8199" max="8199" width="9" style="3218"/>
    <col min="8200" max="8200" width="13.75" style="3218" customWidth="1"/>
    <col min="8201" max="8448" width="9" style="3218"/>
    <col min="8449" max="8449" width="14.25" style="3218" customWidth="1"/>
    <col min="8450" max="8450" width="18.75" style="3218" customWidth="1"/>
    <col min="8451" max="8453" width="14.25" style="3218" customWidth="1"/>
    <col min="8454" max="8454" width="11" style="3218" customWidth="1"/>
    <col min="8455" max="8455" width="9" style="3218"/>
    <col min="8456" max="8456" width="13.75" style="3218" customWidth="1"/>
    <col min="8457" max="8704" width="9" style="3218"/>
    <col min="8705" max="8705" width="14.25" style="3218" customWidth="1"/>
    <col min="8706" max="8706" width="18.75" style="3218" customWidth="1"/>
    <col min="8707" max="8709" width="14.25" style="3218" customWidth="1"/>
    <col min="8710" max="8710" width="11" style="3218" customWidth="1"/>
    <col min="8711" max="8711" width="9" style="3218"/>
    <col min="8712" max="8712" width="13.75" style="3218" customWidth="1"/>
    <col min="8713" max="8960" width="9" style="3218"/>
    <col min="8961" max="8961" width="14.25" style="3218" customWidth="1"/>
    <col min="8962" max="8962" width="18.75" style="3218" customWidth="1"/>
    <col min="8963" max="8965" width="14.25" style="3218" customWidth="1"/>
    <col min="8966" max="8966" width="11" style="3218" customWidth="1"/>
    <col min="8967" max="8967" width="9" style="3218"/>
    <col min="8968" max="8968" width="13.75" style="3218" customWidth="1"/>
    <col min="8969" max="9216" width="9" style="3218"/>
    <col min="9217" max="9217" width="14.25" style="3218" customWidth="1"/>
    <col min="9218" max="9218" width="18.75" style="3218" customWidth="1"/>
    <col min="9219" max="9221" width="14.25" style="3218" customWidth="1"/>
    <col min="9222" max="9222" width="11" style="3218" customWidth="1"/>
    <col min="9223" max="9223" width="9" style="3218"/>
    <col min="9224" max="9224" width="13.75" style="3218" customWidth="1"/>
    <col min="9225" max="9472" width="9" style="3218"/>
    <col min="9473" max="9473" width="14.25" style="3218" customWidth="1"/>
    <col min="9474" max="9474" width="18.75" style="3218" customWidth="1"/>
    <col min="9475" max="9477" width="14.25" style="3218" customWidth="1"/>
    <col min="9478" max="9478" width="11" style="3218" customWidth="1"/>
    <col min="9479" max="9479" width="9" style="3218"/>
    <col min="9480" max="9480" width="13.75" style="3218" customWidth="1"/>
    <col min="9481" max="9728" width="9" style="3218"/>
    <col min="9729" max="9729" width="14.25" style="3218" customWidth="1"/>
    <col min="9730" max="9730" width="18.75" style="3218" customWidth="1"/>
    <col min="9731" max="9733" width="14.25" style="3218" customWidth="1"/>
    <col min="9734" max="9734" width="11" style="3218" customWidth="1"/>
    <col min="9735" max="9735" width="9" style="3218"/>
    <col min="9736" max="9736" width="13.75" style="3218" customWidth="1"/>
    <col min="9737" max="9984" width="9" style="3218"/>
    <col min="9985" max="9985" width="14.25" style="3218" customWidth="1"/>
    <col min="9986" max="9986" width="18.75" style="3218" customWidth="1"/>
    <col min="9987" max="9989" width="14.25" style="3218" customWidth="1"/>
    <col min="9990" max="9990" width="11" style="3218" customWidth="1"/>
    <col min="9991" max="9991" width="9" style="3218"/>
    <col min="9992" max="9992" width="13.75" style="3218" customWidth="1"/>
    <col min="9993" max="10240" width="9" style="3218"/>
    <col min="10241" max="10241" width="14.25" style="3218" customWidth="1"/>
    <col min="10242" max="10242" width="18.75" style="3218" customWidth="1"/>
    <col min="10243" max="10245" width="14.25" style="3218" customWidth="1"/>
    <col min="10246" max="10246" width="11" style="3218" customWidth="1"/>
    <col min="10247" max="10247" width="9" style="3218"/>
    <col min="10248" max="10248" width="13.75" style="3218" customWidth="1"/>
    <col min="10249" max="10496" width="9" style="3218"/>
    <col min="10497" max="10497" width="14.25" style="3218" customWidth="1"/>
    <col min="10498" max="10498" width="18.75" style="3218" customWidth="1"/>
    <col min="10499" max="10501" width="14.25" style="3218" customWidth="1"/>
    <col min="10502" max="10502" width="11" style="3218" customWidth="1"/>
    <col min="10503" max="10503" width="9" style="3218"/>
    <col min="10504" max="10504" width="13.75" style="3218" customWidth="1"/>
    <col min="10505" max="10752" width="9" style="3218"/>
    <col min="10753" max="10753" width="14.25" style="3218" customWidth="1"/>
    <col min="10754" max="10754" width="18.75" style="3218" customWidth="1"/>
    <col min="10755" max="10757" width="14.25" style="3218" customWidth="1"/>
    <col min="10758" max="10758" width="11" style="3218" customWidth="1"/>
    <col min="10759" max="10759" width="9" style="3218"/>
    <col min="10760" max="10760" width="13.75" style="3218" customWidth="1"/>
    <col min="10761" max="11008" width="9" style="3218"/>
    <col min="11009" max="11009" width="14.25" style="3218" customWidth="1"/>
    <col min="11010" max="11010" width="18.75" style="3218" customWidth="1"/>
    <col min="11011" max="11013" width="14.25" style="3218" customWidth="1"/>
    <col min="11014" max="11014" width="11" style="3218" customWidth="1"/>
    <col min="11015" max="11015" width="9" style="3218"/>
    <col min="11016" max="11016" width="13.75" style="3218" customWidth="1"/>
    <col min="11017" max="11264" width="9" style="3218"/>
    <col min="11265" max="11265" width="14.25" style="3218" customWidth="1"/>
    <col min="11266" max="11266" width="18.75" style="3218" customWidth="1"/>
    <col min="11267" max="11269" width="14.25" style="3218" customWidth="1"/>
    <col min="11270" max="11270" width="11" style="3218" customWidth="1"/>
    <col min="11271" max="11271" width="9" style="3218"/>
    <col min="11272" max="11272" width="13.75" style="3218" customWidth="1"/>
    <col min="11273" max="11520" width="9" style="3218"/>
    <col min="11521" max="11521" width="14.25" style="3218" customWidth="1"/>
    <col min="11522" max="11522" width="18.75" style="3218" customWidth="1"/>
    <col min="11523" max="11525" width="14.25" style="3218" customWidth="1"/>
    <col min="11526" max="11526" width="11" style="3218" customWidth="1"/>
    <col min="11527" max="11527" width="9" style="3218"/>
    <col min="11528" max="11528" width="13.75" style="3218" customWidth="1"/>
    <col min="11529" max="11776" width="9" style="3218"/>
    <col min="11777" max="11777" width="14.25" style="3218" customWidth="1"/>
    <col min="11778" max="11778" width="18.75" style="3218" customWidth="1"/>
    <col min="11779" max="11781" width="14.25" style="3218" customWidth="1"/>
    <col min="11782" max="11782" width="11" style="3218" customWidth="1"/>
    <col min="11783" max="11783" width="9" style="3218"/>
    <col min="11784" max="11784" width="13.75" style="3218" customWidth="1"/>
    <col min="11785" max="12032" width="9" style="3218"/>
    <col min="12033" max="12033" width="14.25" style="3218" customWidth="1"/>
    <col min="12034" max="12034" width="18.75" style="3218" customWidth="1"/>
    <col min="12035" max="12037" width="14.25" style="3218" customWidth="1"/>
    <col min="12038" max="12038" width="11" style="3218" customWidth="1"/>
    <col min="12039" max="12039" width="9" style="3218"/>
    <col min="12040" max="12040" width="13.75" style="3218" customWidth="1"/>
    <col min="12041" max="12288" width="9" style="3218"/>
    <col min="12289" max="12289" width="14.25" style="3218" customWidth="1"/>
    <col min="12290" max="12290" width="18.75" style="3218" customWidth="1"/>
    <col min="12291" max="12293" width="14.25" style="3218" customWidth="1"/>
    <col min="12294" max="12294" width="11" style="3218" customWidth="1"/>
    <col min="12295" max="12295" width="9" style="3218"/>
    <col min="12296" max="12296" width="13.75" style="3218" customWidth="1"/>
    <col min="12297" max="12544" width="9" style="3218"/>
    <col min="12545" max="12545" width="14.25" style="3218" customWidth="1"/>
    <col min="12546" max="12546" width="18.75" style="3218" customWidth="1"/>
    <col min="12547" max="12549" width="14.25" style="3218" customWidth="1"/>
    <col min="12550" max="12550" width="11" style="3218" customWidth="1"/>
    <col min="12551" max="12551" width="9" style="3218"/>
    <col min="12552" max="12552" width="13.75" style="3218" customWidth="1"/>
    <col min="12553" max="12800" width="9" style="3218"/>
    <col min="12801" max="12801" width="14.25" style="3218" customWidth="1"/>
    <col min="12802" max="12802" width="18.75" style="3218" customWidth="1"/>
    <col min="12803" max="12805" width="14.25" style="3218" customWidth="1"/>
    <col min="12806" max="12806" width="11" style="3218" customWidth="1"/>
    <col min="12807" max="12807" width="9" style="3218"/>
    <col min="12808" max="12808" width="13.75" style="3218" customWidth="1"/>
    <col min="12809" max="13056" width="9" style="3218"/>
    <col min="13057" max="13057" width="14.25" style="3218" customWidth="1"/>
    <col min="13058" max="13058" width="18.75" style="3218" customWidth="1"/>
    <col min="13059" max="13061" width="14.25" style="3218" customWidth="1"/>
    <col min="13062" max="13062" width="11" style="3218" customWidth="1"/>
    <col min="13063" max="13063" width="9" style="3218"/>
    <col min="13064" max="13064" width="13.75" style="3218" customWidth="1"/>
    <col min="13065" max="13312" width="9" style="3218"/>
    <col min="13313" max="13313" width="14.25" style="3218" customWidth="1"/>
    <col min="13314" max="13314" width="18.75" style="3218" customWidth="1"/>
    <col min="13315" max="13317" width="14.25" style="3218" customWidth="1"/>
    <col min="13318" max="13318" width="11" style="3218" customWidth="1"/>
    <col min="13319" max="13319" width="9" style="3218"/>
    <col min="13320" max="13320" width="13.75" style="3218" customWidth="1"/>
    <col min="13321" max="13568" width="9" style="3218"/>
    <col min="13569" max="13569" width="14.25" style="3218" customWidth="1"/>
    <col min="13570" max="13570" width="18.75" style="3218" customWidth="1"/>
    <col min="13571" max="13573" width="14.25" style="3218" customWidth="1"/>
    <col min="13574" max="13574" width="11" style="3218" customWidth="1"/>
    <col min="13575" max="13575" width="9" style="3218"/>
    <col min="13576" max="13576" width="13.75" style="3218" customWidth="1"/>
    <col min="13577" max="13824" width="9" style="3218"/>
    <col min="13825" max="13825" width="14.25" style="3218" customWidth="1"/>
    <col min="13826" max="13826" width="18.75" style="3218" customWidth="1"/>
    <col min="13827" max="13829" width="14.25" style="3218" customWidth="1"/>
    <col min="13830" max="13830" width="11" style="3218" customWidth="1"/>
    <col min="13831" max="13831" width="9" style="3218"/>
    <col min="13832" max="13832" width="13.75" style="3218" customWidth="1"/>
    <col min="13833" max="14080" width="9" style="3218"/>
    <col min="14081" max="14081" width="14.25" style="3218" customWidth="1"/>
    <col min="14082" max="14082" width="18.75" style="3218" customWidth="1"/>
    <col min="14083" max="14085" width="14.25" style="3218" customWidth="1"/>
    <col min="14086" max="14086" width="11" style="3218" customWidth="1"/>
    <col min="14087" max="14087" width="9" style="3218"/>
    <col min="14088" max="14088" width="13.75" style="3218" customWidth="1"/>
    <col min="14089" max="14336" width="9" style="3218"/>
    <col min="14337" max="14337" width="14.25" style="3218" customWidth="1"/>
    <col min="14338" max="14338" width="18.75" style="3218" customWidth="1"/>
    <col min="14339" max="14341" width="14.25" style="3218" customWidth="1"/>
    <col min="14342" max="14342" width="11" style="3218" customWidth="1"/>
    <col min="14343" max="14343" width="9" style="3218"/>
    <col min="14344" max="14344" width="13.75" style="3218" customWidth="1"/>
    <col min="14345" max="14592" width="9" style="3218"/>
    <col min="14593" max="14593" width="14.25" style="3218" customWidth="1"/>
    <col min="14594" max="14594" width="18.75" style="3218" customWidth="1"/>
    <col min="14595" max="14597" width="14.25" style="3218" customWidth="1"/>
    <col min="14598" max="14598" width="11" style="3218" customWidth="1"/>
    <col min="14599" max="14599" width="9" style="3218"/>
    <col min="14600" max="14600" width="13.75" style="3218" customWidth="1"/>
    <col min="14601" max="14848" width="9" style="3218"/>
    <col min="14849" max="14849" width="14.25" style="3218" customWidth="1"/>
    <col min="14850" max="14850" width="18.75" style="3218" customWidth="1"/>
    <col min="14851" max="14853" width="14.25" style="3218" customWidth="1"/>
    <col min="14854" max="14854" width="11" style="3218" customWidth="1"/>
    <col min="14855" max="14855" width="9" style="3218"/>
    <col min="14856" max="14856" width="13.75" style="3218" customWidth="1"/>
    <col min="14857" max="15104" width="9" style="3218"/>
    <col min="15105" max="15105" width="14.25" style="3218" customWidth="1"/>
    <col min="15106" max="15106" width="18.75" style="3218" customWidth="1"/>
    <col min="15107" max="15109" width="14.25" style="3218" customWidth="1"/>
    <col min="15110" max="15110" width="11" style="3218" customWidth="1"/>
    <col min="15111" max="15111" width="9" style="3218"/>
    <col min="15112" max="15112" width="13.75" style="3218" customWidth="1"/>
    <col min="15113" max="15360" width="9" style="3218"/>
    <col min="15361" max="15361" width="14.25" style="3218" customWidth="1"/>
    <col min="15362" max="15362" width="18.75" style="3218" customWidth="1"/>
    <col min="15363" max="15365" width="14.25" style="3218" customWidth="1"/>
    <col min="15366" max="15366" width="11" style="3218" customWidth="1"/>
    <col min="15367" max="15367" width="9" style="3218"/>
    <col min="15368" max="15368" width="13.75" style="3218" customWidth="1"/>
    <col min="15369" max="15616" width="9" style="3218"/>
    <col min="15617" max="15617" width="14.25" style="3218" customWidth="1"/>
    <col min="15618" max="15618" width="18.75" style="3218" customWidth="1"/>
    <col min="15619" max="15621" width="14.25" style="3218" customWidth="1"/>
    <col min="15622" max="15622" width="11" style="3218" customWidth="1"/>
    <col min="15623" max="15623" width="9" style="3218"/>
    <col min="15624" max="15624" width="13.75" style="3218" customWidth="1"/>
    <col min="15625" max="15872" width="9" style="3218"/>
    <col min="15873" max="15873" width="14.25" style="3218" customWidth="1"/>
    <col min="15874" max="15874" width="18.75" style="3218" customWidth="1"/>
    <col min="15875" max="15877" width="14.25" style="3218" customWidth="1"/>
    <col min="15878" max="15878" width="11" style="3218" customWidth="1"/>
    <col min="15879" max="15879" width="9" style="3218"/>
    <col min="15880" max="15880" width="13.75" style="3218" customWidth="1"/>
    <col min="15881" max="16128" width="9" style="3218"/>
    <col min="16129" max="16129" width="14.25" style="3218" customWidth="1"/>
    <col min="16130" max="16130" width="18.75" style="3218" customWidth="1"/>
    <col min="16131" max="16133" width="14.25" style="3218" customWidth="1"/>
    <col min="16134" max="16134" width="11" style="3218" customWidth="1"/>
    <col min="16135" max="16135" width="9" style="3218"/>
    <col min="16136" max="16136" width="13.75" style="3218" customWidth="1"/>
    <col min="16137" max="16384" width="9" style="3218"/>
  </cols>
  <sheetData>
    <row r="1" spans="1:6" ht="20.25" customHeight="1" thickBot="1">
      <c r="A1" s="3216" t="s">
        <v>3102</v>
      </c>
      <c r="B1" s="3217">
        <f>'数据-取费表'!B2</f>
        <v>43691</v>
      </c>
    </row>
    <row r="2" spans="1:6" ht="33" customHeight="1">
      <c r="A2" s="3219" t="s">
        <v>3103</v>
      </c>
      <c r="B2" s="3220" t="s">
        <v>3104</v>
      </c>
      <c r="C2" s="3221" t="s">
        <v>3105</v>
      </c>
      <c r="D2" s="3220" t="s">
        <v>3106</v>
      </c>
      <c r="E2" s="3222" t="s">
        <v>3107</v>
      </c>
    </row>
    <row r="3" spans="1:6" ht="20.25" customHeight="1">
      <c r="A3" s="3223">
        <v>40</v>
      </c>
      <c r="B3" s="3224">
        <f>项目基本情况!E17</f>
        <v>57738</v>
      </c>
      <c r="C3" s="174">
        <f>ROUNDDOWN(MIN((B3-$B$1)/365,A3),2)</f>
        <v>38.479999999999997</v>
      </c>
      <c r="D3" s="175">
        <f>IF(ISERROR(ROUND(POWER(1+E3,A3-C3)*(POWER(1+E3,C3)-1)/(POWER(1+E3,A3)-1),3)),0,ROUND(POWER(1+E3,A3-C3)*(POWER(1+E3,C3)-1)/(POWER(1+E3,A3)-1),3))</f>
        <v>0.98699999999999999</v>
      </c>
      <c r="E3" s="3225">
        <f>'数据-取费表'!H6</f>
        <v>0.05</v>
      </c>
      <c r="F3" s="3218">
        <f>D3/D4</f>
        <v>0.99395770392749239</v>
      </c>
    </row>
    <row r="4" spans="1:6" ht="20.25" customHeight="1">
      <c r="A4" s="3223">
        <v>40</v>
      </c>
      <c r="B4" s="3224">
        <v>57970</v>
      </c>
      <c r="C4" s="174">
        <f>ROUNDDOWN(MIN((B4-$B$1)/365,A4),2)</f>
        <v>39.119999999999997</v>
      </c>
      <c r="D4" s="175">
        <f>IF(ISERROR(ROUND(POWER(1+E4,A4-C4)*(POWER(1+E4,C4)-1)/(POWER(1+E4,A4)-1),3)),0,ROUND(POWER(1+E4,A4-C4)*(POWER(1+E4,C4)-1)/(POWER(1+E4,A4)-1),3))</f>
        <v>0.99299999999999999</v>
      </c>
      <c r="E4" s="3225">
        <f>E3</f>
        <v>0.05</v>
      </c>
      <c r="F4" s="3218">
        <f>ROUND(D4/D3,3)</f>
        <v>1.006</v>
      </c>
    </row>
    <row r="5" spans="1:6" ht="20.25" customHeight="1" thickBot="1">
      <c r="A5" s="3226"/>
      <c r="B5" s="3227"/>
      <c r="C5" s="3228">
        <f>ROUNDDOWN(MIN((B5-$B$1)/365,A5),2)</f>
        <v>-119.7</v>
      </c>
      <c r="D5" s="3229">
        <f>IF(ISERROR(ROUND(POWER(1+E5,A5-C5)*(POWER(1+E5,C5)-1)/(POWER(1+E5,A5)-1),3)),0,ROUND(POWER(1+E5,A5-C5)*(POWER(1+E5,C5)-1)/(POWER(1+E5,A5)-1),3))</f>
        <v>0</v>
      </c>
      <c r="E5" s="3230"/>
    </row>
    <row r="6" spans="1:6" ht="20.25" customHeight="1" thickBot="1"/>
    <row r="7" spans="1:6" s="3233" customFormat="1" ht="20.25" customHeight="1" thickBot="1">
      <c r="A7" s="3231" t="s">
        <v>3108</v>
      </c>
      <c r="B7" s="3232"/>
    </row>
    <row r="8" spans="1:6" ht="20.25" customHeight="1" thickBot="1">
      <c r="A8" s="3552" t="s">
        <v>3109</v>
      </c>
      <c r="B8" s="3553"/>
      <c r="C8" s="3234"/>
      <c r="D8" s="3235" t="s">
        <v>3107</v>
      </c>
      <c r="E8" s="3234"/>
      <c r="F8" s="3236" t="s">
        <v>3106</v>
      </c>
    </row>
    <row r="9" spans="1:6" ht="20.25" customHeight="1">
      <c r="A9" s="3237" t="s">
        <v>3110</v>
      </c>
      <c r="B9" s="3238">
        <v>70</v>
      </c>
      <c r="C9" s="3239" t="s">
        <v>3111</v>
      </c>
      <c r="D9" s="3240">
        <v>4.4999999999999998E-2</v>
      </c>
      <c r="E9" s="3239" t="s">
        <v>3112</v>
      </c>
      <c r="F9" s="3241">
        <f>1-(1/(POWER(1+D9,B9)))</f>
        <v>0.95409503414356267</v>
      </c>
    </row>
    <row r="10" spans="1:6" ht="20.25" customHeight="1" thickBot="1">
      <c r="A10" s="3242" t="s">
        <v>3113</v>
      </c>
      <c r="B10" s="3243">
        <v>40</v>
      </c>
      <c r="C10" s="3244" t="s">
        <v>3114</v>
      </c>
      <c r="D10" s="3245">
        <v>4.4999999999999998E-2</v>
      </c>
      <c r="E10" s="3244" t="s">
        <v>3115</v>
      </c>
      <c r="F10" s="3246">
        <f>1-(1/(POWER(1+D10,B10)))</f>
        <v>0.8280712989125899</v>
      </c>
    </row>
    <row r="11" spans="1:6" ht="20.25" customHeight="1" thickBot="1">
      <c r="A11" s="3247" t="s">
        <v>3116</v>
      </c>
      <c r="B11" s="3248"/>
      <c r="C11" s="3248"/>
      <c r="D11" s="3248"/>
      <c r="E11" s="3248"/>
      <c r="F11" s="3248"/>
    </row>
    <row r="12" spans="1:6" ht="20.25" customHeight="1">
      <c r="A12" s="3237" t="s">
        <v>3117</v>
      </c>
      <c r="B12" s="3249">
        <v>5000</v>
      </c>
      <c r="E12" s="3250"/>
      <c r="F12" s="3250"/>
    </row>
    <row r="13" spans="1:6" ht="20.25" customHeight="1" thickBot="1">
      <c r="A13" s="3242" t="s">
        <v>3118</v>
      </c>
      <c r="B13" s="3251">
        <f>ROUND(B12*F10/F9,2)</f>
        <v>4339.5600000000004</v>
      </c>
      <c r="C13" s="3252">
        <f>ROUND(F10/F9,4)</f>
        <v>0.8679</v>
      </c>
      <c r="E13" s="3250"/>
      <c r="F13" s="3250"/>
    </row>
    <row r="14" spans="1:6" ht="20.25" customHeight="1" thickBot="1">
      <c r="A14" s="3247" t="s">
        <v>3119</v>
      </c>
      <c r="B14" s="3253"/>
      <c r="C14" s="3250"/>
    </row>
    <row r="15" spans="1:6" ht="20.25" customHeight="1">
      <c r="A15" s="3239" t="s">
        <v>3120</v>
      </c>
      <c r="B15" s="3254">
        <v>4810</v>
      </c>
      <c r="C15" s="3250"/>
    </row>
    <row r="16" spans="1:6" ht="20.25" customHeight="1" thickBot="1">
      <c r="A16" s="3244" t="s">
        <v>3121</v>
      </c>
      <c r="B16" s="3255">
        <f>ROUND(B15*F9/F10,2)</f>
        <v>5542.03</v>
      </c>
      <c r="C16" s="3252">
        <f>ROUND(F9/F10,4)</f>
        <v>1.1521999999999999</v>
      </c>
    </row>
    <row r="17" spans="3:3" ht="20.25" customHeight="1">
      <c r="C17" s="3250"/>
    </row>
  </sheetData>
  <mergeCells count="1">
    <mergeCell ref="A8:B8"/>
  </mergeCells>
  <phoneticPr fontId="228"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6" sqref="M2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t="s">
        <v>3000</v>
      </c>
      <c r="C1" s="2086"/>
      <c r="D1" s="2086"/>
      <c r="E1" s="2086"/>
      <c r="F1" s="2086"/>
      <c r="G1" s="2086"/>
      <c r="H1" s="2086"/>
      <c r="I1" s="2086"/>
      <c r="J1" s="2086"/>
      <c r="K1" s="420">
        <f>MATCH(B1,'数据-取费表'!A6:A16,0)+5</f>
        <v>6</v>
      </c>
    </row>
    <row r="2" spans="1:31" s="2023" customFormat="1" ht="18" customHeight="1">
      <c r="A2" s="2083" t="s">
        <v>467</v>
      </c>
      <c r="B2" s="2087">
        <f ca="1">C36</f>
        <v>26162</v>
      </c>
      <c r="C2" s="2086"/>
      <c r="D2" s="2086"/>
      <c r="E2" s="2086"/>
      <c r="F2" s="2086"/>
      <c r="G2" s="2086"/>
      <c r="H2" s="2086"/>
      <c r="I2" s="2086"/>
      <c r="J2" s="2086"/>
      <c r="K2" s="2086"/>
    </row>
    <row r="3" spans="1:31" s="2023" customFormat="1" ht="18" customHeight="1">
      <c r="A3" s="2088" t="s">
        <v>1683</v>
      </c>
      <c r="B3" s="2089">
        <f ca="1">ROUND(B2*10000/IF(B1="",'数据-汇总表'!E3,INDIRECT("'数据-取费表'!K"&amp;$K$1)),0)</f>
        <v>1602</v>
      </c>
      <c r="C3" s="2086"/>
      <c r="D3" s="2086"/>
      <c r="E3" s="2086"/>
      <c r="F3" s="2086"/>
      <c r="G3" s="2086"/>
      <c r="H3" s="2086"/>
      <c r="I3" s="2086"/>
      <c r="J3" s="2086"/>
      <c r="K3" s="2086"/>
    </row>
    <row r="4" spans="1:31" s="2023" customFormat="1" ht="18" customHeight="1">
      <c r="A4" s="424" t="s">
        <v>468</v>
      </c>
      <c r="B4" s="425">
        <f ca="1">ROUND(B2*10000/IF(B1="",'数据-汇总表'!D3,INDIRECT("'数据-取费表'!R"&amp;$K$1)),0)</f>
        <v>4805</v>
      </c>
      <c r="C4" s="426"/>
      <c r="D4" s="420"/>
      <c r="E4" s="420"/>
      <c r="F4" s="420"/>
      <c r="G4" s="420"/>
      <c r="H4" s="420"/>
      <c r="I4" s="420"/>
      <c r="J4" s="420"/>
      <c r="K4" s="420"/>
    </row>
    <row r="5" spans="1:31" s="2023" customFormat="1" ht="18" customHeight="1" thickBot="1">
      <c r="A5" s="427"/>
      <c r="B5" s="428">
        <f ca="1">ROUND(B2/(IF(B1="",'数据-汇总表'!D3,INDIRECT("'数据-取费表'!R"&amp;$K$1))/666.67),0)</f>
        <v>320</v>
      </c>
      <c r="C5" s="429" t="s">
        <v>469</v>
      </c>
      <c r="D5" s="420"/>
      <c r="E5" s="420"/>
      <c r="F5" s="420"/>
      <c r="G5" s="420"/>
      <c r="H5" s="420"/>
      <c r="I5" s="420"/>
      <c r="J5" s="420"/>
      <c r="K5" s="420"/>
    </row>
    <row r="6" spans="1:31" s="2093" customFormat="1" ht="16.5" customHeight="1">
      <c r="A6" s="2780" t="s">
        <v>1841</v>
      </c>
      <c r="B6" s="2781"/>
      <c r="C6" s="2782">
        <f ca="1">SUM(C10:K10)</f>
        <v>103512</v>
      </c>
      <c r="D6" s="2781"/>
      <c r="E6" s="2781"/>
      <c r="F6" s="2781"/>
      <c r="G6" s="2781"/>
      <c r="H6" s="2781"/>
      <c r="I6" s="2781"/>
      <c r="J6" s="2781"/>
      <c r="K6" s="2783"/>
    </row>
    <row r="7" spans="1:31" s="2095" customFormat="1" ht="15">
      <c r="A7" s="2784" t="s">
        <v>470</v>
      </c>
      <c r="B7" s="2785" t="s">
        <v>471</v>
      </c>
      <c r="C7" s="434" t="s">
        <v>3000</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 ca="1">不动产收益法!B3</f>
        <v>6337</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163338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8">
        <f ca="1">不动产收益法!B2</f>
        <v>103512</v>
      </c>
      <c r="D10" s="2978"/>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35934</v>
      </c>
      <c r="D13" s="2796"/>
      <c r="E13" s="2797"/>
      <c r="F13" s="2798"/>
      <c r="G13" s="2764"/>
      <c r="H13" s="2765"/>
      <c r="I13" s="2765"/>
      <c r="J13" s="2765"/>
      <c r="K13" s="2766"/>
    </row>
    <row r="14" spans="1:31" s="2098" customFormat="1" ht="13.5" customHeight="1">
      <c r="A14" s="2794" t="s">
        <v>1848</v>
      </c>
      <c r="B14" s="2795" t="s">
        <v>480</v>
      </c>
      <c r="C14" s="53">
        <f ca="1">ROUND(C13*F14,0)</f>
        <v>1797</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1850</v>
      </c>
      <c r="B16" s="2795" t="s">
        <v>484</v>
      </c>
      <c r="C16" s="53">
        <f ca="1">ROUND(D16*E16/10000,0)</f>
        <v>3267</v>
      </c>
      <c r="D16" s="2796">
        <f ca="1">IF(B1="",'数据-汇总表'!E3,INDIRECT("'数据-取费表'!K"&amp;$K$1)+INDIRECT("'数据-取费表'!S"&amp;$K$1))</f>
        <v>163338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539</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41537</v>
      </c>
      <c r="D18" s="2805"/>
      <c r="E18" s="466"/>
      <c r="F18" s="466"/>
      <c r="G18" s="2768" t="s">
        <v>2429</v>
      </c>
      <c r="H18" s="2769"/>
      <c r="I18" s="2769"/>
      <c r="J18" s="2769"/>
      <c r="K18" s="2770"/>
    </row>
    <row r="19" spans="1:14" s="2098" customFormat="1" ht="13.5" customHeight="1">
      <c r="A19" s="2802" t="s">
        <v>1853</v>
      </c>
      <c r="B19" s="2803" t="s">
        <v>488</v>
      </c>
      <c r="C19" s="2760">
        <f ca="1">ROUND(D19*E19/10000,0)</f>
        <v>817</v>
      </c>
      <c r="D19" s="2806">
        <f ca="1">D16</f>
        <v>163338</v>
      </c>
      <c r="E19" s="2760">
        <f>'数据-取费表'!B32</f>
        <v>50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2450</v>
      </c>
      <c r="D20" s="2806"/>
      <c r="E20" s="2760"/>
      <c r="F20" s="2807"/>
      <c r="G20" s="3037"/>
      <c r="H20" s="2762"/>
      <c r="I20" s="2763" t="s">
        <v>2650</v>
      </c>
      <c r="J20" s="2769"/>
      <c r="K20" s="2770"/>
    </row>
    <row r="21" spans="1:14" s="2098" customFormat="1" ht="13.5" customHeight="1">
      <c r="A21" s="2794" t="s">
        <v>1855</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8" customFormat="1" ht="13.5" customHeight="1">
      <c r="A22" s="2794" t="s">
        <v>1856</v>
      </c>
      <c r="B22" s="2795" t="s">
        <v>492</v>
      </c>
      <c r="C22" s="53">
        <f ca="1">ROUND(D22*E22/10000,0)</f>
        <v>2450</v>
      </c>
      <c r="D22" s="2796">
        <f ca="1">IF(B1="",'数据-汇总表'!E6,IF(INDIRECT("'数据-取费表'!c"&amp;$K$1)="住宅",INDIRECT("'数据-取费表'!s"&amp;$K$1),INDIRECT("'数据-取费表'!k"&amp;$K$1)+INDIRECT("'数据-取费表'!s"&amp;$K$1)))</f>
        <v>163338</v>
      </c>
      <c r="E22" s="53">
        <f>'数据-取费表'!B28</f>
        <v>150</v>
      </c>
      <c r="F22" s="2799"/>
      <c r="G22" s="26"/>
      <c r="H22" s="51"/>
      <c r="I22" s="51"/>
      <c r="J22" s="51"/>
      <c r="K22" s="2771"/>
    </row>
    <row r="23" spans="1:14" s="2098" customFormat="1" ht="13.5" customHeight="1">
      <c r="A23" s="2802" t="s">
        <v>1857</v>
      </c>
      <c r="B23" s="2984" t="s">
        <v>2833</v>
      </c>
      <c r="C23" s="2804">
        <f ca="1">ROUND((C18+C19+C20)*F23,0)</f>
        <v>896</v>
      </c>
      <c r="D23" s="466"/>
      <c r="E23" s="466"/>
      <c r="F23" s="2808">
        <f>'数据-取费表'!B37</f>
        <v>0.02</v>
      </c>
      <c r="G23" s="2764" t="s">
        <v>2430</v>
      </c>
      <c r="H23" s="2765"/>
      <c r="I23" s="2765"/>
      <c r="J23" s="2765"/>
      <c r="K23" s="2766"/>
      <c r="L23" s="2100"/>
      <c r="M23" s="2100"/>
      <c r="N23" s="2100"/>
    </row>
    <row r="24" spans="1:14" s="2098" customFormat="1" ht="13.5" customHeight="1">
      <c r="A24" s="2802" t="s">
        <v>1858</v>
      </c>
      <c r="B24" s="2984" t="s">
        <v>2836</v>
      </c>
      <c r="C24" s="2804">
        <f ca="1">ROUND(C6*F24,0)</f>
        <v>2588</v>
      </c>
      <c r="D24" s="473"/>
      <c r="E24" s="471"/>
      <c r="F24" s="2808">
        <f>'数据-取费表'!B38</f>
        <v>2.5000000000000001E-2</v>
      </c>
      <c r="G24" s="2773" t="s">
        <v>499</v>
      </c>
      <c r="H24" s="2767"/>
      <c r="I24" s="2767"/>
      <c r="J24" s="2767"/>
      <c r="K24" s="277"/>
      <c r="L24" s="2100"/>
      <c r="M24" s="2100"/>
      <c r="N24" s="2100"/>
    </row>
    <row r="25" spans="1:14" s="2101" customFormat="1" ht="13.5" customHeight="1">
      <c r="A25" s="2802" t="s">
        <v>1859</v>
      </c>
      <c r="B25" s="2984" t="s">
        <v>2834</v>
      </c>
      <c r="C25" s="465">
        <f>ROUND(F25/(1+'数据-取费表'!C42),4)</f>
        <v>3.8600000000000002E-2</v>
      </c>
      <c r="D25" s="460" t="s">
        <v>2828</v>
      </c>
      <c r="E25" s="467"/>
      <c r="F25" s="2808">
        <f>IF(项目基本情况!B8="出让",0,'数据-取费表'!B48+'数据-取费表'!B49)</f>
        <v>4.0500000000000001E-2</v>
      </c>
      <c r="G25" s="2772" t="s">
        <v>2288</v>
      </c>
      <c r="H25" s="2765"/>
      <c r="I25" s="2765"/>
      <c r="J25" s="2765"/>
      <c r="K25" s="2766"/>
    </row>
    <row r="26" spans="1:14" s="2100" customFormat="1" ht="13.5" customHeight="1">
      <c r="A26" s="2802" t="s">
        <v>1860</v>
      </c>
      <c r="B26" s="2985" t="s">
        <v>2835</v>
      </c>
      <c r="C26" s="2809">
        <f ca="1">C28</f>
        <v>3481</v>
      </c>
      <c r="D26" s="465">
        <f ca="1">C27</f>
        <v>0.15509999999999999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0.15509999999999999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2837</v>
      </c>
      <c r="C28" s="2812">
        <f ca="1">ROUND(IF('数据-取费表'!B22&lt;=1,(C18+C19+C20+C23+C24)*F26*'数据-取费表'!B24/2,(C18+C19+C20+C23+C24)*(POWER((1+F26),'数据-取费表'!B24/2)-1)),0)</f>
        <v>3481</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5422</v>
      </c>
      <c r="D29" s="466"/>
      <c r="E29" s="466"/>
      <c r="F29" s="2986">
        <f>'数据-取费表'!B41</f>
        <v>5.5000000000000007E-2</v>
      </c>
      <c r="G29" s="2773" t="s">
        <v>498</v>
      </c>
      <c r="H29" s="2765"/>
      <c r="I29" s="2765"/>
      <c r="J29" s="2765"/>
      <c r="K29" s="2766"/>
    </row>
    <row r="30" spans="1:14" s="2103" customFormat="1" ht="13.5" customHeight="1">
      <c r="A30" s="1617" t="s">
        <v>1862</v>
      </c>
      <c r="B30" s="2814" t="s">
        <v>500</v>
      </c>
      <c r="C30" s="2809">
        <f ca="1">C31</f>
        <v>57191</v>
      </c>
      <c r="D30" s="475">
        <f ca="1">C32</f>
        <v>0.19370000000000001</v>
      </c>
      <c r="E30" s="467" t="s">
        <v>495</v>
      </c>
      <c r="F30" s="469"/>
      <c r="G30" s="2772" t="s">
        <v>2969</v>
      </c>
      <c r="H30" s="2765"/>
      <c r="I30" s="2765"/>
      <c r="J30" s="2765"/>
      <c r="K30" s="2766"/>
    </row>
    <row r="31" spans="1:14" s="2102" customFormat="1" ht="13.5" customHeight="1">
      <c r="A31" s="801" t="s">
        <v>1855</v>
      </c>
      <c r="B31" s="2810"/>
      <c r="C31" s="448">
        <f ca="1">C18+C19+C20+C23+C24+C26+C29</f>
        <v>57191</v>
      </c>
      <c r="D31" s="470"/>
      <c r="E31" s="471"/>
      <c r="F31" s="472"/>
      <c r="G31" s="259"/>
      <c r="H31" s="2767"/>
      <c r="I31" s="2767"/>
      <c r="J31" s="2767"/>
      <c r="K31" s="277"/>
    </row>
    <row r="32" spans="1:14" s="2102" customFormat="1" ht="13.5" customHeight="1">
      <c r="A32" s="801" t="s">
        <v>1856</v>
      </c>
      <c r="B32" s="2810"/>
      <c r="C32" s="53">
        <f ca="1">ROUND(C25+D26,4)</f>
        <v>0.19370000000000001</v>
      </c>
      <c r="D32" s="470"/>
      <c r="E32" s="471"/>
      <c r="F32" s="472"/>
      <c r="G32" s="259"/>
      <c r="H32" s="2767"/>
      <c r="I32" s="2767"/>
      <c r="J32" s="2767"/>
      <c r="K32" s="277"/>
    </row>
    <row r="33" spans="1:11" s="2104" customFormat="1" ht="13.5" customHeight="1">
      <c r="A33" s="2983" t="s">
        <v>2832</v>
      </c>
      <c r="B33" s="2981" t="s">
        <v>2830</v>
      </c>
      <c r="C33" s="476">
        <f ca="1">C35</f>
        <v>9658</v>
      </c>
      <c r="D33" s="465">
        <f ca="1">C34</f>
        <v>0.2077</v>
      </c>
      <c r="E33" s="467" t="s">
        <v>495</v>
      </c>
      <c r="F33" s="477">
        <f ca="1">IF(B1="",'数据-取费表'!Q16,INDIRECT("'数据-取费表'!q"&amp;$K$1))</f>
        <v>0.2</v>
      </c>
      <c r="G33" s="2768"/>
      <c r="H33" s="2769"/>
      <c r="I33" s="2769"/>
      <c r="J33" s="2769"/>
      <c r="K33" s="2770"/>
    </row>
    <row r="34" spans="1:11" s="2105" customFormat="1" ht="13.5" customHeight="1">
      <c r="A34" s="373" t="s">
        <v>1855</v>
      </c>
      <c r="B34" s="2815" t="s">
        <v>501</v>
      </c>
      <c r="C34" s="470">
        <f ca="1">ROUND((1+C25)*F33,4)</f>
        <v>0.2077</v>
      </c>
      <c r="D34" s="470"/>
      <c r="E34" s="471"/>
      <c r="F34" s="478"/>
      <c r="G34" s="259" t="s">
        <v>2289</v>
      </c>
      <c r="H34" s="2767"/>
      <c r="I34" s="2767"/>
      <c r="J34" s="2767"/>
      <c r="K34" s="277"/>
    </row>
    <row r="35" spans="1:11" s="2105" customFormat="1" ht="13.5" customHeight="1" thickBot="1">
      <c r="A35" s="1618" t="s">
        <v>1856</v>
      </c>
      <c r="B35" s="2982" t="s">
        <v>2838</v>
      </c>
      <c r="C35" s="1610">
        <f ca="1">ROUND((C18+C19+C20+C23+C24)*F33,0)</f>
        <v>9658</v>
      </c>
      <c r="D35" s="1611"/>
      <c r="E35" s="2816"/>
      <c r="F35" s="1612"/>
      <c r="G35" s="2774"/>
      <c r="H35" s="2775"/>
      <c r="I35" s="2775"/>
      <c r="J35" s="2775"/>
      <c r="K35" s="2776"/>
    </row>
    <row r="36" spans="1:11" s="2067" customFormat="1" ht="13.5" customHeight="1" thickBot="1">
      <c r="A36" s="282" t="s">
        <v>1843</v>
      </c>
      <c r="B36" s="2778"/>
      <c r="C36" s="2817">
        <f ca="1">ROUND((C6-C30-C33)/(1+D30+D33),0)</f>
        <v>26162</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H42" sqref="H42"/>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3000</v>
      </c>
      <c r="D1" s="3074" t="s">
        <v>3091</v>
      </c>
      <c r="E1" s="2348" t="s">
        <v>2373</v>
      </c>
      <c r="F1" s="2349">
        <f ca="1">J53</f>
        <v>35.479999999999997</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103512</v>
      </c>
      <c r="C2" s="2039"/>
      <c r="D2" s="2037"/>
      <c r="E2" s="2038"/>
      <c r="F2" s="2038"/>
      <c r="G2" s="1573"/>
      <c r="H2" s="2039"/>
      <c r="I2" s="2039"/>
      <c r="J2" s="2039"/>
      <c r="K2" s="2040"/>
      <c r="L2" s="2039"/>
      <c r="M2" s="2039"/>
    </row>
    <row r="3" spans="1:33" ht="18" customHeight="1" thickBot="1">
      <c r="A3" s="831" t="s">
        <v>1726</v>
      </c>
      <c r="B3" s="832">
        <f ca="1">IF(ISERROR(B2*10000/F43),0,ROUND(B2*10000/F43,0))</f>
        <v>6337</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2457</v>
      </c>
      <c r="C5" s="55">
        <f ca="1">C6+C10+C12</f>
        <v>7104</v>
      </c>
      <c r="D5" s="2457" t="s">
        <v>2460</v>
      </c>
      <c r="E5" s="2451"/>
      <c r="F5" s="2452"/>
      <c r="G5" s="1575"/>
      <c r="H5" s="779">
        <v>1</v>
      </c>
      <c r="I5" s="780" t="s">
        <v>2457</v>
      </c>
      <c r="J5" s="55">
        <f ca="1">J6+J10+J12</f>
        <v>0</v>
      </c>
      <c r="K5" s="2457" t="s">
        <v>2460</v>
      </c>
      <c r="L5" s="2451"/>
      <c r="M5" s="2452"/>
    </row>
    <row r="6" spans="1:33" ht="18" customHeight="1">
      <c r="A6" s="1812" t="s">
        <v>1823</v>
      </c>
      <c r="B6" s="3518" t="s">
        <v>2462</v>
      </c>
      <c r="C6" s="781">
        <f ca="1">ROUND(F6*F8*F7*(1-F9)/10000,0)</f>
        <v>7095</v>
      </c>
      <c r="D6" s="2458" t="s">
        <v>2461</v>
      </c>
      <c r="E6" s="782" t="s">
        <v>1737</v>
      </c>
      <c r="F6" s="783">
        <f ca="1">INDIRECT("'数据-取费表'!u"&amp;$G$1)</f>
        <v>1.4</v>
      </c>
      <c r="G6" s="1575"/>
      <c r="H6" s="2465" t="s">
        <v>2467</v>
      </c>
      <c r="I6" s="3518" t="s">
        <v>2462</v>
      </c>
      <c r="J6" s="781">
        <f ca="1">ROUND(M6*M8*M7*(1-M9)/10000,0)</f>
        <v>0</v>
      </c>
      <c r="K6" s="339" t="s">
        <v>1736</v>
      </c>
      <c r="L6" s="782" t="s">
        <v>1737</v>
      </c>
      <c r="M6" s="783">
        <f ca="1">INDIRECT("'数据-取费表'!z"&amp;$G$1)</f>
        <v>0</v>
      </c>
    </row>
    <row r="7" spans="1:33" ht="18" customHeight="1">
      <c r="A7" s="2461"/>
      <c r="B7" s="3519"/>
      <c r="C7" s="786"/>
      <c r="D7" s="787"/>
      <c r="E7" s="782" t="s">
        <v>1738</v>
      </c>
      <c r="F7" s="783">
        <f ca="1">IF(INDIRECT("'数据-取费表'!ah"&amp;$G$1)="",INDIRECT("'数据-取费表'!k"&amp;$G$1),INDIRECT("'数据-取费表'!ah"&amp;$G$1))</f>
        <v>163338</v>
      </c>
      <c r="G7" s="1575"/>
      <c r="H7" s="2450"/>
      <c r="I7" s="3519"/>
      <c r="J7" s="786"/>
      <c r="K7" s="787"/>
      <c r="L7" s="782" t="s">
        <v>1738</v>
      </c>
      <c r="M7" s="783">
        <f ca="1">F7</f>
        <v>163338</v>
      </c>
    </row>
    <row r="8" spans="1:33" ht="18" customHeight="1">
      <c r="A8" s="2454"/>
      <c r="B8" s="3520"/>
      <c r="C8" s="786"/>
      <c r="D8" s="787"/>
      <c r="E8" s="782" t="s">
        <v>1739</v>
      </c>
      <c r="F8" s="783">
        <f ca="1">INDIRECT("'数据-取费表'!ai"&amp;$G$1)</f>
        <v>365</v>
      </c>
      <c r="G8" s="1575"/>
      <c r="H8" s="2450"/>
      <c r="I8" s="3520"/>
      <c r="J8" s="786"/>
      <c r="K8" s="787"/>
      <c r="L8" s="782" t="s">
        <v>1739</v>
      </c>
      <c r="M8" s="783">
        <f ca="1">INDIRECT("'数据-取费表'!ai"&amp;$G$1)</f>
        <v>365</v>
      </c>
    </row>
    <row r="9" spans="1:33" ht="18" customHeight="1">
      <c r="A9" s="784"/>
      <c r="B9" s="3521"/>
      <c r="C9" s="786"/>
      <c r="D9" s="787"/>
      <c r="E9" s="782" t="s">
        <v>1740</v>
      </c>
      <c r="F9" s="792">
        <f ca="1">INDIRECT("'数据-取费表'!w"&amp;$G$1)</f>
        <v>0.15</v>
      </c>
      <c r="G9" s="1575"/>
      <c r="H9" s="2466"/>
      <c r="I9" s="3520"/>
      <c r="J9" s="786"/>
      <c r="K9" s="787"/>
      <c r="L9" s="793" t="s">
        <v>1740</v>
      </c>
      <c r="M9" s="794">
        <f ca="1">INDIRECT("'数据-取费表'!ab"&amp;$G$1)</f>
        <v>0</v>
      </c>
    </row>
    <row r="10" spans="1:33" ht="18" customHeight="1">
      <c r="A10" s="1812" t="s">
        <v>2465</v>
      </c>
      <c r="B10" s="2455" t="s">
        <v>2458</v>
      </c>
      <c r="C10" s="797">
        <f ca="1">ROUND(IF(F10="押一",C6/12*F11,IF(F10="押二",C6/12*2*F11,IF(F10="押三",C6/12*3*F11,C11*F11))),0)</f>
        <v>9</v>
      </c>
      <c r="D10" s="2462" t="s">
        <v>2971</v>
      </c>
      <c r="E10" s="2459" t="s">
        <v>2463</v>
      </c>
      <c r="F10" s="2582" t="s">
        <v>3092</v>
      </c>
      <c r="G10" s="1575"/>
      <c r="H10" s="2522" t="s">
        <v>2468</v>
      </c>
      <c r="I10" s="2527" t="s">
        <v>2458</v>
      </c>
      <c r="J10" s="781">
        <f ca="1">ROUND(IF(M10="押一",J6/12*M11,IF(M10="押二",J6/12*2*M11,IF(M10="押三",J6/12*3*M11,J11*M11))),0)</f>
        <v>0</v>
      </c>
      <c r="K10" s="2462" t="s">
        <v>2971</v>
      </c>
      <c r="L10" s="2459" t="s">
        <v>2463</v>
      </c>
      <c r="M10" s="2582"/>
    </row>
    <row r="11" spans="1:33" ht="18" customHeight="1">
      <c r="A11" s="788"/>
      <c r="B11" s="2456" t="s">
        <v>2572</v>
      </c>
      <c r="C11" s="2460"/>
      <c r="D11" s="787"/>
      <c r="E11" s="2459" t="s">
        <v>2464</v>
      </c>
      <c r="F11" s="794">
        <f ca="1">'数据-取费表'!B39</f>
        <v>1.4999999999999999E-2</v>
      </c>
      <c r="G11" s="1575"/>
      <c r="H11" s="2523"/>
      <c r="I11" s="2456" t="s">
        <v>2572</v>
      </c>
      <c r="J11" s="2460"/>
      <c r="K11" s="2524"/>
      <c r="L11" s="2459" t="s">
        <v>2464</v>
      </c>
      <c r="M11" s="2453">
        <f ca="1">'数据-取费表'!B39</f>
        <v>1.4999999999999999E-2</v>
      </c>
    </row>
    <row r="12" spans="1:33" ht="18" customHeight="1" thickBot="1">
      <c r="A12" s="2498" t="s">
        <v>2466</v>
      </c>
      <c r="B12" s="2499" t="s">
        <v>2459</v>
      </c>
      <c r="C12" s="2500"/>
      <c r="D12" s="2501"/>
      <c r="E12" s="2502"/>
      <c r="F12" s="2503"/>
      <c r="G12" s="1575"/>
      <c r="H12" s="2512" t="s">
        <v>2469</v>
      </c>
      <c r="I12" s="2525" t="s">
        <v>2459</v>
      </c>
      <c r="J12" s="2526"/>
      <c r="K12" s="2501"/>
      <c r="L12" s="2502"/>
      <c r="M12" s="2515"/>
    </row>
    <row r="13" spans="1:33" ht="18" customHeight="1" thickTop="1">
      <c r="A13" s="1811">
        <v>2</v>
      </c>
      <c r="B13" s="1809" t="s">
        <v>1741</v>
      </c>
      <c r="C13" s="790">
        <f ca="1">ROUND(C29*F13,0)</f>
        <v>58851</v>
      </c>
      <c r="D13" s="1816" t="s">
        <v>2296</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35934</v>
      </c>
      <c r="D14" s="1961" t="s">
        <v>1744</v>
      </c>
      <c r="E14" s="1962"/>
      <c r="F14" s="803"/>
      <c r="G14" s="1575"/>
      <c r="H14" s="1631" t="s">
        <v>1829</v>
      </c>
      <c r="I14" s="2213" t="s">
        <v>2825</v>
      </c>
      <c r="J14" s="53">
        <f ca="1">C29</f>
        <v>58851</v>
      </c>
      <c r="K14" s="26"/>
      <c r="L14" s="799"/>
      <c r="M14" s="800"/>
    </row>
    <row r="15" spans="1:33" s="2046" customFormat="1" ht="18" customHeight="1" thickBot="1">
      <c r="A15" s="1630" t="s">
        <v>1884</v>
      </c>
      <c r="B15" s="782" t="s">
        <v>647</v>
      </c>
      <c r="C15" s="53">
        <f ca="1">ROUND(C14*F15,0)</f>
        <v>1797</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5860</v>
      </c>
      <c r="K16" s="1803" t="s">
        <v>1749</v>
      </c>
      <c r="L16" s="2447"/>
      <c r="M16" s="2452"/>
    </row>
    <row r="17" spans="1:33" s="2046" customFormat="1" ht="18" customHeight="1">
      <c r="A17" s="1630" t="s">
        <v>1886</v>
      </c>
      <c r="B17" s="782" t="s">
        <v>653</v>
      </c>
      <c r="C17" s="53">
        <f ca="1">ROUND(F17*(F43+INDIRECT("'数据-取费表'!S"&amp;$G$1))/10000,0)</f>
        <v>3267</v>
      </c>
      <c r="D17" s="782" t="s">
        <v>1750</v>
      </c>
      <c r="E17" s="782" t="s">
        <v>1751</v>
      </c>
      <c r="F17" s="56">
        <f>'数据-取费表'!B35</f>
        <v>200</v>
      </c>
      <c r="G17" s="1576"/>
      <c r="H17" s="1631" t="s">
        <v>1829</v>
      </c>
      <c r="I17" s="782" t="s">
        <v>656</v>
      </c>
      <c r="J17" s="53">
        <f ca="1">ROUND(IF(项目基本情况!B11="自然人",J6*M17/(1+'数据-取费表'!C42),J18+J19+J20),0)</f>
        <v>4977</v>
      </c>
      <c r="K17" s="2446" t="s">
        <v>1752</v>
      </c>
      <c r="L17" s="2445" t="s">
        <v>1753</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539</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41537</v>
      </c>
      <c r="D19" s="259" t="s">
        <v>1756</v>
      </c>
      <c r="E19" s="1964"/>
      <c r="F19" s="56"/>
      <c r="G19" s="1575"/>
      <c r="H19" s="1630" t="s">
        <v>1884</v>
      </c>
      <c r="I19" s="782" t="s">
        <v>1757</v>
      </c>
      <c r="J19" s="53">
        <f ca="1">IF(K19="按租金收入计税",ROUND(J6*M19/(1+'数据-取费表'!C42),1),ROUND(C29*F33*0.7,1))</f>
        <v>4943.5</v>
      </c>
      <c r="K19" s="809" t="s">
        <v>665</v>
      </c>
      <c r="L19" s="782" t="s">
        <v>1746</v>
      </c>
      <c r="M19" s="807">
        <f>IF(K19="按租金收入计税",'数据-取费表'!B51,'数据-取费表'!B50)</f>
        <v>1.2E-2</v>
      </c>
    </row>
    <row r="20" spans="1:33" s="2046" customFormat="1" ht="18" customHeight="1">
      <c r="A20" s="1631" t="s">
        <v>1888</v>
      </c>
      <c r="B20" s="782" t="s">
        <v>666</v>
      </c>
      <c r="C20" s="53">
        <f ca="1">ROUND(C19*F20,0)</f>
        <v>831</v>
      </c>
      <c r="D20" s="810" t="s">
        <v>1758</v>
      </c>
      <c r="E20" s="782" t="s">
        <v>1746</v>
      </c>
      <c r="F20" s="807">
        <f>'数据-取费表'!B37</f>
        <v>0.02</v>
      </c>
      <c r="G20" s="1576"/>
      <c r="H20" s="1633" t="s">
        <v>1879</v>
      </c>
      <c r="I20" s="339" t="s">
        <v>1759</v>
      </c>
      <c r="J20" s="54">
        <f ca="1">ROUND(M20*M21/10000,0)</f>
        <v>33</v>
      </c>
      <c r="K20" s="812" t="s">
        <v>1760</v>
      </c>
      <c r="L20" s="782" t="s">
        <v>1761</v>
      </c>
      <c r="M20" s="638">
        <f>'数据-取费表'!B52</f>
        <v>6</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2297</v>
      </c>
      <c r="E21" s="782" t="s">
        <v>1764</v>
      </c>
      <c r="F21" s="807">
        <f>'数据-取费表'!B38</f>
        <v>2.5000000000000001E-2</v>
      </c>
      <c r="G21" s="1576"/>
      <c r="H21" s="2467"/>
      <c r="I21" s="791"/>
      <c r="J21" s="69"/>
      <c r="K21" s="814"/>
      <c r="L21" s="782" t="s">
        <v>1765</v>
      </c>
      <c r="M21" s="783">
        <f ca="1">INDIRECT("'数据-取费表'!r"&amp;$G$1)</f>
        <v>54446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883</v>
      </c>
      <c r="K22" s="2445" t="s">
        <v>1768</v>
      </c>
      <c r="L22" s="782" t="s">
        <v>1746</v>
      </c>
      <c r="M22" s="815">
        <f ca="1">INDIRECT("'数据-取费表'!Ak"&amp;$G$1)</f>
        <v>1.4999999999999999E-2</v>
      </c>
    </row>
    <row r="23" spans="1:33" s="2046" customFormat="1" ht="18" customHeight="1">
      <c r="A23" s="1630" t="s">
        <v>1830</v>
      </c>
      <c r="B23" s="782" t="s">
        <v>2534</v>
      </c>
      <c r="C23" s="53">
        <f ca="1">ROUND(IF('数据-取费表'!B22&lt;=1,(C19+C20)*F24*F23/2,(C19+C20)*(POWER((1+F24),F23/2)-1)),0)</f>
        <v>3054</v>
      </c>
      <c r="D23" s="2532" t="str">
        <f>IF(F23&lt;=1,"(建造成本+管理费用)×利率×(建设周期÷2)","(建造成本+管理费用)×((1+利率)^(建设周期÷2)-1)")</f>
        <v>(建造成本+管理费用)×((1+利率)^(建设周期÷2)-1)</v>
      </c>
      <c r="E23" s="782" t="s">
        <v>1769</v>
      </c>
      <c r="F23" s="638">
        <f>'数据-取费表'!B20</f>
        <v>3</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2821</v>
      </c>
      <c r="J25" s="790">
        <f ca="1">J5-J16</f>
        <v>-5860</v>
      </c>
      <c r="K25" s="2509" t="s">
        <v>1776</v>
      </c>
      <c r="L25" s="2510"/>
      <c r="M25" s="2511"/>
    </row>
    <row r="26" spans="1:33" ht="18" customHeight="1">
      <c r="A26" s="1630" t="s">
        <v>1830</v>
      </c>
      <c r="B26" s="782" t="s">
        <v>2437</v>
      </c>
      <c r="C26" s="53">
        <f ca="1">ROUND((C19+C20)*F26,0)</f>
        <v>8474</v>
      </c>
      <c r="D26" s="810" t="s">
        <v>1777</v>
      </c>
      <c r="E26" s="793" t="s">
        <v>1778</v>
      </c>
      <c r="F26" s="792">
        <f ca="1">INDIRECT("'数据-取费表'!q"&amp;$G$1)</f>
        <v>0.2</v>
      </c>
      <c r="G26" s="1575"/>
      <c r="H26" s="2463" t="s">
        <v>1779</v>
      </c>
      <c r="I26" s="2214" t="s">
        <v>2826</v>
      </c>
      <c r="J26" s="781">
        <f ca="1">IF(J5&lt;&gt;0,ROUND(J25*(1-((1+M28)/(1+M26))^M27)/(M26-M28),0),0)</f>
        <v>0</v>
      </c>
      <c r="K26" s="812" t="s">
        <v>1780</v>
      </c>
      <c r="L26" s="782" t="s">
        <v>2418</v>
      </c>
      <c r="M26" s="792">
        <f ca="1">INDIRECT("'数据-取费表'!I"&amp;$G$1)</f>
        <v>5.5E-2</v>
      </c>
    </row>
    <row r="27" spans="1:33" ht="18" customHeight="1">
      <c r="A27" s="1630" t="s">
        <v>1831</v>
      </c>
      <c r="B27" s="782" t="s">
        <v>686</v>
      </c>
      <c r="C27" s="53">
        <f ca="1">ROUND(F21*F26,4)</f>
        <v>5.0000000000000001E-3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5.2400000000000002E-2</v>
      </c>
      <c r="D28" s="810" t="s">
        <v>2298</v>
      </c>
      <c r="E28" s="782" t="s">
        <v>1784</v>
      </c>
      <c r="F28" s="807">
        <f>'数据-取费表'!B41</f>
        <v>5.5000000000000007E-2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2299</v>
      </c>
      <c r="C29" s="2505">
        <f ca="1">ROUND((C19+C20+C23+C26)/(1-F21-C24-C27-C28),0)</f>
        <v>58851</v>
      </c>
      <c r="D29" s="2506"/>
      <c r="E29" s="2507"/>
      <c r="F29" s="2508"/>
      <c r="G29" s="1576"/>
      <c r="H29" s="821" t="s">
        <v>1786</v>
      </c>
      <c r="I29" s="822" t="s">
        <v>1787</v>
      </c>
      <c r="J29" s="823">
        <f ca="1">ROUND(J26/(1+F40)^F41,0)</f>
        <v>0</v>
      </c>
      <c r="K29" s="824" t="s">
        <v>1788</v>
      </c>
      <c r="L29" s="825"/>
      <c r="M29" s="826">
        <f ca="1">INDIRECT("'数据-取费表'!k"&amp;$G$1)</f>
        <v>163338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2257</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1215.2</v>
      </c>
      <c r="D31" s="1961" t="s">
        <v>1791</v>
      </c>
      <c r="E31" s="1959" t="s">
        <v>1792</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1830</v>
      </c>
      <c r="B32" s="782" t="s">
        <v>1793</v>
      </c>
      <c r="C32" s="53">
        <f ca="1">ROUND(C6*F32/(1+'数据-取费表'!C42),1)</f>
        <v>371.6</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810.9</v>
      </c>
      <c r="D33" s="809" t="s">
        <v>3093</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32.700000000000003</v>
      </c>
      <c r="D34" s="812" t="s">
        <v>1798</v>
      </c>
      <c r="E34" s="782" t="s">
        <v>1799</v>
      </c>
      <c r="F34" s="638">
        <f>'数据-取费表'!B52</f>
        <v>6</v>
      </c>
      <c r="G34" s="2044"/>
      <c r="H34" s="2047"/>
      <c r="I34" s="833" t="s">
        <v>1812</v>
      </c>
      <c r="J34" s="834"/>
      <c r="K34" s="2062"/>
      <c r="L34" s="2061"/>
      <c r="M34" s="2061"/>
    </row>
    <row r="35" spans="1:18" ht="18" customHeight="1">
      <c r="A35" s="813"/>
      <c r="B35" s="791"/>
      <c r="C35" s="69"/>
      <c r="D35" s="814"/>
      <c r="E35" s="782" t="s">
        <v>1800</v>
      </c>
      <c r="F35" s="783">
        <f ca="1">INDIRECT("'数据-取费表'!r"&amp;$G$1)</f>
        <v>54446</v>
      </c>
      <c r="G35" s="2044"/>
      <c r="H35" s="2047"/>
      <c r="I35" s="835" t="s">
        <v>1813</v>
      </c>
      <c r="J35" s="836">
        <f ca="1">ROUND(C13*J36,0)</f>
        <v>5002</v>
      </c>
      <c r="K35" s="2060"/>
      <c r="L35" s="2059"/>
      <c r="M35" s="2059"/>
    </row>
    <row r="36" spans="1:18" ht="18" customHeight="1">
      <c r="A36" s="1631" t="s">
        <v>1888</v>
      </c>
      <c r="B36" s="782" t="s">
        <v>1801</v>
      </c>
      <c r="C36" s="53">
        <f ca="1">ROUND(C29*F36,1)</f>
        <v>882.8</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88.3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71</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2821</v>
      </c>
      <c r="C39" s="790">
        <f ca="1">C5-C30</f>
        <v>4847</v>
      </c>
      <c r="D39" s="2509" t="s">
        <v>1805</v>
      </c>
      <c r="E39" s="2510"/>
      <c r="F39" s="2511"/>
      <c r="G39" s="2044"/>
      <c r="H39" s="2059"/>
      <c r="I39" s="835" t="s">
        <v>1817</v>
      </c>
      <c r="J39" s="843">
        <f ca="1">ROUND(J35/C39,3)</f>
        <v>1.032</v>
      </c>
      <c r="K39" s="2065"/>
      <c r="L39" s="2059"/>
      <c r="M39" s="2059"/>
    </row>
    <row r="40" spans="1:18" ht="18" customHeight="1">
      <c r="A40" s="779" t="s">
        <v>1894</v>
      </c>
      <c r="B40" s="2214" t="s">
        <v>2300</v>
      </c>
      <c r="C40" s="781">
        <f ca="1">ROUND(C39*(1-((1+F42)/(1+F40))^F41)/(F40-F42),0)</f>
        <v>103512</v>
      </c>
      <c r="D40" s="812" t="s">
        <v>1806</v>
      </c>
      <c r="E40" s="782" t="s">
        <v>2418</v>
      </c>
      <c r="F40" s="792">
        <f ca="1">INDIRECT("'数据-取费表'!I"&amp;$G$1)</f>
        <v>5.5E-2</v>
      </c>
      <c r="G40" s="2044"/>
      <c r="H40" s="2044"/>
      <c r="I40" s="835" t="s">
        <v>1818</v>
      </c>
      <c r="J40" s="843">
        <f ca="1">1-J39</f>
        <v>-3.2000000000000028E-2</v>
      </c>
      <c r="K40" s="2065"/>
      <c r="L40" s="2044"/>
      <c r="M40" s="2044"/>
    </row>
    <row r="41" spans="1:18" ht="18" customHeight="1">
      <c r="A41" s="784"/>
      <c r="B41" s="785"/>
      <c r="C41" s="786"/>
      <c r="D41" s="819" t="s">
        <v>1807</v>
      </c>
      <c r="E41" s="782" t="s">
        <v>2961</v>
      </c>
      <c r="F41" s="820">
        <f ca="1">IF(INDIRECT("'数据-取费表'!af"&amp;$G$1)=0,INDIRECT("'数据-取费表'!ae"&amp;$G$1),INDIRECT("'数据-取费表'!af"&amp;$G$1))</f>
        <v>35.479999999999997</v>
      </c>
      <c r="G41" s="2044"/>
      <c r="H41" s="1970"/>
      <c r="I41" s="841" t="s">
        <v>1819</v>
      </c>
      <c r="J41" s="844"/>
      <c r="K41" s="2064"/>
      <c r="L41" s="1970"/>
      <c r="M41" s="1970"/>
    </row>
    <row r="42" spans="1:18" ht="18" customHeight="1">
      <c r="A42" s="788"/>
      <c r="B42" s="789"/>
      <c r="C42" s="790"/>
      <c r="D42" s="814"/>
      <c r="E42" s="782" t="s">
        <v>1808</v>
      </c>
      <c r="F42" s="792">
        <f ca="1">INDIRECT("'数据-取费表'!v"&amp;$G$1)</f>
        <v>2.5000000000000001E-2</v>
      </c>
      <c r="G42" s="2044"/>
      <c r="H42" s="1970"/>
      <c r="I42" s="845" t="s">
        <v>1820</v>
      </c>
      <c r="J42" s="843">
        <f ca="1">ROUND(C13/C40,3)</f>
        <v>0.56899999999999995</v>
      </c>
      <c r="K42" s="2064"/>
      <c r="L42" s="1970"/>
      <c r="M42" s="1970"/>
    </row>
    <row r="43" spans="1:18" ht="18" customHeight="1" thickBot="1">
      <c r="A43" s="821" t="s">
        <v>1786</v>
      </c>
      <c r="B43" s="822" t="s">
        <v>1809</v>
      </c>
      <c r="C43" s="823">
        <f ca="1">ROUND(C40*10000/F43,0)</f>
        <v>6337</v>
      </c>
      <c r="D43" s="824" t="s">
        <v>1810</v>
      </c>
      <c r="E43" s="825" t="s">
        <v>1811</v>
      </c>
      <c r="F43" s="826">
        <f ca="1">INDIRECT("'数据-取费表'!k"&amp;$G$1)</f>
        <v>163338</v>
      </c>
      <c r="G43" s="2044"/>
      <c r="H43" s="1970"/>
      <c r="I43" s="845" t="s">
        <v>1821</v>
      </c>
      <c r="J43" s="846">
        <f ca="1">1-J42</f>
        <v>0.43100000000000005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5">
        <f ca="1">C67-C40</f>
        <v>-119035</v>
      </c>
      <c r="D46" s="2067"/>
      <c r="E46" s="2067"/>
      <c r="F46" s="2067"/>
      <c r="I46" s="2339" t="s">
        <v>2342</v>
      </c>
      <c r="J46" s="2340"/>
      <c r="K46" s="2341"/>
      <c r="L46" s="3105">
        <f>IF(OR(M47="住宅",D1="土地（套用方法）"),0,IF(L48&gt;J51,L60,J60))</f>
        <v>0</v>
      </c>
      <c r="O46" s="2355" t="s">
        <v>2409</v>
      </c>
      <c r="P46" s="1575"/>
      <c r="Q46" s="1586"/>
      <c r="R46" s="1575"/>
    </row>
    <row r="47" spans="1:18" s="2041" customFormat="1" ht="18" customHeight="1" thickBot="1">
      <c r="A47" s="2333">
        <v>1</v>
      </c>
      <c r="B47" s="2334" t="s">
        <v>635</v>
      </c>
      <c r="C47" s="2535">
        <f ca="1">C48+C52+C54</f>
        <v>0</v>
      </c>
      <c r="D47" s="2067"/>
      <c r="E47" s="2067"/>
      <c r="F47" s="2067"/>
      <c r="I47" s="3096" t="s">
        <v>2343</v>
      </c>
      <c r="J47" s="2342" t="s">
        <v>3094</v>
      </c>
      <c r="K47" s="3102" t="s">
        <v>2348</v>
      </c>
      <c r="L47" s="3106">
        <f ca="1">INDIRECT("'数据-取费表'!d"&amp;$G$1)</f>
        <v>40</v>
      </c>
      <c r="M47" s="1586" t="str">
        <f>IF(ISNUMBER(FIND("住宅",C1)),"住宅","非住宅")</f>
        <v>非住宅</v>
      </c>
      <c r="O47" s="2356" t="s">
        <v>2374</v>
      </c>
      <c r="P47" s="2357" t="s">
        <v>2375</v>
      </c>
      <c r="Q47" s="2358" t="s">
        <v>2376</v>
      </c>
      <c r="R47" s="2357" t="s">
        <v>2377</v>
      </c>
    </row>
    <row r="48" spans="1:18" s="2041" customFormat="1" ht="18" customHeight="1" thickBot="1">
      <c r="A48" s="2603" t="s">
        <v>2536</v>
      </c>
      <c r="B48" s="2604" t="s">
        <v>2537</v>
      </c>
      <c r="C48" s="2335">
        <f ca="1">ROUND(F48*F50*F49*(1-F51)/10000,0)</f>
        <v>0</v>
      </c>
      <c r="D48" s="2336" t="s">
        <v>636</v>
      </c>
      <c r="E48" s="2337" t="s">
        <v>2295</v>
      </c>
      <c r="F48" s="2338"/>
      <c r="G48" s="2072"/>
      <c r="I48" s="3075" t="s">
        <v>2344</v>
      </c>
      <c r="J48" s="2343" t="s">
        <v>2349</v>
      </c>
      <c r="K48" s="3103" t="s">
        <v>2350</v>
      </c>
      <c r="L48" s="1890">
        <f ca="1">INDIRECT("'数据-取费表'!f"&amp;$G$1)</f>
        <v>38.479999999999997</v>
      </c>
      <c r="O48" s="2359" t="s">
        <v>2378</v>
      </c>
      <c r="P48" s="2360" t="s">
        <v>2404</v>
      </c>
      <c r="Q48" s="2361">
        <f ca="1">C40+J29</f>
        <v>103512</v>
      </c>
      <c r="R48" s="2360" t="s">
        <v>2379</v>
      </c>
    </row>
    <row r="49" spans="1:18" s="2041" customFormat="1" ht="18" customHeight="1" thickBot="1">
      <c r="A49" s="784"/>
      <c r="B49" s="785"/>
      <c r="C49" s="786"/>
      <c r="D49" s="787"/>
      <c r="E49" s="782" t="s">
        <v>1738</v>
      </c>
      <c r="F49" s="783">
        <f ca="1">F7</f>
        <v>163338</v>
      </c>
      <c r="G49" s="2072"/>
      <c r="H49" s="2075"/>
      <c r="I49" s="3075" t="s">
        <v>2345</v>
      </c>
      <c r="J49" s="2344"/>
      <c r="K49" s="3104" t="s">
        <v>2351</v>
      </c>
      <c r="L49" s="2345"/>
      <c r="O49" s="2359" t="s">
        <v>2380</v>
      </c>
      <c r="P49" s="2360" t="s">
        <v>2405</v>
      </c>
      <c r="Q49" s="2361" t="str">
        <f ca="1">J60</f>
        <v>0</v>
      </c>
      <c r="R49" s="2360" t="s">
        <v>2381</v>
      </c>
    </row>
    <row r="50" spans="1:18" s="2041" customFormat="1" ht="18" customHeight="1" thickBot="1">
      <c r="A50" s="784"/>
      <c r="B50" s="785"/>
      <c r="C50" s="786"/>
      <c r="D50" s="787"/>
      <c r="E50" s="782" t="s">
        <v>1739</v>
      </c>
      <c r="F50" s="783">
        <f ca="1">F8</f>
        <v>365</v>
      </c>
      <c r="G50" s="2077"/>
      <c r="H50" s="2075"/>
      <c r="I50" s="3075" t="s">
        <v>2346</v>
      </c>
      <c r="J50" s="3100">
        <f>SUMPRODUCT((I63:I65=J47)*(J62:L62=J48)*(J63:L65))</f>
        <v>60</v>
      </c>
      <c r="K50" s="3104" t="s">
        <v>2352</v>
      </c>
      <c r="L50" s="2345"/>
      <c r="O50" s="2362" t="s">
        <v>2382</v>
      </c>
      <c r="P50" s="2360" t="s">
        <v>2406</v>
      </c>
      <c r="Q50" s="2361">
        <f ca="1">C29</f>
        <v>58851</v>
      </c>
      <c r="R50" s="2360" t="s">
        <v>2379</v>
      </c>
    </row>
    <row r="51" spans="1:18" s="2041" customFormat="1" ht="18" customHeight="1" thickBot="1">
      <c r="A51" s="784"/>
      <c r="B51" s="785"/>
      <c r="C51" s="786"/>
      <c r="D51" s="787"/>
      <c r="E51" s="782" t="s">
        <v>640</v>
      </c>
      <c r="F51" s="2332"/>
      <c r="H51" s="2075"/>
      <c r="I51" s="3097" t="s">
        <v>2347</v>
      </c>
      <c r="J51" s="3101">
        <f>IF(J49="",J50,J49+J50-YEAR('数据-取费表'!B2))</f>
        <v>60</v>
      </c>
      <c r="K51" s="3075" t="s">
        <v>2353</v>
      </c>
      <c r="L51" s="3107">
        <f ca="1">ROUND(-PV(INDIRECT("'数据-取费表'!h"&amp;$G$1),L48,(C39-C13*J36),0),0)</f>
        <v>-2631</v>
      </c>
      <c r="O51" s="2362" t="s">
        <v>2383</v>
      </c>
      <c r="P51" s="2360" t="s">
        <v>2384</v>
      </c>
      <c r="Q51" s="2363" t="e">
        <f ca="1">J58</f>
        <v>#VALUE!</v>
      </c>
      <c r="R51" s="2364"/>
    </row>
    <row r="52" spans="1:18" s="2041" customFormat="1" ht="18" customHeight="1" thickBot="1">
      <c r="A52" s="779" t="s">
        <v>2535</v>
      </c>
      <c r="B52" s="2455" t="s">
        <v>2458</v>
      </c>
      <c r="C52" s="797">
        <f ca="1">ROUND(IF(F52="押一",C48/12*F11,IF(F52="押二",C48/12*2*F11,IF(F52="押三",C48/12*3*F11,C53*F11))),0)</f>
        <v>0</v>
      </c>
      <c r="D52" s="2462" t="s">
        <v>2972</v>
      </c>
      <c r="E52" s="2459" t="s">
        <v>2463</v>
      </c>
      <c r="F52" s="2582"/>
      <c r="I52" s="3098" t="s">
        <v>2420</v>
      </c>
      <c r="J52" s="2346"/>
      <c r="K52" s="3098" t="s">
        <v>2419</v>
      </c>
      <c r="L52" s="2346"/>
      <c r="O52" s="2362" t="s">
        <v>2385</v>
      </c>
      <c r="P52" s="2360" t="s">
        <v>2386</v>
      </c>
      <c r="Q52" s="2363">
        <f>J52</f>
        <v>0</v>
      </c>
      <c r="R52" s="2364"/>
    </row>
    <row r="53" spans="1:18" s="2041" customFormat="1" ht="39.75" customHeight="1" thickBot="1">
      <c r="A53" s="784"/>
      <c r="B53" s="2456" t="s">
        <v>2572</v>
      </c>
      <c r="C53" s="2460"/>
      <c r="D53" s="2462"/>
      <c r="E53" s="2459"/>
      <c r="F53" s="798"/>
      <c r="I53" s="3099" t="s">
        <v>2975</v>
      </c>
      <c r="J53" s="3178">
        <f ca="1">IF(M47="住宅",IF(D1="——",MAX(J51,L48),MAX(J51,L48-'数据-取费表'!B20)),IF(D1="——",MIN(J51,L48),MIN(J51,L48-'数据-取费表'!B20)))</f>
        <v>35.479999999999997</v>
      </c>
      <c r="K53" s="3554" t="s">
        <v>2963</v>
      </c>
      <c r="L53" s="3555"/>
      <c r="O53" s="2362" t="s">
        <v>2387</v>
      </c>
      <c r="P53" s="2360" t="s">
        <v>2388</v>
      </c>
      <c r="Q53" s="2361">
        <f ca="1">J53</f>
        <v>35.479999999999997</v>
      </c>
      <c r="R53" s="2360" t="s">
        <v>2389</v>
      </c>
    </row>
    <row r="54" spans="1:18" s="2041" customFormat="1" ht="18" customHeight="1" thickBot="1">
      <c r="A54" s="2498" t="s">
        <v>2466</v>
      </c>
      <c r="B54" s="2499" t="s">
        <v>2459</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2390</v>
      </c>
      <c r="P54" s="2360" t="s">
        <v>2407</v>
      </c>
      <c r="Q54" s="2361">
        <f ca="1">Q48+Q49</f>
        <v>103512</v>
      </c>
      <c r="R54" s="2364" t="s">
        <v>2391</v>
      </c>
    </row>
    <row r="55" spans="1:18" s="2041" customFormat="1" ht="18" customHeight="1" thickTop="1" thickBot="1">
      <c r="A55" s="795">
        <v>2</v>
      </c>
      <c r="B55" s="796" t="s">
        <v>644</v>
      </c>
      <c r="C55" s="797">
        <f ca="1">C13</f>
        <v>58851</v>
      </c>
      <c r="D55" s="793"/>
      <c r="E55" s="793"/>
      <c r="F55" s="798"/>
      <c r="I55" s="3110" t="s">
        <v>2354</v>
      </c>
      <c r="J55" s="3050" t="e">
        <f ca="1">ROUND(IF(J47="钢混",J57/J50,1-(1-2%)*(J50-J57)/J50),3)</f>
        <v>#VALUE!</v>
      </c>
      <c r="K55" s="3111" t="s">
        <v>2355</v>
      </c>
      <c r="L55" s="2347"/>
      <c r="O55" s="2365" t="s">
        <v>2410</v>
      </c>
      <c r="P55" s="1575"/>
      <c r="Q55" s="1586"/>
      <c r="R55" s="1575"/>
    </row>
    <row r="56" spans="1:18" s="2041" customFormat="1" ht="42.75" customHeight="1" thickBot="1">
      <c r="A56" s="1632"/>
      <c r="B56" s="2213" t="s">
        <v>2301</v>
      </c>
      <c r="C56" s="53">
        <f ca="1">C29</f>
        <v>58851</v>
      </c>
      <c r="D56" s="2600"/>
      <c r="E56" s="782"/>
      <c r="F56" s="807"/>
      <c r="I56" s="3112" t="s">
        <v>2356</v>
      </c>
      <c r="J56" s="3122" t="s">
        <v>1677</v>
      </c>
      <c r="K56" s="3075" t="s">
        <v>2361</v>
      </c>
      <c r="L56" s="1890" t="str">
        <f ca="1">IF(L48&lt;J51,"——",L48-J51)</f>
        <v>——</v>
      </c>
      <c r="O56" s="2356" t="s">
        <v>2374</v>
      </c>
      <c r="P56" s="2357" t="s">
        <v>2375</v>
      </c>
      <c r="Q56" s="2358" t="s">
        <v>2376</v>
      </c>
      <c r="R56" s="2357" t="s">
        <v>2377</v>
      </c>
    </row>
    <row r="57" spans="1:18" s="2041" customFormat="1" ht="28.5" customHeight="1" thickBot="1">
      <c r="A57" s="795" t="s">
        <v>1747</v>
      </c>
      <c r="B57" s="796" t="s">
        <v>651</v>
      </c>
      <c r="C57" s="797">
        <f ca="1">ROUND(C58+C63+C64+C65,0)</f>
        <v>1004</v>
      </c>
      <c r="D57" s="26" t="s">
        <v>1749</v>
      </c>
      <c r="E57" s="2601"/>
      <c r="F57" s="56"/>
      <c r="I57" s="3113" t="s">
        <v>2357</v>
      </c>
      <c r="J57" s="3114" t="str">
        <f ca="1">IF(OR(M47="住宅",J51&lt;L48,J56="是"),"——",J51-L48)</f>
        <v>——</v>
      </c>
      <c r="K57" s="3075" t="s">
        <v>2362</v>
      </c>
      <c r="L57" s="1890" t="str">
        <f ca="1">IF(L48&lt;J51,"——",IF(L55="比较法",L49,IF(L55="基准地价",L50,L51)))</f>
        <v>——</v>
      </c>
      <c r="O57" s="2359" t="s">
        <v>2378</v>
      </c>
      <c r="P57" s="2360" t="s">
        <v>2408</v>
      </c>
      <c r="Q57" s="2361">
        <f ca="1">C40+J29</f>
        <v>103512</v>
      </c>
      <c r="R57" s="2360" t="s">
        <v>2379</v>
      </c>
    </row>
    <row r="58" spans="1:18" s="2041" customFormat="1" ht="28.5" customHeight="1" thickBot="1">
      <c r="A58" s="1631" t="s">
        <v>1823</v>
      </c>
      <c r="B58" s="782" t="s">
        <v>656</v>
      </c>
      <c r="C58" s="53">
        <f ca="1">ROUND(IF(项目基本情况!B11="自然人",C47*F58,C59+C60+C61),1)</f>
        <v>32.700000000000003</v>
      </c>
      <c r="D58" s="2599" t="s">
        <v>657</v>
      </c>
      <c r="E58" s="2600" t="s">
        <v>690</v>
      </c>
      <c r="F58" s="808" t="str">
        <f ca="1">IF(项目基本情况!B11="企业","",IF(INDIRECT("'数据-取费表'!c"&amp;$G$1)="住宅",5%,IF(F48*F49*F50/12/(1+'数据-取费表'!C42)&gt;20000,12%,7%)))</f>
        <v/>
      </c>
      <c r="I58" s="3113" t="s">
        <v>2358</v>
      </c>
      <c r="J58" s="3051" t="e">
        <f ca="1">IF(J55&lt;0.4,0.4,J55)</f>
        <v>#VALUE!</v>
      </c>
      <c r="K58" s="3075" t="s">
        <v>2363</v>
      </c>
      <c r="L58" s="1890" t="e">
        <f ca="1">ROUND(POWER(1+L52,L47-L48)*(POWER(1+L52,L48)-1)/(POWER(1+L52,L47)-1),4)</f>
        <v>#DIV/0!</v>
      </c>
      <c r="O58" s="2359" t="s">
        <v>2380</v>
      </c>
      <c r="P58" s="2360" t="s">
        <v>2411</v>
      </c>
      <c r="Q58" s="2361">
        <f ca="1">L60</f>
        <v>0</v>
      </c>
      <c r="R58" s="2364" t="s">
        <v>2413</v>
      </c>
    </row>
    <row r="59" spans="1:18" s="2041" customFormat="1" ht="28.5" customHeight="1" thickBot="1">
      <c r="A59" s="1630" t="s">
        <v>1830</v>
      </c>
      <c r="B59" s="782" t="s">
        <v>660</v>
      </c>
      <c r="C59" s="53">
        <f ca="1">ROUND(C47*F59/1.05,1)</f>
        <v>0</v>
      </c>
      <c r="D59" s="2600" t="s">
        <v>1755</v>
      </c>
      <c r="E59" s="782" t="s">
        <v>1746</v>
      </c>
      <c r="F59" s="807">
        <f t="shared" ref="F59:F65" si="0">F32</f>
        <v>5.5000000000000007E-2</v>
      </c>
      <c r="I59" s="3113" t="s">
        <v>2359</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2382</v>
      </c>
      <c r="P59" s="2360" t="s">
        <v>2412</v>
      </c>
      <c r="Q59" s="2361">
        <f>IF(L55="比较法",L49,IF(L55="基准地价",L50,0))</f>
        <v>0</v>
      </c>
      <c r="R59" s="2360" t="s">
        <v>2379</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5" t="s">
        <v>2360</v>
      </c>
      <c r="J60" s="3116" t="str">
        <f ca="1">IF(OR(M47="住宅",J51&lt;L48,J56="是"),"0",ROUND(J59/(1+J52)^J53,0))</f>
        <v>0</v>
      </c>
      <c r="K60" s="3117" t="s">
        <v>2365</v>
      </c>
      <c r="L60" s="3116">
        <f ca="1">IF(OR(M47="住宅",L48&lt;J51),0,ROUND(L57*(L58/L59-1),0))</f>
        <v>0</v>
      </c>
      <c r="O60" s="2362" t="s">
        <v>2383</v>
      </c>
      <c r="P60" s="2360" t="s">
        <v>2392</v>
      </c>
      <c r="Q60" s="2363">
        <f>L52</f>
        <v>0</v>
      </c>
      <c r="R60" s="2364"/>
    </row>
    <row r="61" spans="1:18" s="2041" customFormat="1" ht="18" customHeight="1" thickBot="1">
      <c r="A61" s="1633" t="s">
        <v>1832</v>
      </c>
      <c r="B61" s="339" t="s">
        <v>668</v>
      </c>
      <c r="C61" s="54">
        <f ca="1">ROUND(F61*F62/10000,1)</f>
        <v>32.700000000000003</v>
      </c>
      <c r="D61" s="812" t="s">
        <v>669</v>
      </c>
      <c r="E61" s="782" t="s">
        <v>670</v>
      </c>
      <c r="F61" s="638">
        <f t="shared" si="0"/>
        <v>6</v>
      </c>
      <c r="K61" s="2068"/>
      <c r="O61" s="2362" t="s">
        <v>2385</v>
      </c>
      <c r="P61" s="2360" t="s">
        <v>2393</v>
      </c>
      <c r="Q61" s="2361" t="e">
        <f ca="1">L58</f>
        <v>#DIV/0!</v>
      </c>
      <c r="R61" s="2364" t="s">
        <v>2394</v>
      </c>
    </row>
    <row r="62" spans="1:18" s="2041" customFormat="1" ht="15.75" thickBot="1">
      <c r="A62" s="813"/>
      <c r="B62" s="791"/>
      <c r="C62" s="69"/>
      <c r="D62" s="814"/>
      <c r="E62" s="782" t="s">
        <v>674</v>
      </c>
      <c r="F62" s="783">
        <f t="shared" ca="1" si="0"/>
        <v>54446</v>
      </c>
      <c r="I62" s="3118" t="s">
        <v>2366</v>
      </c>
      <c r="J62" s="3119" t="s">
        <v>2367</v>
      </c>
      <c r="K62" s="3119" t="s">
        <v>2368</v>
      </c>
      <c r="L62" s="3119" t="s">
        <v>2349</v>
      </c>
      <c r="M62" s="3120" t="s">
        <v>2940</v>
      </c>
      <c r="O62" s="2362" t="s">
        <v>2387</v>
      </c>
      <c r="P62" s="2360" t="str">
        <f>K59</f>
        <v>建设期及建筑物耐用年限下的土地年期修正系数Kn</v>
      </c>
      <c r="Q62" s="2361" t="e">
        <f ca="1">L59</f>
        <v>#DIV/0!</v>
      </c>
      <c r="R62" s="2364" t="s">
        <v>2396</v>
      </c>
    </row>
    <row r="63" spans="1:18" s="2041" customFormat="1" ht="15.75" thickBot="1">
      <c r="A63" s="1631" t="s">
        <v>1888</v>
      </c>
      <c r="B63" s="782" t="s">
        <v>676</v>
      </c>
      <c r="C63" s="53">
        <f ca="1">ROUND(C56*F63,1)</f>
        <v>882.8</v>
      </c>
      <c r="D63" s="2600" t="s">
        <v>1802</v>
      </c>
      <c r="E63" s="782" t="s">
        <v>1746</v>
      </c>
      <c r="F63" s="815">
        <f t="shared" ca="1" si="0"/>
        <v>1.4999999999999999E-2</v>
      </c>
      <c r="I63" s="3118" t="s">
        <v>2369</v>
      </c>
      <c r="J63" s="3119">
        <v>70</v>
      </c>
      <c r="K63" s="3119">
        <v>50</v>
      </c>
      <c r="L63" s="3119">
        <v>80</v>
      </c>
      <c r="M63" s="3121">
        <v>0.02</v>
      </c>
      <c r="O63" s="2359" t="s">
        <v>2390</v>
      </c>
      <c r="P63" s="2360" t="s">
        <v>2407</v>
      </c>
      <c r="Q63" s="2361">
        <f ca="1">Q57+Q58</f>
        <v>103512</v>
      </c>
      <c r="R63" s="2364" t="s">
        <v>2391</v>
      </c>
    </row>
    <row r="64" spans="1:18" s="2041" customFormat="1" ht="16.5" thickBot="1">
      <c r="A64" s="1631" t="s">
        <v>1889</v>
      </c>
      <c r="B64" s="782" t="s">
        <v>679</v>
      </c>
      <c r="C64" s="53">
        <f ca="1">ROUND(C55*F64,1)</f>
        <v>88.3</v>
      </c>
      <c r="D64" s="2600" t="s">
        <v>680</v>
      </c>
      <c r="E64" s="782" t="s">
        <v>1746</v>
      </c>
      <c r="F64" s="816">
        <f t="shared" ca="1" si="0"/>
        <v>1.5E-3</v>
      </c>
      <c r="I64" s="3118" t="s">
        <v>2370</v>
      </c>
      <c r="J64" s="3119">
        <v>50</v>
      </c>
      <c r="K64" s="3119">
        <v>35</v>
      </c>
      <c r="L64" s="3119">
        <v>60</v>
      </c>
      <c r="M64" s="844">
        <v>0</v>
      </c>
      <c r="O64" s="2365" t="s">
        <v>2414</v>
      </c>
      <c r="P64" s="1575"/>
      <c r="Q64" s="1586"/>
      <c r="R64" s="1575"/>
    </row>
    <row r="65" spans="1:18" s="2041" customFormat="1" ht="15.75" thickBot="1">
      <c r="A65" s="1631" t="s">
        <v>1890</v>
      </c>
      <c r="B65" s="782" t="s">
        <v>666</v>
      </c>
      <c r="C65" s="53">
        <f ca="1">ROUND(C47*F65,1)</f>
        <v>0</v>
      </c>
      <c r="D65" s="2600" t="s">
        <v>683</v>
      </c>
      <c r="E65" s="782" t="s">
        <v>1746</v>
      </c>
      <c r="F65" s="792">
        <f t="shared" ca="1" si="0"/>
        <v>0.01</v>
      </c>
      <c r="I65" s="3118" t="s">
        <v>2371</v>
      </c>
      <c r="J65" s="3119">
        <v>40</v>
      </c>
      <c r="K65" s="3119">
        <v>30</v>
      </c>
      <c r="L65" s="3119">
        <v>50</v>
      </c>
      <c r="M65" s="3121">
        <v>0.02</v>
      </c>
      <c r="O65" s="2356" t="s">
        <v>2374</v>
      </c>
      <c r="P65" s="2357" t="s">
        <v>2375</v>
      </c>
      <c r="Q65" s="2358" t="s">
        <v>2376</v>
      </c>
      <c r="R65" s="2357" t="s">
        <v>2377</v>
      </c>
    </row>
    <row r="66" spans="1:18" s="2041" customFormat="1" ht="24.75" thickBot="1">
      <c r="A66" s="795" t="s">
        <v>1775</v>
      </c>
      <c r="B66" s="2960" t="s">
        <v>2821</v>
      </c>
      <c r="C66" s="797">
        <f ca="1">C47-C57</f>
        <v>-1004</v>
      </c>
      <c r="D66" s="2599" t="s">
        <v>700</v>
      </c>
      <c r="E66" s="2598"/>
      <c r="F66" s="818"/>
      <c r="K66" s="2068"/>
      <c r="O66" s="2359" t="s">
        <v>2378</v>
      </c>
      <c r="P66" s="2360" t="s">
        <v>2408</v>
      </c>
      <c r="Q66" s="2361">
        <f ca="1">C40+J29</f>
        <v>103512</v>
      </c>
      <c r="R66" s="2360" t="s">
        <v>2379</v>
      </c>
    </row>
    <row r="67" spans="1:18" s="2041" customFormat="1" ht="20.25" thickBot="1">
      <c r="A67" s="779" t="s">
        <v>1779</v>
      </c>
      <c r="B67" s="2214" t="s">
        <v>2300</v>
      </c>
      <c r="C67" s="781">
        <f ca="1">ROUND(C66*(1-((1+F69)/(1+F67))^F68)/(F67-F69),0)</f>
        <v>-15523</v>
      </c>
      <c r="D67" s="812" t="s">
        <v>704</v>
      </c>
      <c r="E67" s="782" t="s">
        <v>705</v>
      </c>
      <c r="F67" s="792">
        <f ca="1">F40</f>
        <v>5.5E-2</v>
      </c>
      <c r="K67" s="2068"/>
      <c r="O67" s="2359" t="s">
        <v>2380</v>
      </c>
      <c r="P67" s="2360" t="s">
        <v>2411</v>
      </c>
      <c r="Q67" s="2361">
        <f ca="1">L60</f>
        <v>0</v>
      </c>
      <c r="R67" s="2364" t="s">
        <v>2413</v>
      </c>
    </row>
    <row r="68" spans="1:18" ht="21.75" thickBot="1">
      <c r="A68" s="784"/>
      <c r="B68" s="785"/>
      <c r="C68" s="786"/>
      <c r="D68" s="819" t="s">
        <v>1807</v>
      </c>
      <c r="E68" s="782" t="s">
        <v>1783</v>
      </c>
      <c r="F68" s="820">
        <f ca="1">F41</f>
        <v>35.479999999999997</v>
      </c>
      <c r="O68" s="2362" t="s">
        <v>2382</v>
      </c>
      <c r="P68" s="2360" t="s">
        <v>2412</v>
      </c>
      <c r="Q68" s="2366">
        <f ca="1">L51</f>
        <v>-2631</v>
      </c>
      <c r="R68" s="2367" t="s">
        <v>2415</v>
      </c>
    </row>
    <row r="69" spans="1:18" ht="20.25" thickBot="1">
      <c r="A69" s="788"/>
      <c r="B69" s="789"/>
      <c r="C69" s="790"/>
      <c r="D69" s="814"/>
      <c r="E69" s="782" t="s">
        <v>710</v>
      </c>
      <c r="F69" s="2332"/>
      <c r="O69" s="2362" t="s">
        <v>2383</v>
      </c>
      <c r="P69" s="2368" t="s">
        <v>2397</v>
      </c>
      <c r="Q69" s="2361">
        <f ca="1">ROUND(Q70-Q71*Q72,0)</f>
        <v>-155</v>
      </c>
      <c r="R69" s="2364"/>
    </row>
    <row r="70" spans="1:18" ht="15.75" thickBot="1">
      <c r="A70" s="821" t="s">
        <v>1786</v>
      </c>
      <c r="B70" s="822" t="s">
        <v>1809</v>
      </c>
      <c r="C70" s="823">
        <f ca="1">ROUND(C67*10000/F70,0)</f>
        <v>-950</v>
      </c>
      <c r="D70" s="824" t="s">
        <v>1810</v>
      </c>
      <c r="E70" s="825" t="s">
        <v>1811</v>
      </c>
      <c r="F70" s="826">
        <f ca="1">F43</f>
        <v>163338</v>
      </c>
      <c r="O70" s="2362" t="s">
        <v>2398</v>
      </c>
      <c r="P70" s="2368" t="s">
        <v>2399</v>
      </c>
      <c r="Q70" s="2361">
        <f ca="1">C39</f>
        <v>4847</v>
      </c>
      <c r="R70" s="2360" t="s">
        <v>2379</v>
      </c>
    </row>
    <row r="71" spans="1:18" ht="15.75" thickBot="1">
      <c r="O71" s="2362" t="s">
        <v>2400</v>
      </c>
      <c r="P71" s="2368" t="s">
        <v>2401</v>
      </c>
      <c r="Q71" s="2361">
        <f ca="1">C13</f>
        <v>58851</v>
      </c>
      <c r="R71" s="2360" t="s">
        <v>2379</v>
      </c>
    </row>
    <row r="72" spans="1:18" ht="15.75" thickBot="1">
      <c r="O72" s="2362" t="s">
        <v>2402</v>
      </c>
      <c r="P72" s="2368" t="s">
        <v>2403</v>
      </c>
      <c r="Q72" s="2363">
        <f ca="1">J36</f>
        <v>8.5000000000000006E-2</v>
      </c>
      <c r="R72" s="2364"/>
    </row>
    <row r="73" spans="1:18" ht="15.75" thickBot="1">
      <c r="O73" s="2362" t="s">
        <v>2385</v>
      </c>
      <c r="P73" s="2360" t="s">
        <v>2392</v>
      </c>
      <c r="Q73" s="2363">
        <f>L52</f>
        <v>0</v>
      </c>
      <c r="R73" s="2364"/>
    </row>
    <row r="74" spans="1:18" ht="20.25" thickBot="1">
      <c r="O74" s="2362" t="s">
        <v>2387</v>
      </c>
      <c r="P74" s="2360" t="s">
        <v>2393</v>
      </c>
      <c r="Q74" s="2361" t="e">
        <f ca="1">L58</f>
        <v>#DIV/0!</v>
      </c>
      <c r="R74" s="2364" t="s">
        <v>2394</v>
      </c>
    </row>
    <row r="75" spans="1:18" ht="15.75" thickBot="1">
      <c r="O75" s="2362" t="s">
        <v>2416</v>
      </c>
      <c r="P75" s="2360" t="str">
        <f>K59</f>
        <v>建设期及建筑物耐用年限下的土地年期修正系数Kn</v>
      </c>
      <c r="Q75" s="2361" t="e">
        <f ca="1">L59</f>
        <v>#DIV/0!</v>
      </c>
      <c r="R75" s="2364" t="s">
        <v>2396</v>
      </c>
    </row>
    <row r="76" spans="1:18" ht="15.75" thickBot="1">
      <c r="O76" s="2359" t="s">
        <v>2390</v>
      </c>
      <c r="P76" s="2360" t="s">
        <v>2407</v>
      </c>
      <c r="Q76" s="2361">
        <f ca="1">Q66+Q67</f>
        <v>103512</v>
      </c>
      <c r="R76" s="236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54446平方米。根据《建设工程规划许可证》[]、《出让合同》[]，估价对象规划建筑面积为163338平方米。</v>
      </c>
    </row>
    <row r="7" spans="1:4" ht="93.75">
      <c r="A7" s="2825" t="s">
        <v>2747</v>
      </c>
    </row>
    <row r="8" spans="1:4" ht="18.75">
      <c r="A8" s="1776" t="s">
        <v>1905</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2025</v>
      </c>
    </row>
    <row r="11" spans="1:4" ht="18.75">
      <c r="A11" s="1762" t="str">
        <f>TEXT(项目基本情况!D3,"yyyy年m月d日;;")&amp;IF(项目基本情况!B3=项目基本情况!D3,"（评估专业人员勘察现场之日）","")</f>
        <v>2019年8月14日（评估专业人员勘察现场之日）</v>
      </c>
    </row>
    <row r="12" spans="1:4" ht="18.75">
      <c r="A12" s="1779" t="s">
        <v>2024</v>
      </c>
    </row>
    <row r="13" spans="1:4" ht="18.75">
      <c r="A13" s="1773" t="s">
        <v>2070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2071</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2072</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根据《国有土地使用证》[]，估价对象（分摊）出让国有建设用地使用权面积为54446平方米。根据《建设工程规划许可证》[]、《出让合同》[]，估价对象规划建筑面积为163338平方米。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2073</v>
      </c>
    </row>
    <row r="23" spans="1:1" ht="18.75">
      <c r="A23" s="2827" t="s">
        <v>2748</v>
      </c>
    </row>
    <row r="24" spans="1:1" ht="18.75">
      <c r="A24" s="1773" t="s">
        <v>2074</v>
      </c>
    </row>
    <row r="25" spans="1:1" ht="75">
      <c r="A25" s="1773" t="str">
        <f>定义!C53</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2026</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T26" sqref="T26"/>
    </sheetView>
  </sheetViews>
  <sheetFormatPr defaultColWidth="9" defaultRowHeight="12.75"/>
  <cols>
    <col min="1" max="1" width="11.5" style="1243" customWidth="1"/>
    <col min="2" max="2" width="9.25" style="1211" customWidth="1"/>
    <col min="3" max="3" width="7.625" style="1211" customWidth="1"/>
    <col min="4" max="4" width="9" style="1211"/>
    <col min="5" max="5" width="7.125" style="1211" customWidth="1"/>
    <col min="6" max="6" width="9" style="1211"/>
    <col min="7" max="7" width="8"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20" width="12.375" style="255" bestFit="1" customWidth="1"/>
    <col min="21" max="35" width="9" style="255"/>
    <col min="36" max="16384" width="9" style="1243"/>
  </cols>
  <sheetData>
    <row r="1" spans="1:45" s="255" customFormat="1" ht="14.25" customHeight="1" thickBot="1">
      <c r="A1" s="363"/>
      <c r="B1" s="2216" t="s">
        <v>2302</v>
      </c>
      <c r="C1" s="3559" t="s">
        <v>2303</v>
      </c>
      <c r="D1" s="3560"/>
      <c r="E1" s="3560"/>
      <c r="F1" s="3560"/>
      <c r="G1" s="3560"/>
      <c r="H1" s="3560"/>
      <c r="I1" s="3560"/>
      <c r="J1" s="3560"/>
      <c r="K1" s="3560"/>
      <c r="L1" s="3560"/>
      <c r="M1" s="3560"/>
      <c r="N1" s="3560"/>
      <c r="O1" s="3560"/>
      <c r="P1" s="3560"/>
      <c r="Q1" s="3560"/>
      <c r="R1" s="3560"/>
      <c r="S1" s="3561"/>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7" t="s">
        <v>2305</v>
      </c>
      <c r="C2" s="948" t="str">
        <f t="shared" ref="C2:L2" si="0">C3&amp;"(含)"&amp;"-"&amp;D3</f>
        <v>0(含)-50000</v>
      </c>
      <c r="D2" s="949" t="str">
        <f t="shared" si="0"/>
        <v>50000(含)-100000</v>
      </c>
      <c r="E2" s="949" t="str">
        <f t="shared" si="0"/>
        <v>100000(含)-200000</v>
      </c>
      <c r="F2" s="949" t="str">
        <f t="shared" si="0"/>
        <v>200000(含)-300000</v>
      </c>
      <c r="G2" s="949" t="str">
        <f t="shared" si="0"/>
        <v>300000(含)-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3212">
        <v>0</v>
      </c>
      <c r="D3" s="3213">
        <v>50000</v>
      </c>
      <c r="E3" s="3213">
        <v>100000</v>
      </c>
      <c r="F3" s="3213">
        <v>200000</v>
      </c>
      <c r="G3" s="3213">
        <v>300000</v>
      </c>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3214">
        <v>100</v>
      </c>
      <c r="D4" s="3215">
        <v>101</v>
      </c>
      <c r="E4" s="3215">
        <v>102</v>
      </c>
      <c r="F4" s="3215">
        <v>103</v>
      </c>
      <c r="G4" s="3215">
        <v>104</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8.25" customHeight="1">
      <c r="A5" s="2233"/>
      <c r="B5" s="3038" t="str">
        <f>'比较法-住宅、综合'!B12</f>
        <v>土地使用年限（年）</v>
      </c>
      <c r="C5" s="2234" t="s">
        <v>3097</v>
      </c>
      <c r="D5" s="2235" t="s">
        <v>3098</v>
      </c>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3256">
        <f>年期修正系数!F4*100</f>
        <v>100.6</v>
      </c>
      <c r="D6" s="1951">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259" t="s">
        <v>3122</v>
      </c>
      <c r="C7" s="3260" t="s">
        <v>3123</v>
      </c>
      <c r="D7" s="3261" t="s">
        <v>3125</v>
      </c>
      <c r="E7" s="1944"/>
      <c r="F7" s="1944"/>
      <c r="G7" s="1944"/>
      <c r="H7" s="1944"/>
      <c r="I7" s="1944"/>
      <c r="J7" s="1944"/>
      <c r="K7" s="1944"/>
      <c r="L7" s="1944"/>
      <c r="M7" s="2241"/>
      <c r="N7" s="2242"/>
      <c r="O7" s="2243"/>
      <c r="P7" s="2244"/>
      <c r="Q7" s="2245"/>
      <c r="R7" s="2246"/>
      <c r="S7" s="2247"/>
      <c r="T7" s="956">
        <v>1</v>
      </c>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99</v>
      </c>
      <c r="E8" s="1951">
        <f t="shared" ref="E8:S8" si="8">D8-$T7</f>
        <v>98</v>
      </c>
      <c r="F8" s="1951">
        <f t="shared" si="8"/>
        <v>97</v>
      </c>
      <c r="G8" s="1951">
        <f t="shared" si="8"/>
        <v>96</v>
      </c>
      <c r="H8" s="1951">
        <f t="shared" si="8"/>
        <v>95</v>
      </c>
      <c r="I8" s="1951">
        <f t="shared" si="8"/>
        <v>94</v>
      </c>
      <c r="J8" s="1951">
        <f t="shared" si="8"/>
        <v>93</v>
      </c>
      <c r="K8" s="1951">
        <f t="shared" si="8"/>
        <v>92</v>
      </c>
      <c r="L8" s="1951">
        <f t="shared" si="8"/>
        <v>91</v>
      </c>
      <c r="M8" s="1951">
        <f t="shared" si="8"/>
        <v>90</v>
      </c>
      <c r="N8" s="1951">
        <f t="shared" si="8"/>
        <v>89</v>
      </c>
      <c r="O8" s="1951">
        <f t="shared" si="8"/>
        <v>88</v>
      </c>
      <c r="P8" s="1951">
        <f t="shared" si="8"/>
        <v>87</v>
      </c>
      <c r="Q8" s="1951">
        <f t="shared" si="8"/>
        <v>86</v>
      </c>
      <c r="R8" s="1951">
        <f t="shared" si="8"/>
        <v>85</v>
      </c>
      <c r="S8" s="1951">
        <f t="shared" si="8"/>
        <v>84</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idden="1">
      <c r="A9" s="2233"/>
      <c r="B9" s="3040" t="s">
        <v>2926</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idden="1">
      <c r="A11" s="2233"/>
      <c r="B11" s="3038"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idden="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hidden="1"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hidden="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hidden="1"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hidden="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hidden="1"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300426</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f ca="1">R22</f>
        <v>1558</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1928436</v>
      </c>
      <c r="C22" s="3556" t="s">
        <v>20</v>
      </c>
      <c r="D22" s="3557"/>
      <c r="E22" s="3557"/>
      <c r="F22" s="3557"/>
      <c r="G22" s="3557"/>
      <c r="H22" s="3557"/>
      <c r="I22" s="3557"/>
      <c r="J22" s="3557"/>
      <c r="K22" s="3557"/>
      <c r="L22" s="3557"/>
      <c r="M22" s="3557"/>
      <c r="N22" s="3557"/>
      <c r="O22" s="3557"/>
      <c r="P22" s="3557"/>
      <c r="Q22" s="3558"/>
      <c r="R22" s="488">
        <f ca="1">ROUND(S22*10000/B22,0)</f>
        <v>1558</v>
      </c>
      <c r="S22" s="53">
        <f ca="1">SUM(S24:S10000)</f>
        <v>300426</v>
      </c>
    </row>
    <row r="23" spans="1:45" s="1596" customFormat="1" ht="25.5">
      <c r="A23" s="17" t="s">
        <v>831</v>
      </c>
      <c r="B23" s="17" t="s">
        <v>832</v>
      </c>
      <c r="C23" s="17" t="s">
        <v>833</v>
      </c>
      <c r="D23" s="17" t="str">
        <f>B5</f>
        <v>土地使用年限（年）</v>
      </c>
      <c r="E23" s="17" t="s">
        <v>833</v>
      </c>
      <c r="F23" s="17" t="str">
        <f>B7</f>
        <v>宗地形状</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v>133</v>
      </c>
      <c r="B24" s="958">
        <f>'[2]数据-基础表'!I13</f>
        <v>163338</v>
      </c>
      <c r="C24" s="959">
        <v>1</v>
      </c>
      <c r="D24" s="960" t="s">
        <v>3100</v>
      </c>
      <c r="E24" s="959">
        <v>1</v>
      </c>
      <c r="F24" s="960" t="s">
        <v>3089</v>
      </c>
      <c r="G24" s="959">
        <v>1</v>
      </c>
      <c r="H24" s="960"/>
      <c r="I24" s="959">
        <v>1</v>
      </c>
      <c r="J24" s="960"/>
      <c r="K24" s="959">
        <v>1</v>
      </c>
      <c r="L24" s="960"/>
      <c r="M24" s="959">
        <v>1</v>
      </c>
      <c r="N24" s="960"/>
      <c r="O24" s="959">
        <v>1</v>
      </c>
      <c r="P24" s="960"/>
      <c r="Q24" s="959">
        <v>1</v>
      </c>
      <c r="R24" s="961">
        <f ca="1">结果表!G20</f>
        <v>1545</v>
      </c>
      <c r="S24" s="959">
        <f t="shared" ref="S24:S54" ca="1" si="11">ROUND(R24*B24/10000,0)</f>
        <v>25236</v>
      </c>
      <c r="T24" s="1955">
        <v>237601400</v>
      </c>
      <c r="U24" s="1955"/>
      <c r="V24" s="1955"/>
      <c r="W24" s="1955"/>
      <c r="X24" s="1955"/>
      <c r="Y24" s="1955"/>
      <c r="Z24" s="1955"/>
      <c r="AA24" s="1955"/>
      <c r="AB24" s="1955"/>
      <c r="AC24" s="1955"/>
      <c r="AD24" s="1955"/>
      <c r="AE24" s="1955"/>
      <c r="AF24" s="1955"/>
      <c r="AG24" s="1955"/>
      <c r="AH24" s="1955"/>
      <c r="AI24" s="1955"/>
    </row>
    <row r="25" spans="1:45">
      <c r="A25" s="137">
        <v>134</v>
      </c>
      <c r="B25" s="137">
        <v>209940</v>
      </c>
      <c r="C25" s="53">
        <f>IF(B25="",1,(LOOKUP(B25,$3:$3,$4:$4)-LOOKUP($B$24,$3:$3,$4:$4)+100)/100)</f>
        <v>1.01</v>
      </c>
      <c r="D25" s="960" t="s">
        <v>3100</v>
      </c>
      <c r="E25" s="53">
        <f>(SUMIF($5:$5,D25,$6:$6)-SUMIF($5:$5,$D$24,$6:$6)+100)/100</f>
        <v>1</v>
      </c>
      <c r="F25" s="960" t="s">
        <v>3124</v>
      </c>
      <c r="G25" s="53">
        <f>(SUMIF($7:$7,F25,$8:$8)-SUMIF($7:$7,$F$24,$8:$8)+100)/100</f>
        <v>0.99</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 ca="1">IF(B25="",0,ROUND($R$24*C25*E25*G25*I25*K25*M25*O25*Q25,0))</f>
        <v>1545</v>
      </c>
      <c r="S25" s="797">
        <f t="shared" ca="1" si="11"/>
        <v>32436</v>
      </c>
      <c r="T25" s="255">
        <v>302702000</v>
      </c>
    </row>
    <row r="26" spans="1:45">
      <c r="A26" s="137">
        <v>137</v>
      </c>
      <c r="B26" s="137">
        <v>258327</v>
      </c>
      <c r="C26" s="53">
        <f t="shared" ref="C26:C89" si="12">IF(B26="",1,(LOOKUP(B26,$3:$3,$4:$4)-LOOKUP($B$24,$3:$3,$4:$4)+100)/100)</f>
        <v>1.01</v>
      </c>
      <c r="D26" s="960" t="s">
        <v>3100</v>
      </c>
      <c r="E26" s="53">
        <f t="shared" ref="E26:E89" si="13">(SUMIF($5:$5,D26,$6:$6)-SUMIF($5:$5,$D$24,$6:$6)+100)/100</f>
        <v>1</v>
      </c>
      <c r="F26" s="960" t="s">
        <v>3124</v>
      </c>
      <c r="G26" s="53">
        <f t="shared" ref="G26:G89" si="14">(SUMIF($7:$7,F26,$8:$8)-SUMIF($7:$7,$F$24,$8:$8)+100)/100</f>
        <v>0.99</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ca="1" si="20">IF(B26="",0,ROUND($R$24*C26*E26*G26*I26*K26*M26*O26*Q26,0))</f>
        <v>1545</v>
      </c>
      <c r="S26" s="797">
        <f t="shared" ca="1" si="11"/>
        <v>39912</v>
      </c>
      <c r="T26" s="255">
        <v>376498100</v>
      </c>
    </row>
    <row r="27" spans="1:45">
      <c r="A27" s="137">
        <v>138</v>
      </c>
      <c r="B27" s="137">
        <v>209631</v>
      </c>
      <c r="C27" s="53">
        <f t="shared" si="12"/>
        <v>1.01</v>
      </c>
      <c r="D27" s="960" t="s">
        <v>3100</v>
      </c>
      <c r="E27" s="53">
        <f t="shared" si="13"/>
        <v>1</v>
      </c>
      <c r="F27" s="960" t="s">
        <v>3089</v>
      </c>
      <c r="G27" s="53">
        <f t="shared" si="14"/>
        <v>1</v>
      </c>
      <c r="H27" s="960"/>
      <c r="I27" s="53">
        <f t="shared" si="15"/>
        <v>1</v>
      </c>
      <c r="J27" s="960"/>
      <c r="K27" s="53">
        <f t="shared" si="16"/>
        <v>1</v>
      </c>
      <c r="L27" s="960"/>
      <c r="M27" s="53">
        <f t="shared" si="17"/>
        <v>1</v>
      </c>
      <c r="N27" s="960"/>
      <c r="O27" s="53">
        <f t="shared" si="18"/>
        <v>1</v>
      </c>
      <c r="P27" s="960"/>
      <c r="Q27" s="53">
        <f t="shared" si="19"/>
        <v>1</v>
      </c>
      <c r="R27" s="488">
        <f t="shared" ca="1" si="20"/>
        <v>1560</v>
      </c>
      <c r="S27" s="797">
        <f t="shared" ca="1" si="11"/>
        <v>32702</v>
      </c>
      <c r="T27" s="255">
        <v>303129300</v>
      </c>
    </row>
    <row r="28" spans="1:45">
      <c r="A28" s="137">
        <v>139</v>
      </c>
      <c r="B28" s="137">
        <v>237243</v>
      </c>
      <c r="C28" s="53">
        <f t="shared" si="12"/>
        <v>1.01</v>
      </c>
      <c r="D28" s="960" t="s">
        <v>3100</v>
      </c>
      <c r="E28" s="53">
        <f t="shared" si="13"/>
        <v>1</v>
      </c>
      <c r="F28" s="960" t="s">
        <v>3089</v>
      </c>
      <c r="G28" s="53">
        <f t="shared" si="14"/>
        <v>1</v>
      </c>
      <c r="H28" s="960"/>
      <c r="I28" s="53">
        <f t="shared" si="15"/>
        <v>1</v>
      </c>
      <c r="J28" s="960"/>
      <c r="K28" s="53">
        <f t="shared" si="16"/>
        <v>1</v>
      </c>
      <c r="L28" s="960"/>
      <c r="M28" s="53">
        <f t="shared" si="17"/>
        <v>1</v>
      </c>
      <c r="N28" s="960"/>
      <c r="O28" s="53">
        <f t="shared" si="18"/>
        <v>1</v>
      </c>
      <c r="P28" s="960"/>
      <c r="Q28" s="53">
        <f t="shared" si="19"/>
        <v>1</v>
      </c>
      <c r="R28" s="488">
        <f t="shared" ca="1" si="20"/>
        <v>1560</v>
      </c>
      <c r="S28" s="797">
        <f t="shared" ca="1" si="11"/>
        <v>37010</v>
      </c>
      <c r="T28" s="255">
        <v>341172900</v>
      </c>
    </row>
    <row r="29" spans="1:45">
      <c r="A29" s="137">
        <v>140</v>
      </c>
      <c r="B29" s="137">
        <v>242559</v>
      </c>
      <c r="C29" s="53">
        <f t="shared" si="12"/>
        <v>1.01</v>
      </c>
      <c r="D29" s="960" t="s">
        <v>3099</v>
      </c>
      <c r="E29" s="53">
        <f t="shared" si="13"/>
        <v>1.006</v>
      </c>
      <c r="F29" s="960" t="s">
        <v>3089</v>
      </c>
      <c r="G29" s="53">
        <f t="shared" si="14"/>
        <v>1</v>
      </c>
      <c r="H29" s="960"/>
      <c r="I29" s="53">
        <f t="shared" si="15"/>
        <v>1</v>
      </c>
      <c r="J29" s="960"/>
      <c r="K29" s="53">
        <f t="shared" si="16"/>
        <v>1</v>
      </c>
      <c r="L29" s="960"/>
      <c r="M29" s="53">
        <f t="shared" si="17"/>
        <v>1</v>
      </c>
      <c r="N29" s="960"/>
      <c r="O29" s="53">
        <f t="shared" si="18"/>
        <v>1</v>
      </c>
      <c r="P29" s="960"/>
      <c r="Q29" s="53">
        <f t="shared" si="19"/>
        <v>1</v>
      </c>
      <c r="R29" s="488">
        <f t="shared" ca="1" si="20"/>
        <v>1570</v>
      </c>
      <c r="S29" s="797">
        <f t="shared" ca="1" si="11"/>
        <v>38082</v>
      </c>
      <c r="T29" s="255">
        <v>185409500</v>
      </c>
    </row>
    <row r="30" spans="1:45">
      <c r="A30" s="137">
        <v>141</v>
      </c>
      <c r="B30" s="137">
        <v>196005</v>
      </c>
      <c r="C30" s="53">
        <f t="shared" si="12"/>
        <v>1</v>
      </c>
      <c r="D30" s="960" t="s">
        <v>3099</v>
      </c>
      <c r="E30" s="53">
        <f t="shared" si="13"/>
        <v>1.006</v>
      </c>
      <c r="F30" s="960" t="s">
        <v>3089</v>
      </c>
      <c r="G30" s="53">
        <f t="shared" si="14"/>
        <v>1</v>
      </c>
      <c r="H30" s="960"/>
      <c r="I30" s="53">
        <f t="shared" si="15"/>
        <v>1</v>
      </c>
      <c r="J30" s="960"/>
      <c r="K30" s="53">
        <f t="shared" si="16"/>
        <v>1</v>
      </c>
      <c r="L30" s="960"/>
      <c r="M30" s="53">
        <f t="shared" si="17"/>
        <v>1</v>
      </c>
      <c r="N30" s="960"/>
      <c r="O30" s="53">
        <f t="shared" si="18"/>
        <v>1</v>
      </c>
      <c r="P30" s="960"/>
      <c r="Q30" s="53">
        <f t="shared" si="19"/>
        <v>1</v>
      </c>
      <c r="R30" s="488">
        <f t="shared" ca="1" si="20"/>
        <v>1554</v>
      </c>
      <c r="S30" s="797">
        <f t="shared" ca="1" si="11"/>
        <v>30459</v>
      </c>
      <c r="T30" s="255">
        <v>150922500</v>
      </c>
    </row>
    <row r="31" spans="1:45">
      <c r="A31" s="137">
        <v>142</v>
      </c>
      <c r="B31" s="137">
        <v>205476</v>
      </c>
      <c r="C31" s="53">
        <f t="shared" si="12"/>
        <v>1.01</v>
      </c>
      <c r="D31" s="960" t="s">
        <v>3099</v>
      </c>
      <c r="E31" s="53">
        <f t="shared" si="13"/>
        <v>1.006</v>
      </c>
      <c r="F31" s="960" t="s">
        <v>3089</v>
      </c>
      <c r="G31" s="53">
        <f t="shared" si="14"/>
        <v>1</v>
      </c>
      <c r="H31" s="960"/>
      <c r="I31" s="53">
        <f t="shared" si="15"/>
        <v>1</v>
      </c>
      <c r="J31" s="960"/>
      <c r="K31" s="53">
        <f t="shared" si="16"/>
        <v>1</v>
      </c>
      <c r="L31" s="960"/>
      <c r="M31" s="53">
        <f t="shared" si="17"/>
        <v>1</v>
      </c>
      <c r="N31" s="960"/>
      <c r="O31" s="53">
        <f t="shared" si="18"/>
        <v>1</v>
      </c>
      <c r="P31" s="960"/>
      <c r="Q31" s="53">
        <f t="shared" si="19"/>
        <v>1</v>
      </c>
      <c r="R31" s="488">
        <f t="shared" ca="1" si="20"/>
        <v>1570</v>
      </c>
      <c r="S31" s="797">
        <f t="shared" ca="1" si="11"/>
        <v>32260</v>
      </c>
      <c r="T31" s="255">
        <v>158358000</v>
      </c>
    </row>
    <row r="32" spans="1:45">
      <c r="A32" s="137">
        <v>144</v>
      </c>
      <c r="B32" s="137">
        <v>205917</v>
      </c>
      <c r="C32" s="53">
        <f t="shared" si="12"/>
        <v>1.01</v>
      </c>
      <c r="D32" s="960" t="s">
        <v>3099</v>
      </c>
      <c r="E32" s="53">
        <f t="shared" si="13"/>
        <v>1.006</v>
      </c>
      <c r="F32" s="960" t="s">
        <v>3089</v>
      </c>
      <c r="G32" s="53">
        <f t="shared" si="14"/>
        <v>1</v>
      </c>
      <c r="H32" s="960"/>
      <c r="I32" s="53">
        <f t="shared" si="15"/>
        <v>1</v>
      </c>
      <c r="J32" s="960"/>
      <c r="K32" s="53">
        <f t="shared" si="16"/>
        <v>1</v>
      </c>
      <c r="L32" s="960"/>
      <c r="M32" s="53">
        <f t="shared" si="17"/>
        <v>1</v>
      </c>
      <c r="N32" s="960"/>
      <c r="O32" s="53">
        <f t="shared" si="18"/>
        <v>1</v>
      </c>
      <c r="P32" s="960"/>
      <c r="Q32" s="53">
        <f t="shared" si="19"/>
        <v>1</v>
      </c>
      <c r="R32" s="488">
        <f t="shared" ca="1" si="20"/>
        <v>1570</v>
      </c>
      <c r="S32" s="797">
        <f t="shared" ca="1" si="11"/>
        <v>32329</v>
      </c>
      <c r="T32" s="255">
        <v>159608500</v>
      </c>
    </row>
    <row r="33" spans="1:19">
      <c r="A33" s="962"/>
      <c r="B33" s="137"/>
      <c r="C33" s="53">
        <f t="shared" si="12"/>
        <v>1</v>
      </c>
      <c r="D33" s="960"/>
      <c r="E33" s="53">
        <f t="shared" si="13"/>
        <v>0</v>
      </c>
      <c r="F33" s="960"/>
      <c r="G33" s="53">
        <f t="shared" si="14"/>
        <v>0</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0</v>
      </c>
      <c r="F34" s="960"/>
      <c r="G34" s="53">
        <f t="shared" si="14"/>
        <v>0</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0</v>
      </c>
      <c r="F35" s="960"/>
      <c r="G35" s="53">
        <f t="shared" si="14"/>
        <v>0</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0</v>
      </c>
      <c r="F36" s="960"/>
      <c r="G36" s="53">
        <f t="shared" si="14"/>
        <v>0</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0</v>
      </c>
      <c r="F37" s="960"/>
      <c r="G37" s="53">
        <f t="shared" si="14"/>
        <v>0</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0</v>
      </c>
      <c r="F38" s="960"/>
      <c r="G38" s="53">
        <f t="shared" si="14"/>
        <v>0</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0</v>
      </c>
      <c r="F39" s="960"/>
      <c r="G39" s="53">
        <f t="shared" si="14"/>
        <v>0</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0</v>
      </c>
      <c r="F40" s="960"/>
      <c r="G40" s="53">
        <f t="shared" si="14"/>
        <v>0</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0</v>
      </c>
      <c r="F41" s="960"/>
      <c r="G41" s="53">
        <f t="shared" si="14"/>
        <v>0</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0</v>
      </c>
      <c r="F42" s="960"/>
      <c r="G42" s="53">
        <f t="shared" si="14"/>
        <v>0</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0</v>
      </c>
      <c r="F43" s="960"/>
      <c r="G43" s="53">
        <f t="shared" si="14"/>
        <v>0</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0</v>
      </c>
      <c r="F44" s="960"/>
      <c r="G44" s="53">
        <f t="shared" si="14"/>
        <v>0</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0</v>
      </c>
      <c r="F45" s="960"/>
      <c r="G45" s="53">
        <f t="shared" si="14"/>
        <v>0</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0</v>
      </c>
      <c r="F46" s="960"/>
      <c r="G46" s="53">
        <f t="shared" si="14"/>
        <v>0</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0</v>
      </c>
      <c r="F47" s="960"/>
      <c r="G47" s="53">
        <f t="shared" si="14"/>
        <v>0</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0</v>
      </c>
      <c r="F48" s="960"/>
      <c r="G48" s="53">
        <f t="shared" si="14"/>
        <v>0</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0</v>
      </c>
      <c r="F49" s="960"/>
      <c r="G49" s="53">
        <f t="shared" si="14"/>
        <v>0</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0</v>
      </c>
      <c r="F50" s="960"/>
      <c r="G50" s="53">
        <f t="shared" si="14"/>
        <v>0</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0</v>
      </c>
      <c r="F51" s="960"/>
      <c r="G51" s="53">
        <f t="shared" si="14"/>
        <v>0</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0</v>
      </c>
      <c r="F52" s="960"/>
      <c r="G52" s="53">
        <f t="shared" si="14"/>
        <v>0</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0</v>
      </c>
      <c r="F53" s="960"/>
      <c r="G53" s="53">
        <f t="shared" si="14"/>
        <v>0</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0</v>
      </c>
      <c r="F54" s="960"/>
      <c r="G54" s="53">
        <f t="shared" si="14"/>
        <v>0</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0</v>
      </c>
      <c r="F55" s="960"/>
      <c r="G55" s="53">
        <f t="shared" si="14"/>
        <v>0</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0</v>
      </c>
      <c r="F56" s="960"/>
      <c r="G56" s="53">
        <f t="shared" si="14"/>
        <v>0</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0</v>
      </c>
      <c r="F57" s="960"/>
      <c r="G57" s="53">
        <f t="shared" si="14"/>
        <v>0</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0</v>
      </c>
      <c r="F58" s="960"/>
      <c r="G58" s="53">
        <f t="shared" si="14"/>
        <v>0</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0</v>
      </c>
      <c r="F59" s="960"/>
      <c r="G59" s="53">
        <f t="shared" si="14"/>
        <v>0</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0</v>
      </c>
      <c r="F60" s="960"/>
      <c r="G60" s="53">
        <f t="shared" si="14"/>
        <v>0</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0</v>
      </c>
      <c r="F61" s="960"/>
      <c r="G61" s="53">
        <f t="shared" si="14"/>
        <v>0</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0</v>
      </c>
      <c r="F62" s="960"/>
      <c r="G62" s="53">
        <f t="shared" si="14"/>
        <v>0</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0</v>
      </c>
      <c r="F63" s="960"/>
      <c r="G63" s="53">
        <f t="shared" si="14"/>
        <v>0</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0</v>
      </c>
      <c r="F64" s="960"/>
      <c r="G64" s="53">
        <f t="shared" si="14"/>
        <v>0</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0</v>
      </c>
      <c r="F65" s="960"/>
      <c r="G65" s="53">
        <f t="shared" si="14"/>
        <v>0</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0</v>
      </c>
      <c r="F66" s="960"/>
      <c r="G66" s="53">
        <f t="shared" si="14"/>
        <v>0</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0</v>
      </c>
      <c r="F67" s="960"/>
      <c r="G67" s="53">
        <f t="shared" si="14"/>
        <v>0</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0</v>
      </c>
      <c r="F68" s="960"/>
      <c r="G68" s="53">
        <f t="shared" si="14"/>
        <v>0</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0</v>
      </c>
      <c r="F69" s="960"/>
      <c r="G69" s="53">
        <f t="shared" si="14"/>
        <v>0</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0</v>
      </c>
      <c r="F70" s="960"/>
      <c r="G70" s="53">
        <f t="shared" si="14"/>
        <v>0</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0</v>
      </c>
      <c r="F71" s="960"/>
      <c r="G71" s="53">
        <f t="shared" si="14"/>
        <v>0</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0</v>
      </c>
      <c r="F72" s="960"/>
      <c r="G72" s="53">
        <f t="shared" si="14"/>
        <v>0</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0</v>
      </c>
      <c r="F73" s="960"/>
      <c r="G73" s="53">
        <f t="shared" si="14"/>
        <v>0</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0</v>
      </c>
      <c r="F74" s="960"/>
      <c r="G74" s="53">
        <f t="shared" si="14"/>
        <v>0</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0</v>
      </c>
      <c r="F75" s="960"/>
      <c r="G75" s="53">
        <f t="shared" si="14"/>
        <v>0</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0</v>
      </c>
      <c r="F76" s="960"/>
      <c r="G76" s="53">
        <f t="shared" si="14"/>
        <v>0</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0</v>
      </c>
      <c r="F77" s="960"/>
      <c r="G77" s="53">
        <f t="shared" si="14"/>
        <v>0</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0</v>
      </c>
      <c r="F78" s="960"/>
      <c r="G78" s="53">
        <f t="shared" si="14"/>
        <v>0</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0</v>
      </c>
      <c r="F79" s="960"/>
      <c r="G79" s="53">
        <f t="shared" si="14"/>
        <v>0</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0</v>
      </c>
      <c r="F80" s="960"/>
      <c r="G80" s="53">
        <f t="shared" si="14"/>
        <v>0</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0</v>
      </c>
      <c r="F81" s="960"/>
      <c r="G81" s="53">
        <f t="shared" si="14"/>
        <v>0</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0</v>
      </c>
      <c r="F82" s="960"/>
      <c r="G82" s="53">
        <f t="shared" si="14"/>
        <v>0</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0</v>
      </c>
      <c r="F83" s="960"/>
      <c r="G83" s="53">
        <f t="shared" si="14"/>
        <v>0</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0</v>
      </c>
      <c r="F84" s="960"/>
      <c r="G84" s="53">
        <f t="shared" si="14"/>
        <v>0</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0</v>
      </c>
      <c r="F85" s="960"/>
      <c r="G85" s="53">
        <f t="shared" si="14"/>
        <v>0</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0</v>
      </c>
      <c r="F86" s="960"/>
      <c r="G86" s="53">
        <f t="shared" si="14"/>
        <v>0</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0</v>
      </c>
      <c r="F87" s="960"/>
      <c r="G87" s="53">
        <f t="shared" si="14"/>
        <v>0</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0</v>
      </c>
      <c r="F88" s="960"/>
      <c r="G88" s="53">
        <f t="shared" si="14"/>
        <v>0</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0</v>
      </c>
      <c r="F89" s="960"/>
      <c r="G89" s="53">
        <f t="shared" si="14"/>
        <v>0</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0</v>
      </c>
      <c r="F90" s="960"/>
      <c r="G90" s="53">
        <f t="shared" ref="G90:G153" si="25">(SUMIF($7:$7,F90,$8:$8)-SUMIF($7:$7,$F$24,$8:$8)+100)/100</f>
        <v>0</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0</v>
      </c>
      <c r="F91" s="960"/>
      <c r="G91" s="53">
        <f t="shared" si="25"/>
        <v>0</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0</v>
      </c>
      <c r="F92" s="960"/>
      <c r="G92" s="53">
        <f t="shared" si="25"/>
        <v>0</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0</v>
      </c>
      <c r="F93" s="960"/>
      <c r="G93" s="53">
        <f t="shared" si="25"/>
        <v>0</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0</v>
      </c>
      <c r="F94" s="960"/>
      <c r="G94" s="53">
        <f t="shared" si="25"/>
        <v>0</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0</v>
      </c>
      <c r="F95" s="960"/>
      <c r="G95" s="53">
        <f t="shared" si="25"/>
        <v>0</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0</v>
      </c>
      <c r="F96" s="960"/>
      <c r="G96" s="53">
        <f t="shared" si="25"/>
        <v>0</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0</v>
      </c>
      <c r="F97" s="960"/>
      <c r="G97" s="53">
        <f t="shared" si="25"/>
        <v>0</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0</v>
      </c>
      <c r="F98" s="960"/>
      <c r="G98" s="53">
        <f t="shared" si="25"/>
        <v>0</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0</v>
      </c>
      <c r="F99" s="960"/>
      <c r="G99" s="53">
        <f t="shared" si="25"/>
        <v>0</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0</v>
      </c>
      <c r="F100" s="960"/>
      <c r="G100" s="53">
        <f t="shared" si="25"/>
        <v>0</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0</v>
      </c>
      <c r="F101" s="960"/>
      <c r="G101" s="53">
        <f t="shared" si="25"/>
        <v>0</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0</v>
      </c>
      <c r="F102" s="960"/>
      <c r="G102" s="53">
        <f t="shared" si="25"/>
        <v>0</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0</v>
      </c>
      <c r="F103" s="960"/>
      <c r="G103" s="53">
        <f t="shared" si="25"/>
        <v>0</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0</v>
      </c>
      <c r="F104" s="960"/>
      <c r="G104" s="53">
        <f t="shared" si="25"/>
        <v>0</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0</v>
      </c>
      <c r="F105" s="960"/>
      <c r="G105" s="53">
        <f t="shared" si="25"/>
        <v>0</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0</v>
      </c>
      <c r="F106" s="960"/>
      <c r="G106" s="53">
        <f t="shared" si="25"/>
        <v>0</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0</v>
      </c>
      <c r="F107" s="960"/>
      <c r="G107" s="53">
        <f t="shared" si="25"/>
        <v>0</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0</v>
      </c>
      <c r="F108" s="960"/>
      <c r="G108" s="53">
        <f t="shared" si="25"/>
        <v>0</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0</v>
      </c>
      <c r="F109" s="960"/>
      <c r="G109" s="53">
        <f t="shared" si="25"/>
        <v>0</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0</v>
      </c>
      <c r="F110" s="960"/>
      <c r="G110" s="53">
        <f t="shared" si="25"/>
        <v>0</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0</v>
      </c>
      <c r="F111" s="960"/>
      <c r="G111" s="53">
        <f t="shared" si="25"/>
        <v>0</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0</v>
      </c>
      <c r="F112" s="960"/>
      <c r="G112" s="53">
        <f t="shared" si="25"/>
        <v>0</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0</v>
      </c>
      <c r="F113" s="960"/>
      <c r="G113" s="53">
        <f t="shared" si="25"/>
        <v>0</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0</v>
      </c>
      <c r="F114" s="960"/>
      <c r="G114" s="53">
        <f t="shared" si="25"/>
        <v>0</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0</v>
      </c>
      <c r="F115" s="960"/>
      <c r="G115" s="53">
        <f t="shared" si="25"/>
        <v>0</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0</v>
      </c>
      <c r="F116" s="960"/>
      <c r="G116" s="53">
        <f t="shared" si="25"/>
        <v>0</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0</v>
      </c>
      <c r="F117" s="960"/>
      <c r="G117" s="53">
        <f t="shared" si="25"/>
        <v>0</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0</v>
      </c>
      <c r="F118" s="960"/>
      <c r="G118" s="53">
        <f t="shared" si="25"/>
        <v>0</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0</v>
      </c>
      <c r="F119" s="960"/>
      <c r="G119" s="53">
        <f t="shared" si="25"/>
        <v>0</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0</v>
      </c>
      <c r="F120" s="960"/>
      <c r="G120" s="53">
        <f t="shared" si="25"/>
        <v>0</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0</v>
      </c>
      <c r="F121" s="960"/>
      <c r="G121" s="53">
        <f t="shared" si="25"/>
        <v>0</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0</v>
      </c>
      <c r="F122" s="960"/>
      <c r="G122" s="53">
        <f t="shared" si="25"/>
        <v>0</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0</v>
      </c>
      <c r="F123" s="960"/>
      <c r="G123" s="53">
        <f t="shared" si="25"/>
        <v>0</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0</v>
      </c>
      <c r="F124" s="960"/>
      <c r="G124" s="53">
        <f t="shared" si="25"/>
        <v>0</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0</v>
      </c>
      <c r="F125" s="960"/>
      <c r="G125" s="53">
        <f t="shared" si="25"/>
        <v>0</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0</v>
      </c>
      <c r="F126" s="960"/>
      <c r="G126" s="53">
        <f t="shared" si="25"/>
        <v>0</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0</v>
      </c>
      <c r="F127" s="960"/>
      <c r="G127" s="53">
        <f t="shared" si="25"/>
        <v>0</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0</v>
      </c>
      <c r="F128" s="960"/>
      <c r="G128" s="53">
        <f t="shared" si="25"/>
        <v>0</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0</v>
      </c>
      <c r="F129" s="960"/>
      <c r="G129" s="53">
        <f t="shared" si="25"/>
        <v>0</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0</v>
      </c>
      <c r="F130" s="960"/>
      <c r="G130" s="53">
        <f t="shared" si="25"/>
        <v>0</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0</v>
      </c>
      <c r="F131" s="960"/>
      <c r="G131" s="53">
        <f t="shared" si="25"/>
        <v>0</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0</v>
      </c>
      <c r="F132" s="960"/>
      <c r="G132" s="53">
        <f t="shared" si="25"/>
        <v>0</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0</v>
      </c>
      <c r="F133" s="960"/>
      <c r="G133" s="53">
        <f t="shared" si="25"/>
        <v>0</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0</v>
      </c>
      <c r="F134" s="960"/>
      <c r="G134" s="53">
        <f t="shared" si="25"/>
        <v>0</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0</v>
      </c>
      <c r="F135" s="960"/>
      <c r="G135" s="53">
        <f t="shared" si="25"/>
        <v>0</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0</v>
      </c>
      <c r="F136" s="960"/>
      <c r="G136" s="53">
        <f t="shared" si="25"/>
        <v>0</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0</v>
      </c>
      <c r="F137" s="960"/>
      <c r="G137" s="53">
        <f t="shared" si="25"/>
        <v>0</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0</v>
      </c>
      <c r="F138" s="960"/>
      <c r="G138" s="53">
        <f t="shared" si="25"/>
        <v>0</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0</v>
      </c>
      <c r="F139" s="960"/>
      <c r="G139" s="53">
        <f t="shared" si="25"/>
        <v>0</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0</v>
      </c>
      <c r="F140" s="960"/>
      <c r="G140" s="53">
        <f t="shared" si="25"/>
        <v>0</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0</v>
      </c>
      <c r="F141" s="960"/>
      <c r="G141" s="53">
        <f t="shared" si="25"/>
        <v>0</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0</v>
      </c>
      <c r="F142" s="960"/>
      <c r="G142" s="53">
        <f t="shared" si="25"/>
        <v>0</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0</v>
      </c>
      <c r="F143" s="960"/>
      <c r="G143" s="53">
        <f t="shared" si="25"/>
        <v>0</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0</v>
      </c>
      <c r="F144" s="960"/>
      <c r="G144" s="53">
        <f t="shared" si="25"/>
        <v>0</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0</v>
      </c>
      <c r="F145" s="960"/>
      <c r="G145" s="53">
        <f t="shared" si="25"/>
        <v>0</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0</v>
      </c>
      <c r="F146" s="960"/>
      <c r="G146" s="53">
        <f t="shared" si="25"/>
        <v>0</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0</v>
      </c>
      <c r="F147" s="960"/>
      <c r="G147" s="53">
        <f t="shared" si="25"/>
        <v>0</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0</v>
      </c>
      <c r="F148" s="960"/>
      <c r="G148" s="53">
        <f t="shared" si="25"/>
        <v>0</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0</v>
      </c>
      <c r="F149" s="960"/>
      <c r="G149" s="53">
        <f t="shared" si="25"/>
        <v>0</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0</v>
      </c>
      <c r="F150" s="960"/>
      <c r="G150" s="53">
        <f t="shared" si="25"/>
        <v>0</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0</v>
      </c>
      <c r="F151" s="960"/>
      <c r="G151" s="53">
        <f t="shared" si="25"/>
        <v>0</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0</v>
      </c>
      <c r="F152" s="960"/>
      <c r="G152" s="53">
        <f t="shared" si="25"/>
        <v>0</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0</v>
      </c>
      <c r="F153" s="960"/>
      <c r="G153" s="53">
        <f t="shared" si="25"/>
        <v>0</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0</v>
      </c>
      <c r="F154" s="960"/>
      <c r="G154" s="53">
        <f t="shared" ref="G154:G217" si="35">(SUMIF($7:$7,F154,$8:$8)-SUMIF($7:$7,$F$24,$8:$8)+100)/100</f>
        <v>0</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0</v>
      </c>
      <c r="F155" s="960"/>
      <c r="G155" s="53">
        <f t="shared" si="35"/>
        <v>0</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0</v>
      </c>
      <c r="F156" s="960"/>
      <c r="G156" s="53">
        <f t="shared" si="35"/>
        <v>0</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0</v>
      </c>
      <c r="F157" s="960"/>
      <c r="G157" s="53">
        <f t="shared" si="35"/>
        <v>0</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0</v>
      </c>
      <c r="F158" s="960"/>
      <c r="G158" s="53">
        <f t="shared" si="35"/>
        <v>0</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0</v>
      </c>
      <c r="F159" s="960"/>
      <c r="G159" s="53">
        <f t="shared" si="35"/>
        <v>0</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0</v>
      </c>
      <c r="F160" s="960"/>
      <c r="G160" s="53">
        <f t="shared" si="35"/>
        <v>0</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0</v>
      </c>
      <c r="F161" s="960"/>
      <c r="G161" s="53">
        <f t="shared" si="35"/>
        <v>0</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0</v>
      </c>
      <c r="F162" s="960"/>
      <c r="G162" s="53">
        <f t="shared" si="35"/>
        <v>0</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0</v>
      </c>
      <c r="F163" s="960"/>
      <c r="G163" s="53">
        <f t="shared" si="35"/>
        <v>0</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0</v>
      </c>
      <c r="F164" s="960"/>
      <c r="G164" s="53">
        <f t="shared" si="35"/>
        <v>0</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0</v>
      </c>
      <c r="F165" s="960"/>
      <c r="G165" s="53">
        <f t="shared" si="35"/>
        <v>0</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0</v>
      </c>
      <c r="F166" s="960"/>
      <c r="G166" s="53">
        <f t="shared" si="35"/>
        <v>0</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0</v>
      </c>
      <c r="F167" s="960"/>
      <c r="G167" s="53">
        <f t="shared" si="35"/>
        <v>0</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0</v>
      </c>
      <c r="F168" s="960"/>
      <c r="G168" s="53">
        <f t="shared" si="35"/>
        <v>0</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0</v>
      </c>
      <c r="F169" s="960"/>
      <c r="G169" s="53">
        <f t="shared" si="35"/>
        <v>0</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0</v>
      </c>
      <c r="F170" s="960"/>
      <c r="G170" s="53">
        <f t="shared" si="35"/>
        <v>0</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0</v>
      </c>
      <c r="F171" s="960"/>
      <c r="G171" s="53">
        <f t="shared" si="35"/>
        <v>0</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0</v>
      </c>
      <c r="F172" s="960"/>
      <c r="G172" s="53">
        <f t="shared" si="35"/>
        <v>0</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0</v>
      </c>
      <c r="F173" s="960"/>
      <c r="G173" s="53">
        <f t="shared" si="35"/>
        <v>0</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0</v>
      </c>
      <c r="F174" s="960"/>
      <c r="G174" s="53">
        <f t="shared" si="35"/>
        <v>0</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0</v>
      </c>
      <c r="F175" s="960"/>
      <c r="G175" s="53">
        <f t="shared" si="35"/>
        <v>0</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0</v>
      </c>
      <c r="F176" s="960"/>
      <c r="G176" s="53">
        <f t="shared" si="35"/>
        <v>0</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0</v>
      </c>
      <c r="F177" s="960"/>
      <c r="G177" s="53">
        <f t="shared" si="35"/>
        <v>0</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0</v>
      </c>
      <c r="F178" s="960"/>
      <c r="G178" s="53">
        <f t="shared" si="35"/>
        <v>0</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0</v>
      </c>
      <c r="F179" s="960"/>
      <c r="G179" s="53">
        <f t="shared" si="35"/>
        <v>0</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0</v>
      </c>
      <c r="F180" s="960"/>
      <c r="G180" s="53">
        <f t="shared" si="35"/>
        <v>0</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0</v>
      </c>
      <c r="F181" s="960"/>
      <c r="G181" s="53">
        <f t="shared" si="35"/>
        <v>0</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0</v>
      </c>
      <c r="F182" s="960"/>
      <c r="G182" s="53">
        <f t="shared" si="35"/>
        <v>0</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0</v>
      </c>
      <c r="F183" s="960"/>
      <c r="G183" s="53">
        <f t="shared" si="35"/>
        <v>0</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0</v>
      </c>
      <c r="F184" s="960"/>
      <c r="G184" s="53">
        <f t="shared" si="35"/>
        <v>0</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0</v>
      </c>
      <c r="F185" s="960"/>
      <c r="G185" s="53">
        <f t="shared" si="35"/>
        <v>0</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0</v>
      </c>
      <c r="F186" s="960"/>
      <c r="G186" s="53">
        <f t="shared" si="35"/>
        <v>0</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0</v>
      </c>
      <c r="F187" s="960"/>
      <c r="G187" s="53">
        <f t="shared" si="35"/>
        <v>0</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0</v>
      </c>
      <c r="F188" s="960"/>
      <c r="G188" s="53">
        <f t="shared" si="35"/>
        <v>0</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0</v>
      </c>
      <c r="F189" s="960"/>
      <c r="G189" s="53">
        <f t="shared" si="35"/>
        <v>0</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0</v>
      </c>
      <c r="F190" s="960"/>
      <c r="G190" s="53">
        <f t="shared" si="35"/>
        <v>0</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0</v>
      </c>
      <c r="F191" s="960"/>
      <c r="G191" s="53">
        <f t="shared" si="35"/>
        <v>0</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0</v>
      </c>
      <c r="F192" s="960"/>
      <c r="G192" s="53">
        <f t="shared" si="35"/>
        <v>0</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0</v>
      </c>
      <c r="F193" s="960"/>
      <c r="G193" s="53">
        <f t="shared" si="35"/>
        <v>0</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0</v>
      </c>
      <c r="F194" s="960"/>
      <c r="G194" s="53">
        <f t="shared" si="35"/>
        <v>0</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0</v>
      </c>
      <c r="F195" s="960"/>
      <c r="G195" s="53">
        <f t="shared" si="35"/>
        <v>0</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0</v>
      </c>
      <c r="F196" s="960"/>
      <c r="G196" s="53">
        <f t="shared" si="35"/>
        <v>0</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0</v>
      </c>
      <c r="F197" s="960"/>
      <c r="G197" s="53">
        <f t="shared" si="35"/>
        <v>0</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0</v>
      </c>
      <c r="F198" s="960"/>
      <c r="G198" s="53">
        <f t="shared" si="35"/>
        <v>0</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0</v>
      </c>
      <c r="F199" s="960"/>
      <c r="G199" s="53">
        <f t="shared" si="35"/>
        <v>0</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0</v>
      </c>
      <c r="F200" s="960"/>
      <c r="G200" s="53">
        <f t="shared" si="35"/>
        <v>0</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0</v>
      </c>
      <c r="F201" s="960"/>
      <c r="G201" s="53">
        <f t="shared" si="35"/>
        <v>0</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0</v>
      </c>
      <c r="F202" s="960"/>
      <c r="G202" s="53">
        <f t="shared" si="35"/>
        <v>0</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0</v>
      </c>
      <c r="F203" s="960"/>
      <c r="G203" s="53">
        <f t="shared" si="35"/>
        <v>0</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0</v>
      </c>
      <c r="F204" s="960"/>
      <c r="G204" s="53">
        <f t="shared" si="35"/>
        <v>0</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0</v>
      </c>
      <c r="F205" s="960"/>
      <c r="G205" s="53">
        <f t="shared" si="35"/>
        <v>0</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0</v>
      </c>
      <c r="F206" s="960"/>
      <c r="G206" s="53">
        <f t="shared" si="35"/>
        <v>0</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0</v>
      </c>
      <c r="F207" s="960"/>
      <c r="G207" s="53">
        <f t="shared" si="35"/>
        <v>0</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0</v>
      </c>
      <c r="F208" s="960"/>
      <c r="G208" s="53">
        <f t="shared" si="35"/>
        <v>0</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0</v>
      </c>
      <c r="F209" s="960"/>
      <c r="G209" s="53">
        <f t="shared" si="35"/>
        <v>0</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0</v>
      </c>
      <c r="F210" s="960"/>
      <c r="G210" s="53">
        <f t="shared" si="35"/>
        <v>0</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0</v>
      </c>
      <c r="F211" s="960"/>
      <c r="G211" s="53">
        <f t="shared" si="35"/>
        <v>0</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0</v>
      </c>
      <c r="F212" s="960"/>
      <c r="G212" s="53">
        <f t="shared" si="35"/>
        <v>0</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0</v>
      </c>
      <c r="F213" s="960"/>
      <c r="G213" s="53">
        <f t="shared" si="35"/>
        <v>0</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0</v>
      </c>
      <c r="F214" s="960"/>
      <c r="G214" s="53">
        <f t="shared" si="35"/>
        <v>0</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0</v>
      </c>
      <c r="F215" s="960"/>
      <c r="G215" s="53">
        <f t="shared" si="35"/>
        <v>0</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0</v>
      </c>
      <c r="F216" s="960"/>
      <c r="G216" s="53">
        <f t="shared" si="35"/>
        <v>0</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0</v>
      </c>
      <c r="F217" s="960"/>
      <c r="G217" s="53">
        <f t="shared" si="35"/>
        <v>0</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0</v>
      </c>
      <c r="F218" s="960"/>
      <c r="G218" s="53">
        <f t="shared" ref="G218:G281" si="45">(SUMIF($7:$7,F218,$8:$8)-SUMIF($7:$7,$F$24,$8:$8)+100)/100</f>
        <v>0</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0</v>
      </c>
      <c r="F219" s="960"/>
      <c r="G219" s="53">
        <f t="shared" si="45"/>
        <v>0</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0</v>
      </c>
      <c r="F220" s="960"/>
      <c r="G220" s="53">
        <f t="shared" si="45"/>
        <v>0</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0</v>
      </c>
      <c r="F221" s="960"/>
      <c r="G221" s="53">
        <f t="shared" si="45"/>
        <v>0</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0</v>
      </c>
      <c r="F222" s="960"/>
      <c r="G222" s="53">
        <f t="shared" si="45"/>
        <v>0</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0</v>
      </c>
      <c r="F223" s="960"/>
      <c r="G223" s="53">
        <f t="shared" si="45"/>
        <v>0</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0</v>
      </c>
      <c r="F224" s="960"/>
      <c r="G224" s="53">
        <f t="shared" si="45"/>
        <v>0</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0</v>
      </c>
      <c r="F225" s="960"/>
      <c r="G225" s="53">
        <f t="shared" si="45"/>
        <v>0</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0</v>
      </c>
      <c r="F226" s="960"/>
      <c r="G226" s="53">
        <f t="shared" si="45"/>
        <v>0</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0</v>
      </c>
      <c r="F227" s="960"/>
      <c r="G227" s="53">
        <f t="shared" si="45"/>
        <v>0</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0</v>
      </c>
      <c r="F228" s="960"/>
      <c r="G228" s="53">
        <f t="shared" si="45"/>
        <v>0</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0</v>
      </c>
      <c r="F229" s="960"/>
      <c r="G229" s="53">
        <f t="shared" si="45"/>
        <v>0</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0</v>
      </c>
      <c r="F230" s="960"/>
      <c r="G230" s="53">
        <f t="shared" si="45"/>
        <v>0</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0</v>
      </c>
      <c r="F231" s="960"/>
      <c r="G231" s="53">
        <f t="shared" si="45"/>
        <v>0</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0</v>
      </c>
      <c r="F232" s="960"/>
      <c r="G232" s="53">
        <f t="shared" si="45"/>
        <v>0</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0</v>
      </c>
      <c r="F233" s="960"/>
      <c r="G233" s="53">
        <f t="shared" si="45"/>
        <v>0</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0</v>
      </c>
      <c r="F234" s="960"/>
      <c r="G234" s="53">
        <f t="shared" si="45"/>
        <v>0</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0</v>
      </c>
      <c r="F235" s="960"/>
      <c r="G235" s="53">
        <f t="shared" si="45"/>
        <v>0</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0</v>
      </c>
      <c r="F236" s="960"/>
      <c r="G236" s="53">
        <f t="shared" si="45"/>
        <v>0</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0</v>
      </c>
      <c r="F237" s="960"/>
      <c r="G237" s="53">
        <f t="shared" si="45"/>
        <v>0</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0</v>
      </c>
      <c r="F238" s="960"/>
      <c r="G238" s="53">
        <f t="shared" si="45"/>
        <v>0</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0</v>
      </c>
      <c r="F239" s="960"/>
      <c r="G239" s="53">
        <f t="shared" si="45"/>
        <v>0</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0</v>
      </c>
      <c r="F240" s="960"/>
      <c r="G240" s="53">
        <f t="shared" si="45"/>
        <v>0</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0</v>
      </c>
      <c r="F241" s="960"/>
      <c r="G241" s="53">
        <f t="shared" si="45"/>
        <v>0</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0</v>
      </c>
      <c r="F242" s="960"/>
      <c r="G242" s="53">
        <f t="shared" si="45"/>
        <v>0</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0</v>
      </c>
      <c r="F243" s="960"/>
      <c r="G243" s="53">
        <f t="shared" si="45"/>
        <v>0</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0</v>
      </c>
      <c r="F244" s="960"/>
      <c r="G244" s="53">
        <f t="shared" si="45"/>
        <v>0</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0</v>
      </c>
      <c r="F245" s="960"/>
      <c r="G245" s="53">
        <f t="shared" si="45"/>
        <v>0</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0</v>
      </c>
      <c r="F246" s="960"/>
      <c r="G246" s="53">
        <f t="shared" si="45"/>
        <v>0</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0</v>
      </c>
      <c r="F247" s="960"/>
      <c r="G247" s="53">
        <f t="shared" si="45"/>
        <v>0</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0</v>
      </c>
      <c r="F248" s="960"/>
      <c r="G248" s="53">
        <f t="shared" si="45"/>
        <v>0</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0</v>
      </c>
      <c r="F249" s="960"/>
      <c r="G249" s="53">
        <f t="shared" si="45"/>
        <v>0</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0</v>
      </c>
      <c r="F250" s="960"/>
      <c r="G250" s="53">
        <f t="shared" si="45"/>
        <v>0</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0</v>
      </c>
      <c r="F251" s="960"/>
      <c r="G251" s="53">
        <f t="shared" si="45"/>
        <v>0</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0</v>
      </c>
      <c r="F252" s="960"/>
      <c r="G252" s="53">
        <f t="shared" si="45"/>
        <v>0</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0</v>
      </c>
      <c r="F253" s="960"/>
      <c r="G253" s="53">
        <f t="shared" si="45"/>
        <v>0</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0</v>
      </c>
      <c r="F254" s="960"/>
      <c r="G254" s="53">
        <f t="shared" si="45"/>
        <v>0</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0</v>
      </c>
      <c r="F255" s="960"/>
      <c r="G255" s="53">
        <f t="shared" si="45"/>
        <v>0</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0</v>
      </c>
      <c r="F256" s="960"/>
      <c r="G256" s="53">
        <f t="shared" si="45"/>
        <v>0</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0</v>
      </c>
      <c r="F257" s="960"/>
      <c r="G257" s="53">
        <f t="shared" si="45"/>
        <v>0</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0</v>
      </c>
      <c r="F258" s="960"/>
      <c r="G258" s="53">
        <f t="shared" si="45"/>
        <v>0</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0</v>
      </c>
      <c r="F259" s="960"/>
      <c r="G259" s="53">
        <f t="shared" si="45"/>
        <v>0</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0</v>
      </c>
      <c r="F260" s="960"/>
      <c r="G260" s="53">
        <f t="shared" si="45"/>
        <v>0</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0</v>
      </c>
      <c r="F261" s="960"/>
      <c r="G261" s="53">
        <f t="shared" si="45"/>
        <v>0</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0</v>
      </c>
      <c r="F262" s="960"/>
      <c r="G262" s="53">
        <f t="shared" si="45"/>
        <v>0</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0</v>
      </c>
      <c r="F263" s="960"/>
      <c r="G263" s="53">
        <f t="shared" si="45"/>
        <v>0</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0</v>
      </c>
      <c r="F264" s="960"/>
      <c r="G264" s="53">
        <f t="shared" si="45"/>
        <v>0</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0</v>
      </c>
      <c r="F265" s="960"/>
      <c r="G265" s="53">
        <f t="shared" si="45"/>
        <v>0</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0</v>
      </c>
      <c r="F266" s="960"/>
      <c r="G266" s="53">
        <f t="shared" si="45"/>
        <v>0</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0</v>
      </c>
      <c r="F267" s="960"/>
      <c r="G267" s="53">
        <f t="shared" si="45"/>
        <v>0</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0</v>
      </c>
      <c r="F268" s="960"/>
      <c r="G268" s="53">
        <f t="shared" si="45"/>
        <v>0</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0</v>
      </c>
      <c r="F269" s="960"/>
      <c r="G269" s="53">
        <f t="shared" si="45"/>
        <v>0</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0</v>
      </c>
      <c r="F270" s="960"/>
      <c r="G270" s="53">
        <f t="shared" si="45"/>
        <v>0</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0</v>
      </c>
      <c r="F271" s="960"/>
      <c r="G271" s="53">
        <f t="shared" si="45"/>
        <v>0</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0</v>
      </c>
      <c r="F272" s="960"/>
      <c r="G272" s="53">
        <f t="shared" si="45"/>
        <v>0</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0</v>
      </c>
      <c r="F273" s="960"/>
      <c r="G273" s="53">
        <f t="shared" si="45"/>
        <v>0</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0</v>
      </c>
      <c r="F274" s="960"/>
      <c r="G274" s="53">
        <f t="shared" si="45"/>
        <v>0</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0</v>
      </c>
      <c r="F275" s="960"/>
      <c r="G275" s="53">
        <f t="shared" si="45"/>
        <v>0</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0</v>
      </c>
      <c r="F276" s="960"/>
      <c r="G276" s="53">
        <f t="shared" si="45"/>
        <v>0</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0</v>
      </c>
      <c r="F277" s="960"/>
      <c r="G277" s="53">
        <f t="shared" si="45"/>
        <v>0</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0</v>
      </c>
      <c r="F278" s="960"/>
      <c r="G278" s="53">
        <f t="shared" si="45"/>
        <v>0</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0</v>
      </c>
      <c r="F279" s="960"/>
      <c r="G279" s="53">
        <f t="shared" si="45"/>
        <v>0</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0</v>
      </c>
      <c r="F280" s="960"/>
      <c r="G280" s="53">
        <f t="shared" si="45"/>
        <v>0</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0</v>
      </c>
      <c r="F281" s="960"/>
      <c r="G281" s="53">
        <f t="shared" si="45"/>
        <v>0</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0</v>
      </c>
      <c r="F282" s="960"/>
      <c r="G282" s="53">
        <f t="shared" ref="G282:G345" si="55">(SUMIF($7:$7,F282,$8:$8)-SUMIF($7:$7,$F$24,$8:$8)+100)/100</f>
        <v>0</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0</v>
      </c>
      <c r="F283" s="960"/>
      <c r="G283" s="53">
        <f t="shared" si="55"/>
        <v>0</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0</v>
      </c>
      <c r="F284" s="960"/>
      <c r="G284" s="53">
        <f t="shared" si="55"/>
        <v>0</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0</v>
      </c>
      <c r="F285" s="960"/>
      <c r="G285" s="53">
        <f t="shared" si="55"/>
        <v>0</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0</v>
      </c>
      <c r="F286" s="960"/>
      <c r="G286" s="53">
        <f t="shared" si="55"/>
        <v>0</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0</v>
      </c>
      <c r="F287" s="960"/>
      <c r="G287" s="53">
        <f t="shared" si="55"/>
        <v>0</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0</v>
      </c>
      <c r="F288" s="960"/>
      <c r="G288" s="53">
        <f t="shared" si="55"/>
        <v>0</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0</v>
      </c>
      <c r="F289" s="960"/>
      <c r="G289" s="53">
        <f t="shared" si="55"/>
        <v>0</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0</v>
      </c>
      <c r="F290" s="960"/>
      <c r="G290" s="53">
        <f t="shared" si="55"/>
        <v>0</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0</v>
      </c>
      <c r="F291" s="960"/>
      <c r="G291" s="53">
        <f t="shared" si="55"/>
        <v>0</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0</v>
      </c>
      <c r="F292" s="960"/>
      <c r="G292" s="53">
        <f t="shared" si="55"/>
        <v>0</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0</v>
      </c>
      <c r="F293" s="960"/>
      <c r="G293" s="53">
        <f t="shared" si="55"/>
        <v>0</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0</v>
      </c>
      <c r="F294" s="960"/>
      <c r="G294" s="53">
        <f t="shared" si="55"/>
        <v>0</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0</v>
      </c>
      <c r="F295" s="960"/>
      <c r="G295" s="53">
        <f t="shared" si="55"/>
        <v>0</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0</v>
      </c>
      <c r="F296" s="960"/>
      <c r="G296" s="53">
        <f t="shared" si="55"/>
        <v>0</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0</v>
      </c>
      <c r="F297" s="960"/>
      <c r="G297" s="53">
        <f t="shared" si="55"/>
        <v>0</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0</v>
      </c>
      <c r="F298" s="960"/>
      <c r="G298" s="53">
        <f t="shared" si="55"/>
        <v>0</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0</v>
      </c>
      <c r="F299" s="960"/>
      <c r="G299" s="53">
        <f t="shared" si="55"/>
        <v>0</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0</v>
      </c>
      <c r="F300" s="960"/>
      <c r="G300" s="53">
        <f t="shared" si="55"/>
        <v>0</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0</v>
      </c>
      <c r="F301" s="960"/>
      <c r="G301" s="53">
        <f t="shared" si="55"/>
        <v>0</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0</v>
      </c>
      <c r="F302" s="960"/>
      <c r="G302" s="53">
        <f t="shared" si="55"/>
        <v>0</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0</v>
      </c>
      <c r="F303" s="960"/>
      <c r="G303" s="53">
        <f t="shared" si="55"/>
        <v>0</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0</v>
      </c>
      <c r="F304" s="960"/>
      <c r="G304" s="53">
        <f t="shared" si="55"/>
        <v>0</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0</v>
      </c>
      <c r="F305" s="960"/>
      <c r="G305" s="53">
        <f t="shared" si="55"/>
        <v>0</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0</v>
      </c>
      <c r="F306" s="960"/>
      <c r="G306" s="53">
        <f t="shared" si="55"/>
        <v>0</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0</v>
      </c>
      <c r="F307" s="960"/>
      <c r="G307" s="53">
        <f t="shared" si="55"/>
        <v>0</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0</v>
      </c>
      <c r="F308" s="960"/>
      <c r="G308" s="53">
        <f t="shared" si="55"/>
        <v>0</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0</v>
      </c>
      <c r="F309" s="960"/>
      <c r="G309" s="53">
        <f t="shared" si="55"/>
        <v>0</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0</v>
      </c>
      <c r="F310" s="960"/>
      <c r="G310" s="53">
        <f t="shared" si="55"/>
        <v>0</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0</v>
      </c>
      <c r="F311" s="960"/>
      <c r="G311" s="53">
        <f t="shared" si="55"/>
        <v>0</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0</v>
      </c>
      <c r="F312" s="960"/>
      <c r="G312" s="53">
        <f t="shared" si="55"/>
        <v>0</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0</v>
      </c>
      <c r="F313" s="960"/>
      <c r="G313" s="53">
        <f t="shared" si="55"/>
        <v>0</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0</v>
      </c>
      <c r="F314" s="960"/>
      <c r="G314" s="53">
        <f t="shared" si="55"/>
        <v>0</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0</v>
      </c>
      <c r="F315" s="960"/>
      <c r="G315" s="53">
        <f t="shared" si="55"/>
        <v>0</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0</v>
      </c>
      <c r="F316" s="960"/>
      <c r="G316" s="53">
        <f t="shared" si="55"/>
        <v>0</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0</v>
      </c>
      <c r="F317" s="960"/>
      <c r="G317" s="53">
        <f t="shared" si="55"/>
        <v>0</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0</v>
      </c>
      <c r="F318" s="960"/>
      <c r="G318" s="53">
        <f t="shared" si="55"/>
        <v>0</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0</v>
      </c>
      <c r="F319" s="960"/>
      <c r="G319" s="53">
        <f t="shared" si="55"/>
        <v>0</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0</v>
      </c>
      <c r="F320" s="960"/>
      <c r="G320" s="53">
        <f t="shared" si="55"/>
        <v>0</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0</v>
      </c>
      <c r="F321" s="960"/>
      <c r="G321" s="53">
        <f t="shared" si="55"/>
        <v>0</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0</v>
      </c>
      <c r="F322" s="960"/>
      <c r="G322" s="53">
        <f t="shared" si="55"/>
        <v>0</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0</v>
      </c>
      <c r="F323" s="960"/>
      <c r="G323" s="53">
        <f t="shared" si="55"/>
        <v>0</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0</v>
      </c>
      <c r="F324" s="960"/>
      <c r="G324" s="53">
        <f t="shared" si="55"/>
        <v>0</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0</v>
      </c>
      <c r="F325" s="960"/>
      <c r="G325" s="53">
        <f t="shared" si="55"/>
        <v>0</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0</v>
      </c>
      <c r="F326" s="960"/>
      <c r="G326" s="53">
        <f t="shared" si="55"/>
        <v>0</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0</v>
      </c>
      <c r="F327" s="960"/>
      <c r="G327" s="53">
        <f t="shared" si="55"/>
        <v>0</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0</v>
      </c>
      <c r="F328" s="960"/>
      <c r="G328" s="53">
        <f t="shared" si="55"/>
        <v>0</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0</v>
      </c>
      <c r="F329" s="960"/>
      <c r="G329" s="53">
        <f t="shared" si="55"/>
        <v>0</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0</v>
      </c>
      <c r="F330" s="960"/>
      <c r="G330" s="53">
        <f t="shared" si="55"/>
        <v>0</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0</v>
      </c>
      <c r="F331" s="960"/>
      <c r="G331" s="53">
        <f t="shared" si="55"/>
        <v>0</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0</v>
      </c>
      <c r="F332" s="960"/>
      <c r="G332" s="53">
        <f t="shared" si="55"/>
        <v>0</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0</v>
      </c>
      <c r="F333" s="960"/>
      <c r="G333" s="53">
        <f t="shared" si="55"/>
        <v>0</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0</v>
      </c>
      <c r="F334" s="960"/>
      <c r="G334" s="53">
        <f t="shared" si="55"/>
        <v>0</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0</v>
      </c>
      <c r="F335" s="960"/>
      <c r="G335" s="53">
        <f t="shared" si="55"/>
        <v>0</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0</v>
      </c>
      <c r="F336" s="960"/>
      <c r="G336" s="53">
        <f t="shared" si="55"/>
        <v>0</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0</v>
      </c>
      <c r="F337" s="960"/>
      <c r="G337" s="53">
        <f t="shared" si="55"/>
        <v>0</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0</v>
      </c>
      <c r="F338" s="960"/>
      <c r="G338" s="53">
        <f t="shared" si="55"/>
        <v>0</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0</v>
      </c>
      <c r="F339" s="960"/>
      <c r="G339" s="53">
        <f t="shared" si="55"/>
        <v>0</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0</v>
      </c>
      <c r="F340" s="960"/>
      <c r="G340" s="53">
        <f t="shared" si="55"/>
        <v>0</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0</v>
      </c>
      <c r="F341" s="960"/>
      <c r="G341" s="53">
        <f t="shared" si="55"/>
        <v>0</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0</v>
      </c>
      <c r="F342" s="960"/>
      <c r="G342" s="53">
        <f t="shared" si="55"/>
        <v>0</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0</v>
      </c>
      <c r="F343" s="960"/>
      <c r="G343" s="53">
        <f t="shared" si="55"/>
        <v>0</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0</v>
      </c>
      <c r="F344" s="960"/>
      <c r="G344" s="53">
        <f t="shared" si="55"/>
        <v>0</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0</v>
      </c>
      <c r="F345" s="960"/>
      <c r="G345" s="53">
        <f t="shared" si="55"/>
        <v>0</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0</v>
      </c>
      <c r="F346" s="960"/>
      <c r="G346" s="53">
        <f t="shared" ref="G346:G409" si="66">(SUMIF($7:$7,F346,$8:$8)-SUMIF($7:$7,$F$24,$8:$8)+100)/100</f>
        <v>0</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0</v>
      </c>
      <c r="F347" s="960"/>
      <c r="G347" s="53">
        <f t="shared" si="66"/>
        <v>0</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0</v>
      </c>
      <c r="F348" s="960"/>
      <c r="G348" s="53">
        <f t="shared" si="66"/>
        <v>0</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0</v>
      </c>
      <c r="F349" s="960"/>
      <c r="G349" s="53">
        <f t="shared" si="66"/>
        <v>0</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0</v>
      </c>
      <c r="F350" s="960"/>
      <c r="G350" s="53">
        <f t="shared" si="66"/>
        <v>0</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0</v>
      </c>
      <c r="F351" s="960"/>
      <c r="G351" s="53">
        <f t="shared" si="66"/>
        <v>0</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0</v>
      </c>
      <c r="F352" s="960"/>
      <c r="G352" s="53">
        <f t="shared" si="66"/>
        <v>0</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0</v>
      </c>
      <c r="F353" s="960"/>
      <c r="G353" s="53">
        <f t="shared" si="66"/>
        <v>0</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0</v>
      </c>
      <c r="F354" s="960"/>
      <c r="G354" s="53">
        <f t="shared" si="66"/>
        <v>0</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0</v>
      </c>
      <c r="F355" s="960"/>
      <c r="G355" s="53">
        <f t="shared" si="66"/>
        <v>0</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0</v>
      </c>
      <c r="F356" s="960"/>
      <c r="G356" s="53">
        <f t="shared" si="66"/>
        <v>0</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0</v>
      </c>
      <c r="F357" s="960"/>
      <c r="G357" s="53">
        <f t="shared" si="66"/>
        <v>0</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0</v>
      </c>
      <c r="F358" s="960"/>
      <c r="G358" s="53">
        <f t="shared" si="66"/>
        <v>0</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0</v>
      </c>
      <c r="F359" s="960"/>
      <c r="G359" s="53">
        <f t="shared" si="66"/>
        <v>0</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0</v>
      </c>
      <c r="F360" s="960"/>
      <c r="G360" s="53">
        <f t="shared" si="66"/>
        <v>0</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0</v>
      </c>
      <c r="F361" s="960"/>
      <c r="G361" s="53">
        <f t="shared" si="66"/>
        <v>0</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0</v>
      </c>
      <c r="F362" s="960"/>
      <c r="G362" s="53">
        <f t="shared" si="66"/>
        <v>0</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0</v>
      </c>
      <c r="F363" s="960"/>
      <c r="G363" s="53">
        <f t="shared" si="66"/>
        <v>0</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0</v>
      </c>
      <c r="F364" s="960"/>
      <c r="G364" s="53">
        <f t="shared" si="66"/>
        <v>0</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0</v>
      </c>
      <c r="F365" s="960"/>
      <c r="G365" s="53">
        <f t="shared" si="66"/>
        <v>0</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0</v>
      </c>
      <c r="F366" s="960"/>
      <c r="G366" s="53">
        <f t="shared" si="66"/>
        <v>0</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0</v>
      </c>
      <c r="F367" s="960"/>
      <c r="G367" s="53">
        <f t="shared" si="66"/>
        <v>0</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0</v>
      </c>
      <c r="F368" s="960"/>
      <c r="G368" s="53">
        <f t="shared" si="66"/>
        <v>0</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0</v>
      </c>
      <c r="F369" s="960"/>
      <c r="G369" s="53">
        <f t="shared" si="66"/>
        <v>0</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0</v>
      </c>
      <c r="F370" s="960"/>
      <c r="G370" s="53">
        <f t="shared" si="66"/>
        <v>0</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0</v>
      </c>
      <c r="F371" s="960"/>
      <c r="G371" s="53">
        <f t="shared" si="66"/>
        <v>0</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0</v>
      </c>
      <c r="F372" s="960"/>
      <c r="G372" s="53">
        <f t="shared" si="66"/>
        <v>0</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0</v>
      </c>
      <c r="F373" s="960"/>
      <c r="G373" s="53">
        <f t="shared" si="66"/>
        <v>0</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0</v>
      </c>
      <c r="F374" s="960"/>
      <c r="G374" s="53">
        <f t="shared" si="66"/>
        <v>0</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0</v>
      </c>
      <c r="F375" s="960"/>
      <c r="G375" s="53">
        <f t="shared" si="66"/>
        <v>0</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0</v>
      </c>
      <c r="F376" s="960"/>
      <c r="G376" s="53">
        <f t="shared" si="66"/>
        <v>0</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0</v>
      </c>
      <c r="F377" s="960"/>
      <c r="G377" s="53">
        <f t="shared" si="66"/>
        <v>0</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0</v>
      </c>
      <c r="F378" s="960"/>
      <c r="G378" s="53">
        <f t="shared" si="66"/>
        <v>0</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0</v>
      </c>
      <c r="F379" s="960"/>
      <c r="G379" s="53">
        <f t="shared" si="66"/>
        <v>0</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0</v>
      </c>
      <c r="F380" s="960"/>
      <c r="G380" s="53">
        <f t="shared" si="66"/>
        <v>0</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0</v>
      </c>
      <c r="F381" s="960"/>
      <c r="G381" s="53">
        <f t="shared" si="66"/>
        <v>0</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0</v>
      </c>
      <c r="F382" s="960"/>
      <c r="G382" s="53">
        <f t="shared" si="66"/>
        <v>0</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0</v>
      </c>
      <c r="F383" s="960"/>
      <c r="G383" s="53">
        <f t="shared" si="66"/>
        <v>0</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0</v>
      </c>
      <c r="F384" s="960"/>
      <c r="G384" s="53">
        <f t="shared" si="66"/>
        <v>0</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0</v>
      </c>
      <c r="F385" s="960"/>
      <c r="G385" s="53">
        <f t="shared" si="66"/>
        <v>0</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0</v>
      </c>
      <c r="F386" s="960"/>
      <c r="G386" s="53">
        <f t="shared" si="66"/>
        <v>0</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0</v>
      </c>
      <c r="F387" s="960"/>
      <c r="G387" s="53">
        <f t="shared" si="66"/>
        <v>0</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0</v>
      </c>
      <c r="F388" s="960"/>
      <c r="G388" s="53">
        <f t="shared" si="66"/>
        <v>0</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0</v>
      </c>
      <c r="F389" s="960"/>
      <c r="G389" s="53">
        <f t="shared" si="66"/>
        <v>0</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0</v>
      </c>
      <c r="F390" s="960"/>
      <c r="G390" s="53">
        <f t="shared" si="66"/>
        <v>0</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0</v>
      </c>
      <c r="F391" s="960"/>
      <c r="G391" s="53">
        <f t="shared" si="66"/>
        <v>0</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0</v>
      </c>
      <c r="F392" s="960"/>
      <c r="G392" s="53">
        <f t="shared" si="66"/>
        <v>0</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0</v>
      </c>
      <c r="F393" s="960"/>
      <c r="G393" s="53">
        <f t="shared" si="66"/>
        <v>0</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0</v>
      </c>
      <c r="F394" s="960"/>
      <c r="G394" s="53">
        <f t="shared" si="66"/>
        <v>0</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0</v>
      </c>
      <c r="F395" s="960"/>
      <c r="G395" s="53">
        <f t="shared" si="66"/>
        <v>0</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0</v>
      </c>
      <c r="F396" s="960"/>
      <c r="G396" s="53">
        <f t="shared" si="66"/>
        <v>0</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0</v>
      </c>
      <c r="F397" s="960"/>
      <c r="G397" s="53">
        <f t="shared" si="66"/>
        <v>0</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0</v>
      </c>
      <c r="F398" s="960"/>
      <c r="G398" s="53">
        <f t="shared" si="66"/>
        <v>0</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0</v>
      </c>
      <c r="F399" s="960"/>
      <c r="G399" s="53">
        <f t="shared" si="66"/>
        <v>0</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0</v>
      </c>
      <c r="F400" s="960"/>
      <c r="G400" s="53">
        <f t="shared" si="66"/>
        <v>0</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0</v>
      </c>
      <c r="F401" s="960"/>
      <c r="G401" s="53">
        <f t="shared" si="66"/>
        <v>0</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0</v>
      </c>
      <c r="F402" s="960"/>
      <c r="G402" s="53">
        <f t="shared" si="66"/>
        <v>0</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0</v>
      </c>
      <c r="F403" s="960"/>
      <c r="G403" s="53">
        <f t="shared" si="66"/>
        <v>0</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0</v>
      </c>
      <c r="F404" s="960"/>
      <c r="G404" s="53">
        <f t="shared" si="66"/>
        <v>0</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0</v>
      </c>
      <c r="F405" s="960"/>
      <c r="G405" s="53">
        <f t="shared" si="66"/>
        <v>0</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0</v>
      </c>
      <c r="F406" s="960"/>
      <c r="G406" s="53">
        <f t="shared" si="66"/>
        <v>0</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0</v>
      </c>
      <c r="F407" s="960"/>
      <c r="G407" s="53">
        <f t="shared" si="66"/>
        <v>0</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0</v>
      </c>
      <c r="F408" s="960"/>
      <c r="G408" s="53">
        <f t="shared" si="66"/>
        <v>0</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0</v>
      </c>
      <c r="F409" s="960"/>
      <c r="G409" s="53">
        <f t="shared" si="66"/>
        <v>0</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0</v>
      </c>
      <c r="F410" s="960"/>
      <c r="G410" s="53">
        <f t="shared" ref="G410:G473" si="76">(SUMIF($7:$7,F410,$8:$8)-SUMIF($7:$7,$F$24,$8:$8)+100)/100</f>
        <v>0</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0</v>
      </c>
      <c r="F411" s="960"/>
      <c r="G411" s="53">
        <f t="shared" si="76"/>
        <v>0</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0</v>
      </c>
      <c r="F412" s="960"/>
      <c r="G412" s="53">
        <f t="shared" si="76"/>
        <v>0</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0</v>
      </c>
      <c r="F413" s="960"/>
      <c r="G413" s="53">
        <f t="shared" si="76"/>
        <v>0</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0</v>
      </c>
      <c r="F414" s="960"/>
      <c r="G414" s="53">
        <f t="shared" si="76"/>
        <v>0</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0</v>
      </c>
      <c r="F415" s="960"/>
      <c r="G415" s="53">
        <f t="shared" si="76"/>
        <v>0</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0</v>
      </c>
      <c r="F416" s="960"/>
      <c r="G416" s="53">
        <f t="shared" si="76"/>
        <v>0</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0</v>
      </c>
      <c r="F417" s="960"/>
      <c r="G417" s="53">
        <f t="shared" si="76"/>
        <v>0</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0</v>
      </c>
      <c r="F418" s="960"/>
      <c r="G418" s="53">
        <f t="shared" si="76"/>
        <v>0</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0</v>
      </c>
      <c r="F419" s="960"/>
      <c r="G419" s="53">
        <f t="shared" si="76"/>
        <v>0</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0</v>
      </c>
      <c r="F420" s="960"/>
      <c r="G420" s="53">
        <f t="shared" si="76"/>
        <v>0</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0</v>
      </c>
      <c r="F421" s="960"/>
      <c r="G421" s="53">
        <f t="shared" si="76"/>
        <v>0</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0</v>
      </c>
      <c r="F422" s="960"/>
      <c r="G422" s="53">
        <f t="shared" si="76"/>
        <v>0</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0</v>
      </c>
      <c r="F423" s="960"/>
      <c r="G423" s="53">
        <f t="shared" si="76"/>
        <v>0</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0</v>
      </c>
      <c r="F424" s="960"/>
      <c r="G424" s="53">
        <f t="shared" si="76"/>
        <v>0</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0</v>
      </c>
      <c r="F425" s="960"/>
      <c r="G425" s="53">
        <f t="shared" si="76"/>
        <v>0</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0</v>
      </c>
      <c r="F426" s="960"/>
      <c r="G426" s="53">
        <f t="shared" si="76"/>
        <v>0</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0</v>
      </c>
      <c r="F427" s="960"/>
      <c r="G427" s="53">
        <f t="shared" si="76"/>
        <v>0</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0</v>
      </c>
      <c r="F428" s="960"/>
      <c r="G428" s="53">
        <f t="shared" si="76"/>
        <v>0</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0</v>
      </c>
      <c r="F429" s="960"/>
      <c r="G429" s="53">
        <f t="shared" si="76"/>
        <v>0</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0</v>
      </c>
      <c r="F430" s="960"/>
      <c r="G430" s="53">
        <f t="shared" si="76"/>
        <v>0</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0</v>
      </c>
      <c r="F431" s="960"/>
      <c r="G431" s="53">
        <f t="shared" si="76"/>
        <v>0</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0</v>
      </c>
      <c r="F432" s="960"/>
      <c r="G432" s="53">
        <f t="shared" si="76"/>
        <v>0</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0</v>
      </c>
      <c r="F433" s="960"/>
      <c r="G433" s="53">
        <f t="shared" si="76"/>
        <v>0</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0</v>
      </c>
      <c r="F434" s="960"/>
      <c r="G434" s="53">
        <f t="shared" si="76"/>
        <v>0</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0</v>
      </c>
      <c r="F435" s="960"/>
      <c r="G435" s="53">
        <f t="shared" si="76"/>
        <v>0</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0</v>
      </c>
      <c r="F436" s="960"/>
      <c r="G436" s="53">
        <f t="shared" si="76"/>
        <v>0</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0</v>
      </c>
      <c r="F437" s="960"/>
      <c r="G437" s="53">
        <f t="shared" si="76"/>
        <v>0</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0</v>
      </c>
      <c r="F438" s="960"/>
      <c r="G438" s="53">
        <f t="shared" si="76"/>
        <v>0</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0</v>
      </c>
      <c r="F439" s="960"/>
      <c r="G439" s="53">
        <f t="shared" si="76"/>
        <v>0</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0</v>
      </c>
      <c r="F440" s="960"/>
      <c r="G440" s="53">
        <f t="shared" si="76"/>
        <v>0</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0</v>
      </c>
      <c r="F441" s="960"/>
      <c r="G441" s="53">
        <f t="shared" si="76"/>
        <v>0</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0</v>
      </c>
      <c r="F442" s="960"/>
      <c r="G442" s="53">
        <f t="shared" si="76"/>
        <v>0</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0</v>
      </c>
      <c r="F443" s="960"/>
      <c r="G443" s="53">
        <f t="shared" si="76"/>
        <v>0</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0</v>
      </c>
      <c r="F444" s="960"/>
      <c r="G444" s="53">
        <f t="shared" si="76"/>
        <v>0</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0</v>
      </c>
      <c r="F445" s="960"/>
      <c r="G445" s="53">
        <f t="shared" si="76"/>
        <v>0</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0</v>
      </c>
      <c r="F446" s="960"/>
      <c r="G446" s="53">
        <f t="shared" si="76"/>
        <v>0</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0</v>
      </c>
      <c r="F447" s="960"/>
      <c r="G447" s="53">
        <f t="shared" si="76"/>
        <v>0</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0</v>
      </c>
      <c r="F448" s="960"/>
      <c r="G448" s="53">
        <f t="shared" si="76"/>
        <v>0</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0</v>
      </c>
      <c r="F449" s="960"/>
      <c r="G449" s="53">
        <f t="shared" si="76"/>
        <v>0</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0</v>
      </c>
      <c r="F450" s="960"/>
      <c r="G450" s="53">
        <f t="shared" si="76"/>
        <v>0</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0</v>
      </c>
      <c r="F451" s="960"/>
      <c r="G451" s="53">
        <f t="shared" si="76"/>
        <v>0</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0</v>
      </c>
      <c r="F452" s="960"/>
      <c r="G452" s="53">
        <f t="shared" si="76"/>
        <v>0</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0</v>
      </c>
      <c r="F453" s="960"/>
      <c r="G453" s="53">
        <f t="shared" si="76"/>
        <v>0</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0</v>
      </c>
      <c r="F454" s="960"/>
      <c r="G454" s="53">
        <f t="shared" si="76"/>
        <v>0</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0</v>
      </c>
      <c r="F455" s="960"/>
      <c r="G455" s="53">
        <f t="shared" si="76"/>
        <v>0</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0</v>
      </c>
      <c r="F456" s="960"/>
      <c r="G456" s="53">
        <f t="shared" si="76"/>
        <v>0</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0</v>
      </c>
      <c r="F457" s="960"/>
      <c r="G457" s="53">
        <f t="shared" si="76"/>
        <v>0</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0</v>
      </c>
      <c r="F458" s="960"/>
      <c r="G458" s="53">
        <f t="shared" si="76"/>
        <v>0</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0</v>
      </c>
      <c r="F459" s="960"/>
      <c r="G459" s="53">
        <f t="shared" si="76"/>
        <v>0</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0</v>
      </c>
      <c r="F460" s="960"/>
      <c r="G460" s="53">
        <f t="shared" si="76"/>
        <v>0</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0</v>
      </c>
      <c r="F461" s="960"/>
      <c r="G461" s="53">
        <f t="shared" si="76"/>
        <v>0</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0</v>
      </c>
      <c r="F462" s="960"/>
      <c r="G462" s="53">
        <f t="shared" si="76"/>
        <v>0</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0</v>
      </c>
      <c r="F463" s="960"/>
      <c r="G463" s="53">
        <f t="shared" si="76"/>
        <v>0</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0</v>
      </c>
      <c r="F464" s="960"/>
      <c r="G464" s="53">
        <f t="shared" si="76"/>
        <v>0</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0</v>
      </c>
      <c r="F465" s="960"/>
      <c r="G465" s="53">
        <f t="shared" si="76"/>
        <v>0</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0</v>
      </c>
      <c r="F466" s="960"/>
      <c r="G466" s="53">
        <f t="shared" si="76"/>
        <v>0</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0</v>
      </c>
      <c r="F467" s="960"/>
      <c r="G467" s="53">
        <f t="shared" si="76"/>
        <v>0</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0</v>
      </c>
      <c r="F468" s="960"/>
      <c r="G468" s="53">
        <f t="shared" si="76"/>
        <v>0</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0</v>
      </c>
      <c r="F469" s="960"/>
      <c r="G469" s="53">
        <f t="shared" si="76"/>
        <v>0</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0</v>
      </c>
      <c r="F470" s="960"/>
      <c r="G470" s="53">
        <f t="shared" si="76"/>
        <v>0</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0</v>
      </c>
      <c r="F471" s="960"/>
      <c r="G471" s="53">
        <f t="shared" si="76"/>
        <v>0</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0</v>
      </c>
      <c r="F472" s="960"/>
      <c r="G472" s="53">
        <f t="shared" si="76"/>
        <v>0</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0</v>
      </c>
      <c r="F473" s="960"/>
      <c r="G473" s="53">
        <f t="shared" si="76"/>
        <v>0</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0</v>
      </c>
      <c r="F474" s="960"/>
      <c r="G474" s="53">
        <f t="shared" ref="G474:G524" si="87">(SUMIF($7:$7,F474,$8:$8)-SUMIF($7:$7,$F$24,$8:$8)+100)/100</f>
        <v>0</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0</v>
      </c>
      <c r="F475" s="960"/>
      <c r="G475" s="53">
        <f t="shared" si="87"/>
        <v>0</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0</v>
      </c>
      <c r="F476" s="960"/>
      <c r="G476" s="53">
        <f t="shared" si="87"/>
        <v>0</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0</v>
      </c>
      <c r="F477" s="960"/>
      <c r="G477" s="53">
        <f t="shared" si="87"/>
        <v>0</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0</v>
      </c>
      <c r="F478" s="960"/>
      <c r="G478" s="53">
        <f t="shared" si="87"/>
        <v>0</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0</v>
      </c>
      <c r="F479" s="960"/>
      <c r="G479" s="53">
        <f t="shared" si="87"/>
        <v>0</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0</v>
      </c>
      <c r="F480" s="960"/>
      <c r="G480" s="53">
        <f t="shared" si="87"/>
        <v>0</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0</v>
      </c>
      <c r="F481" s="960"/>
      <c r="G481" s="53">
        <f t="shared" si="87"/>
        <v>0</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0</v>
      </c>
      <c r="F482" s="960"/>
      <c r="G482" s="53">
        <f t="shared" si="87"/>
        <v>0</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0</v>
      </c>
      <c r="F483" s="960"/>
      <c r="G483" s="53">
        <f t="shared" si="87"/>
        <v>0</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0</v>
      </c>
      <c r="F484" s="960"/>
      <c r="G484" s="53">
        <f t="shared" si="87"/>
        <v>0</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0</v>
      </c>
      <c r="F485" s="960"/>
      <c r="G485" s="53">
        <f t="shared" si="87"/>
        <v>0</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0</v>
      </c>
      <c r="F486" s="960"/>
      <c r="G486" s="53">
        <f t="shared" si="87"/>
        <v>0</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0</v>
      </c>
      <c r="F487" s="960"/>
      <c r="G487" s="53">
        <f t="shared" si="87"/>
        <v>0</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0</v>
      </c>
      <c r="F488" s="960"/>
      <c r="G488" s="53">
        <f t="shared" si="87"/>
        <v>0</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0</v>
      </c>
      <c r="F489" s="960"/>
      <c r="G489" s="53">
        <f t="shared" si="87"/>
        <v>0</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0</v>
      </c>
      <c r="F490" s="960"/>
      <c r="G490" s="53">
        <f t="shared" si="87"/>
        <v>0</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0</v>
      </c>
      <c r="F491" s="960"/>
      <c r="G491" s="53">
        <f t="shared" si="87"/>
        <v>0</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0</v>
      </c>
      <c r="F492" s="960"/>
      <c r="G492" s="53">
        <f t="shared" si="87"/>
        <v>0</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0</v>
      </c>
      <c r="F493" s="960"/>
      <c r="G493" s="53">
        <f t="shared" si="87"/>
        <v>0</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0</v>
      </c>
      <c r="F494" s="960"/>
      <c r="G494" s="53">
        <f t="shared" si="87"/>
        <v>0</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0</v>
      </c>
      <c r="F495" s="960"/>
      <c r="G495" s="53">
        <f t="shared" si="87"/>
        <v>0</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0</v>
      </c>
      <c r="F496" s="960"/>
      <c r="G496" s="53">
        <f t="shared" si="87"/>
        <v>0</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0</v>
      </c>
      <c r="F497" s="960"/>
      <c r="G497" s="53">
        <f t="shared" si="87"/>
        <v>0</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0</v>
      </c>
      <c r="F498" s="960"/>
      <c r="G498" s="53">
        <f t="shared" si="87"/>
        <v>0</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0</v>
      </c>
      <c r="F499" s="960"/>
      <c r="G499" s="53">
        <f t="shared" si="87"/>
        <v>0</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0</v>
      </c>
      <c r="F500" s="960"/>
      <c r="G500" s="53">
        <f t="shared" si="87"/>
        <v>0</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0</v>
      </c>
      <c r="F501" s="960"/>
      <c r="G501" s="53">
        <f t="shared" si="87"/>
        <v>0</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0</v>
      </c>
      <c r="F502" s="960"/>
      <c r="G502" s="53">
        <f t="shared" si="87"/>
        <v>0</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0</v>
      </c>
      <c r="F503" s="960"/>
      <c r="G503" s="53">
        <f t="shared" si="87"/>
        <v>0</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0</v>
      </c>
      <c r="F504" s="960"/>
      <c r="G504" s="53">
        <f t="shared" si="87"/>
        <v>0</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0</v>
      </c>
      <c r="F505" s="960"/>
      <c r="G505" s="53">
        <f t="shared" si="87"/>
        <v>0</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0</v>
      </c>
      <c r="F506" s="960"/>
      <c r="G506" s="53">
        <f t="shared" si="87"/>
        <v>0</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0</v>
      </c>
      <c r="F507" s="960"/>
      <c r="G507" s="53">
        <f t="shared" si="87"/>
        <v>0</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0</v>
      </c>
      <c r="F508" s="960"/>
      <c r="G508" s="53">
        <f t="shared" si="87"/>
        <v>0</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0</v>
      </c>
      <c r="F509" s="960"/>
      <c r="G509" s="53">
        <f t="shared" si="87"/>
        <v>0</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0</v>
      </c>
      <c r="F510" s="960"/>
      <c r="G510" s="53">
        <f t="shared" si="87"/>
        <v>0</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0</v>
      </c>
      <c r="F511" s="960"/>
      <c r="G511" s="53">
        <f t="shared" si="87"/>
        <v>0</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0</v>
      </c>
      <c r="F512" s="960"/>
      <c r="G512" s="53">
        <f t="shared" si="87"/>
        <v>0</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0</v>
      </c>
      <c r="F513" s="960"/>
      <c r="G513" s="53">
        <f t="shared" si="87"/>
        <v>0</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0</v>
      </c>
      <c r="F514" s="960"/>
      <c r="G514" s="53">
        <f t="shared" si="87"/>
        <v>0</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0</v>
      </c>
      <c r="F515" s="960"/>
      <c r="G515" s="53">
        <f t="shared" si="87"/>
        <v>0</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0</v>
      </c>
      <c r="F516" s="960"/>
      <c r="G516" s="53">
        <f t="shared" si="87"/>
        <v>0</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0</v>
      </c>
      <c r="F517" s="960"/>
      <c r="G517" s="53">
        <f t="shared" si="87"/>
        <v>0</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0</v>
      </c>
      <c r="F518" s="960"/>
      <c r="G518" s="53">
        <f t="shared" si="87"/>
        <v>0</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0</v>
      </c>
      <c r="F519" s="960"/>
      <c r="G519" s="53">
        <f t="shared" si="87"/>
        <v>0</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0</v>
      </c>
      <c r="F520" s="960"/>
      <c r="G520" s="53">
        <f t="shared" si="87"/>
        <v>0</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0</v>
      </c>
      <c r="F521" s="960"/>
      <c r="G521" s="53">
        <f t="shared" si="87"/>
        <v>0</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0</v>
      </c>
      <c r="F522" s="960"/>
      <c r="G522" s="53">
        <f t="shared" si="87"/>
        <v>0</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0</v>
      </c>
      <c r="F523" s="960"/>
      <c r="G523" s="53">
        <f t="shared" si="87"/>
        <v>0</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0</v>
      </c>
      <c r="F524" s="960"/>
      <c r="G524" s="53">
        <f t="shared" si="87"/>
        <v>0</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2787</v>
      </c>
      <c r="C1" s="2956">
        <f>项目基本情况!D3</f>
        <v>43691</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2818</v>
      </c>
      <c r="C2" s="2957">
        <f>'数据-取费表'!B22</f>
        <v>3</v>
      </c>
      <c r="D2" s="2952" t="s">
        <v>2788</v>
      </c>
      <c r="E2" s="2955">
        <f ca="1">INDIRECT("I"&amp;$I$1)/100</f>
        <v>4.7500000000000001E-2</v>
      </c>
      <c r="G2" s="2892"/>
      <c r="H2" s="2892"/>
      <c r="I2" s="2892" t="s">
        <v>2789</v>
      </c>
      <c r="K2" s="2892"/>
      <c r="L2" s="2892"/>
      <c r="M2" s="2892"/>
      <c r="N2" s="2892" t="s">
        <v>2790</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2820</v>
      </c>
      <c r="C3" s="2954">
        <f>'数据-取费表'!B19</f>
        <v>0</v>
      </c>
      <c r="D3" s="2952" t="s">
        <v>2788</v>
      </c>
      <c r="E3" s="2955">
        <f ca="1">INDIRECT("J"&amp;$J$1)/100</f>
        <v>0</v>
      </c>
      <c r="G3" s="2894" t="s">
        <v>2791</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2819</v>
      </c>
      <c r="C4" s="2955">
        <f ca="1">N4/100</f>
        <v>1.4999999999999999E-2</v>
      </c>
      <c r="G4" s="2900" t="s">
        <v>2792</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2793</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2794</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2795</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2796</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2797</v>
      </c>
      <c r="C10" s="2919"/>
      <c r="D10" s="2919"/>
      <c r="E10" s="2919"/>
      <c r="F10" s="2919"/>
      <c r="G10" s="2919"/>
      <c r="H10" s="2919"/>
      <c r="I10" s="2893"/>
      <c r="J10" s="2893"/>
      <c r="K10" s="2919"/>
      <c r="L10" s="2920" t="s">
        <v>2798</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2799</v>
      </c>
      <c r="C11" s="2924" t="s">
        <v>2800</v>
      </c>
      <c r="D11" s="2925" t="s">
        <v>2801</v>
      </c>
      <c r="E11" s="2926"/>
      <c r="F11" s="2925" t="s">
        <v>2802</v>
      </c>
      <c r="G11" s="2927"/>
      <c r="H11" s="2926"/>
      <c r="I11" s="2925" t="s">
        <v>2803</v>
      </c>
      <c r="J11" s="2926"/>
      <c r="K11" s="2922"/>
      <c r="L11" s="2923" t="s">
        <v>2799</v>
      </c>
      <c r="M11" s="2924" t="s">
        <v>2800</v>
      </c>
      <c r="N11" s="2923" t="s">
        <v>2804</v>
      </c>
      <c r="O11" s="2925" t="s">
        <v>2805</v>
      </c>
      <c r="P11" s="2927"/>
      <c r="Q11" s="2927"/>
      <c r="R11" s="2927"/>
      <c r="S11" s="2927"/>
      <c r="T11" s="2926"/>
      <c r="U11" s="2925" t="s">
        <v>2806</v>
      </c>
      <c r="V11" s="2927"/>
      <c r="W11" s="2926"/>
      <c r="X11" s="2923" t="s">
        <v>2807</v>
      </c>
      <c r="Y11" s="2923" t="s">
        <v>2808</v>
      </c>
      <c r="Z11" s="2923" t="s">
        <v>2809</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2810</v>
      </c>
      <c r="E12" s="2932" t="s">
        <v>2811</v>
      </c>
      <c r="F12" s="2932" t="s">
        <v>2812</v>
      </c>
      <c r="G12" s="2932" t="s">
        <v>2813</v>
      </c>
      <c r="H12" s="2932" t="s">
        <v>2795</v>
      </c>
      <c r="I12" s="2933" t="s">
        <v>2814</v>
      </c>
      <c r="J12" s="2933" t="s">
        <v>2814</v>
      </c>
      <c r="K12" s="2929"/>
      <c r="L12" s="2930"/>
      <c r="M12" s="2931"/>
      <c r="N12" s="2930"/>
      <c r="O12" s="2933" t="s">
        <v>2815</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2816</v>
      </c>
      <c r="C13" s="2937">
        <v>42301</v>
      </c>
      <c r="D13" s="2938">
        <v>4.3499999999999996</v>
      </c>
      <c r="E13" s="2938">
        <v>4.3499999999999996</v>
      </c>
      <c r="F13" s="2938">
        <v>4.75</v>
      </c>
      <c r="G13" s="2938">
        <v>4.75</v>
      </c>
      <c r="H13" s="2938">
        <v>4.9000000000000004</v>
      </c>
      <c r="I13" s="2938">
        <v>2.75</v>
      </c>
      <c r="J13" s="2938">
        <v>3.25</v>
      </c>
      <c r="K13" s="2935"/>
      <c r="L13" s="2936" t="s">
        <v>2816</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2817</v>
      </c>
      <c r="Y42" s="2942" t="s">
        <v>2817</v>
      </c>
      <c r="Z42" s="2942" t="s">
        <v>2817</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2817</v>
      </c>
      <c r="Y43" s="2942" t="s">
        <v>2817</v>
      </c>
      <c r="Z43" s="2942" t="s">
        <v>2817</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2817</v>
      </c>
      <c r="Y44" s="2942" t="s">
        <v>2817</v>
      </c>
      <c r="Z44" s="2942" t="s">
        <v>2817</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2817</v>
      </c>
      <c r="Y45" s="2942" t="s">
        <v>2817</v>
      </c>
      <c r="Z45" s="2942" t="s">
        <v>2817</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2817</v>
      </c>
      <c r="Y46" s="2942" t="s">
        <v>2817</v>
      </c>
      <c r="Z46" s="2942" t="s">
        <v>2817</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2817</v>
      </c>
      <c r="Y47" s="2942" t="s">
        <v>2817</v>
      </c>
      <c r="Z47" s="2942" t="s">
        <v>2817</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2817</v>
      </c>
      <c r="Y48" s="2942" t="s">
        <v>2817</v>
      </c>
      <c r="Z48" s="2942" t="s">
        <v>2817</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2817</v>
      </c>
      <c r="Y49" s="2942" t="s">
        <v>2817</v>
      </c>
      <c r="Z49" s="2942" t="s">
        <v>2817</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2817</v>
      </c>
      <c r="Y50" s="2942" t="s">
        <v>2817</v>
      </c>
      <c r="Z50" s="2942" t="s">
        <v>2817</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2817</v>
      </c>
      <c r="V51" s="2942" t="s">
        <v>2817</v>
      </c>
      <c r="W51" s="2942" t="s">
        <v>2817</v>
      </c>
      <c r="X51" s="2942" t="s">
        <v>2817</v>
      </c>
      <c r="Y51" s="2942" t="s">
        <v>2817</v>
      </c>
      <c r="Z51" s="2942" t="s">
        <v>2817</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2817</v>
      </c>
      <c r="J55" s="2942" t="s">
        <v>2817</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topLeftCell="A7" workbookViewId="0">
      <selection activeCell="G24" sqref="G24"/>
    </sheetView>
  </sheetViews>
  <sheetFormatPr defaultRowHeight="13.5"/>
  <cols>
    <col min="1" max="1" width="29.375" customWidth="1"/>
    <col min="2" max="2" width="16.375" customWidth="1"/>
    <col min="5" max="5" width="14.75" customWidth="1"/>
    <col min="6" max="6" width="15.375" customWidth="1"/>
    <col min="7" max="7" width="36.25" customWidth="1"/>
    <col min="13" max="13" width="8.875" style="3258"/>
  </cols>
  <sheetData>
    <row r="1" spans="1:13">
      <c r="A1" s="3184" t="s">
        <v>3023</v>
      </c>
      <c r="B1" s="3184" t="s">
        <v>3024</v>
      </c>
      <c r="C1" s="3184" t="s">
        <v>3025</v>
      </c>
      <c r="D1" s="3184" t="s">
        <v>3026</v>
      </c>
      <c r="E1" s="3185" t="s">
        <v>2031</v>
      </c>
      <c r="F1" s="3184" t="s">
        <v>3027</v>
      </c>
      <c r="G1" s="3184" t="s">
        <v>3028</v>
      </c>
      <c r="H1" s="3184" t="s">
        <v>3029</v>
      </c>
      <c r="I1" s="3184" t="s">
        <v>3030</v>
      </c>
      <c r="J1" s="3184" t="s">
        <v>3031</v>
      </c>
      <c r="K1" s="3184" t="s">
        <v>3032</v>
      </c>
      <c r="L1" s="3186" t="s">
        <v>3033</v>
      </c>
    </row>
    <row r="2" spans="1:13">
      <c r="A2" s="3184" t="s">
        <v>3034</v>
      </c>
      <c r="B2" s="3184" t="s">
        <v>3035</v>
      </c>
      <c r="C2" s="3184">
        <v>55535</v>
      </c>
      <c r="D2" s="3184">
        <v>166605</v>
      </c>
      <c r="E2" s="3185" t="s">
        <v>3036</v>
      </c>
      <c r="F2" s="3184" t="s">
        <v>3037</v>
      </c>
      <c r="G2" s="3184" t="s">
        <v>3038</v>
      </c>
      <c r="H2" s="3184">
        <v>7080.71</v>
      </c>
      <c r="I2" s="3184">
        <v>7080.71</v>
      </c>
      <c r="J2" s="3184">
        <v>425</v>
      </c>
      <c r="K2" s="3184">
        <v>0</v>
      </c>
      <c r="L2" s="3189">
        <v>1274.9977179370151</v>
      </c>
      <c r="M2" s="3258">
        <f>L2*666.67/10000</f>
        <v>85.000272861706975</v>
      </c>
    </row>
    <row r="3" spans="1:13">
      <c r="A3" s="3187" t="s">
        <v>3039</v>
      </c>
      <c r="B3" s="3187" t="s">
        <v>3035</v>
      </c>
      <c r="C3" s="3187">
        <v>32865</v>
      </c>
      <c r="D3" s="3187">
        <v>65730</v>
      </c>
      <c r="E3" s="3188" t="s">
        <v>3040</v>
      </c>
      <c r="F3" s="3187" t="s">
        <v>3037</v>
      </c>
      <c r="G3" s="3187" t="s">
        <v>3038</v>
      </c>
      <c r="H3" s="3187">
        <v>4190.28</v>
      </c>
      <c r="I3" s="3187">
        <v>4190.28</v>
      </c>
      <c r="J3" s="3187">
        <v>637.5</v>
      </c>
      <c r="K3" s="3187">
        <v>0</v>
      </c>
      <c r="L3" s="3189">
        <v>1274.9977179370151</v>
      </c>
      <c r="M3" s="3258">
        <f t="shared" ref="M3:M20" si="0">L3*666.67/10000</f>
        <v>85.000272861706975</v>
      </c>
    </row>
    <row r="4" spans="1:13">
      <c r="A4" s="3184" t="s">
        <v>3041</v>
      </c>
      <c r="B4" s="3184" t="s">
        <v>3035</v>
      </c>
      <c r="C4" s="3184">
        <v>26899</v>
      </c>
      <c r="D4" s="3184">
        <v>53798</v>
      </c>
      <c r="E4" s="3185" t="s">
        <v>3040</v>
      </c>
      <c r="F4" s="3184" t="s">
        <v>3037</v>
      </c>
      <c r="G4" s="3184" t="s">
        <v>3038</v>
      </c>
      <c r="H4" s="3184">
        <v>3429.61</v>
      </c>
      <c r="I4" s="3184">
        <v>3429.61</v>
      </c>
      <c r="J4" s="3184">
        <v>637.5</v>
      </c>
      <c r="K4" s="3184">
        <v>0</v>
      </c>
      <c r="L4" s="3190">
        <v>1274.9953529871</v>
      </c>
      <c r="M4" s="3258">
        <f t="shared" si="0"/>
        <v>85.000115197591001</v>
      </c>
    </row>
    <row r="5" spans="1:13">
      <c r="A5" s="3184" t="s">
        <v>3042</v>
      </c>
      <c r="B5" s="3184" t="s">
        <v>3035</v>
      </c>
      <c r="C5" s="3184">
        <v>70893</v>
      </c>
      <c r="D5" s="3184">
        <v>212679</v>
      </c>
      <c r="E5" s="3185" t="s">
        <v>3043</v>
      </c>
      <c r="F5" s="3184" t="s">
        <v>3044</v>
      </c>
      <c r="G5" s="3184" t="s">
        <v>3045</v>
      </c>
      <c r="H5" s="3184">
        <v>10633.95</v>
      </c>
      <c r="I5" s="3184">
        <v>32539.88</v>
      </c>
      <c r="J5" s="3184">
        <v>1530</v>
      </c>
      <c r="K5" s="3184">
        <v>206</v>
      </c>
      <c r="L5" s="3190">
        <v>4589.9990125964478</v>
      </c>
      <c r="M5" s="3258">
        <f t="shared" si="0"/>
        <v>306.00146417276738</v>
      </c>
    </row>
    <row r="6" spans="1:13">
      <c r="A6" s="3191" t="s">
        <v>3042</v>
      </c>
      <c r="B6" s="3191" t="s">
        <v>3035</v>
      </c>
      <c r="C6" s="3191">
        <v>81424</v>
      </c>
      <c r="D6" s="3191">
        <v>244272</v>
      </c>
      <c r="E6" s="3192" t="s">
        <v>3043</v>
      </c>
      <c r="F6" s="3191" t="s">
        <v>3044</v>
      </c>
      <c r="G6" s="3191" t="s">
        <v>3045</v>
      </c>
      <c r="H6" s="3191">
        <v>12213.6</v>
      </c>
      <c r="I6" s="3191">
        <v>37495.75</v>
      </c>
      <c r="J6" s="3191">
        <v>1535</v>
      </c>
      <c r="K6" s="3191">
        <v>207</v>
      </c>
      <c r="L6" s="3193">
        <v>4604.9997543721756</v>
      </c>
      <c r="M6" s="3258">
        <f t="shared" si="0"/>
        <v>307.00151862472978</v>
      </c>
    </row>
    <row r="7" spans="1:13">
      <c r="A7" s="3194" t="s">
        <v>3046</v>
      </c>
      <c r="B7" s="3195" t="s">
        <v>3035</v>
      </c>
      <c r="C7" s="3195">
        <v>107559</v>
      </c>
      <c r="D7" s="3195">
        <v>322677</v>
      </c>
      <c r="E7" s="3196" t="s">
        <v>3043</v>
      </c>
      <c r="F7" s="3195" t="s">
        <v>3047</v>
      </c>
      <c r="G7" s="3195" t="s">
        <v>3048</v>
      </c>
      <c r="H7" s="3195">
        <v>16133.85</v>
      </c>
      <c r="I7" s="3195">
        <v>29174.84</v>
      </c>
      <c r="J7" s="3195">
        <v>904.14</v>
      </c>
      <c r="K7" s="3195">
        <v>80.83</v>
      </c>
      <c r="L7" s="3197">
        <v>2712.4499112115213</v>
      </c>
      <c r="M7" s="3258">
        <f t="shared" si="0"/>
        <v>180.83089823073848</v>
      </c>
    </row>
    <row r="8" spans="1:13">
      <c r="A8" s="3194" t="s">
        <v>3046</v>
      </c>
      <c r="B8" s="3195" t="s">
        <v>3035</v>
      </c>
      <c r="C8" s="3195">
        <v>80853</v>
      </c>
      <c r="D8" s="3195">
        <v>242559</v>
      </c>
      <c r="E8" s="3196" t="s">
        <v>3043</v>
      </c>
      <c r="F8" s="3195" t="s">
        <v>3049</v>
      </c>
      <c r="G8" s="3195" t="s">
        <v>3050</v>
      </c>
      <c r="H8" s="3195">
        <v>12127.95</v>
      </c>
      <c r="I8" s="3195">
        <v>18540.95</v>
      </c>
      <c r="J8" s="3195">
        <v>764.38</v>
      </c>
      <c r="K8" s="3195">
        <v>52.88</v>
      </c>
      <c r="L8" s="3197">
        <v>2293.1678478225917</v>
      </c>
      <c r="M8" s="3258">
        <f t="shared" si="0"/>
        <v>152.87862091078873</v>
      </c>
    </row>
    <row r="9" spans="1:13">
      <c r="A9" s="3195" t="s">
        <v>3046</v>
      </c>
      <c r="B9" s="3195" t="s">
        <v>3035</v>
      </c>
      <c r="C9" s="3195">
        <v>65335</v>
      </c>
      <c r="D9" s="3195">
        <v>196005</v>
      </c>
      <c r="E9" s="3196" t="s">
        <v>3043</v>
      </c>
      <c r="F9" s="3195" t="s">
        <v>3049</v>
      </c>
      <c r="G9" s="3195" t="s">
        <v>3050</v>
      </c>
      <c r="H9" s="3195">
        <v>9800.25</v>
      </c>
      <c r="I9" s="3195">
        <v>15092.25</v>
      </c>
      <c r="J9" s="3195">
        <v>769.99</v>
      </c>
      <c r="K9" s="3195">
        <v>54</v>
      </c>
      <c r="L9" s="3197">
        <v>2309.9793372618046</v>
      </c>
      <c r="M9" s="3258">
        <f t="shared" si="0"/>
        <v>153.99939247723273</v>
      </c>
    </row>
    <row r="10" spans="1:13">
      <c r="A10" s="3191" t="s">
        <v>3046</v>
      </c>
      <c r="B10" s="3191" t="s">
        <v>3035</v>
      </c>
      <c r="C10" s="3191">
        <v>79489</v>
      </c>
      <c r="D10" s="3191">
        <v>238467</v>
      </c>
      <c r="E10" s="3192" t="s">
        <v>3043</v>
      </c>
      <c r="F10" s="3191" t="s">
        <v>3051</v>
      </c>
      <c r="G10" s="3191" t="s">
        <v>3048</v>
      </c>
      <c r="H10" s="3191">
        <v>7154.01</v>
      </c>
      <c r="I10" s="3191">
        <v>34574.01</v>
      </c>
      <c r="J10" s="3191">
        <v>1449.83</v>
      </c>
      <c r="K10" s="3191">
        <v>383.28</v>
      </c>
      <c r="L10" s="3193">
        <v>4349.5338977720185</v>
      </c>
      <c r="M10" s="3258">
        <f t="shared" si="0"/>
        <v>289.97037636276713</v>
      </c>
    </row>
    <row r="11" spans="1:13">
      <c r="A11" s="3184" t="s">
        <v>3046</v>
      </c>
      <c r="B11" s="3184" t="s">
        <v>3035</v>
      </c>
      <c r="C11" s="3184">
        <v>69980</v>
      </c>
      <c r="D11" s="3184">
        <v>209940</v>
      </c>
      <c r="E11" s="3185" t="s">
        <v>3043</v>
      </c>
      <c r="F11" s="3184" t="s">
        <v>3051</v>
      </c>
      <c r="G11" s="3184" t="s">
        <v>3050</v>
      </c>
      <c r="H11" s="3184">
        <v>6298.19</v>
      </c>
      <c r="I11" s="3184">
        <v>30270.2</v>
      </c>
      <c r="J11" s="3184">
        <v>1441.84</v>
      </c>
      <c r="K11" s="3184">
        <v>380.62</v>
      </c>
      <c r="L11" s="3190">
        <v>4325.5501571877676</v>
      </c>
      <c r="M11" s="3258">
        <f t="shared" si="0"/>
        <v>288.37145232923689</v>
      </c>
    </row>
    <row r="12" spans="1:13">
      <c r="A12" s="3184" t="s">
        <v>3046</v>
      </c>
      <c r="B12" s="3184" t="s">
        <v>3035</v>
      </c>
      <c r="C12" s="3184">
        <v>54446</v>
      </c>
      <c r="D12" s="3184">
        <v>163338</v>
      </c>
      <c r="E12" s="3185" t="s">
        <v>3043</v>
      </c>
      <c r="F12" s="3184" t="s">
        <v>3051</v>
      </c>
      <c r="G12" s="3184" t="s">
        <v>3050</v>
      </c>
      <c r="H12" s="3184">
        <v>4900.1400000000003</v>
      </c>
      <c r="I12" s="3184">
        <v>23760.13</v>
      </c>
      <c r="J12" s="3184">
        <v>1454.66</v>
      </c>
      <c r="K12" s="3184">
        <v>384.89</v>
      </c>
      <c r="L12" s="3190">
        <v>4363.9808250376518</v>
      </c>
      <c r="M12" s="3258">
        <f t="shared" si="0"/>
        <v>290.93350966278513</v>
      </c>
    </row>
    <row r="13" spans="1:13">
      <c r="A13" s="3191" t="s">
        <v>3052</v>
      </c>
      <c r="B13" s="3191" t="s">
        <v>3035</v>
      </c>
      <c r="C13" s="3191">
        <v>91900</v>
      </c>
      <c r="D13" s="3191">
        <v>275700</v>
      </c>
      <c r="E13" s="3192" t="s">
        <v>3043</v>
      </c>
      <c r="F13" s="3191" t="s">
        <v>3051</v>
      </c>
      <c r="G13" s="3191" t="s">
        <v>3053</v>
      </c>
      <c r="H13" s="3191">
        <v>8271</v>
      </c>
      <c r="I13" s="3191">
        <v>39942</v>
      </c>
      <c r="J13" s="3191">
        <v>1448.75</v>
      </c>
      <c r="K13" s="3191">
        <v>382.92</v>
      </c>
      <c r="L13" s="3193">
        <v>4346.245919477693</v>
      </c>
      <c r="M13" s="3258">
        <f t="shared" si="0"/>
        <v>289.75117671381935</v>
      </c>
    </row>
    <row r="14" spans="1:13">
      <c r="A14" s="3184" t="s">
        <v>3054</v>
      </c>
      <c r="B14" s="3184" t="s">
        <v>3035</v>
      </c>
      <c r="C14" s="3184">
        <v>80644</v>
      </c>
      <c r="D14" s="3184">
        <v>241932</v>
      </c>
      <c r="E14" s="3185" t="s">
        <v>3043</v>
      </c>
      <c r="F14" s="3184" t="s">
        <v>3055</v>
      </c>
      <c r="G14" s="3184" t="s">
        <v>3053</v>
      </c>
      <c r="H14" s="3184">
        <v>7257.96</v>
      </c>
      <c r="I14" s="3184">
        <v>23817.95</v>
      </c>
      <c r="J14" s="3184">
        <v>984.49</v>
      </c>
      <c r="K14" s="3184">
        <v>228.16</v>
      </c>
      <c r="L14" s="3257">
        <v>4346.245919477693</v>
      </c>
      <c r="M14" s="3258">
        <f t="shared" si="0"/>
        <v>289.75117671381935</v>
      </c>
    </row>
    <row r="15" spans="1:13">
      <c r="A15" s="3184" t="s">
        <v>3056</v>
      </c>
      <c r="B15" s="3184" t="s">
        <v>3035</v>
      </c>
      <c r="C15" s="3184">
        <v>115171</v>
      </c>
      <c r="D15" s="3184">
        <v>345513</v>
      </c>
      <c r="E15" s="3185" t="s">
        <v>3043</v>
      </c>
      <c r="F15" s="3184" t="s">
        <v>3055</v>
      </c>
      <c r="G15" s="3184" t="s">
        <v>3050</v>
      </c>
      <c r="H15" s="3184">
        <v>10365.379999999999</v>
      </c>
      <c r="I15" s="3184">
        <v>34101.379999999997</v>
      </c>
      <c r="J15" s="3184">
        <v>986.98</v>
      </c>
      <c r="K15" s="3184">
        <v>228.99</v>
      </c>
      <c r="L15" s="3257">
        <v>4346.245919477693</v>
      </c>
      <c r="M15" s="3258">
        <f t="shared" si="0"/>
        <v>289.75117671381935</v>
      </c>
    </row>
    <row r="16" spans="1:13">
      <c r="A16" s="3184" t="s">
        <v>3052</v>
      </c>
      <c r="B16" s="3184" t="s">
        <v>3035</v>
      </c>
      <c r="C16" s="3184">
        <v>72932</v>
      </c>
      <c r="D16" s="3184">
        <v>218796</v>
      </c>
      <c r="E16" s="3185" t="s">
        <v>3043</v>
      </c>
      <c r="F16" s="3184" t="s">
        <v>3055</v>
      </c>
      <c r="G16" s="3184" t="s">
        <v>3050</v>
      </c>
      <c r="H16" s="3184">
        <v>6563.88</v>
      </c>
      <c r="I16" s="3184">
        <v>21688.880000000001</v>
      </c>
      <c r="J16" s="3184">
        <v>991.27</v>
      </c>
      <c r="K16" s="3184">
        <v>230.43</v>
      </c>
      <c r="L16" s="3257">
        <v>4346.245919477693</v>
      </c>
      <c r="M16" s="3258">
        <f t="shared" si="0"/>
        <v>289.75117671381935</v>
      </c>
    </row>
    <row r="17" spans="1:13">
      <c r="A17" s="3184" t="s">
        <v>3052</v>
      </c>
      <c r="B17" s="3184" t="s">
        <v>3035</v>
      </c>
      <c r="C17" s="3184">
        <v>88280</v>
      </c>
      <c r="D17" s="3184">
        <v>264840</v>
      </c>
      <c r="E17" s="3185" t="s">
        <v>3043</v>
      </c>
      <c r="F17" s="3184" t="s">
        <v>3055</v>
      </c>
      <c r="G17" s="3184" t="s">
        <v>3057</v>
      </c>
      <c r="H17" s="3184">
        <v>7945.19</v>
      </c>
      <c r="I17" s="3184">
        <v>26095.200000000001</v>
      </c>
      <c r="J17" s="3184">
        <v>985.32</v>
      </c>
      <c r="K17" s="3184">
        <v>228.44</v>
      </c>
      <c r="L17" s="3257">
        <v>4346.245919477693</v>
      </c>
      <c r="M17" s="3258">
        <f t="shared" si="0"/>
        <v>289.75117671381935</v>
      </c>
    </row>
    <row r="18" spans="1:13">
      <c r="A18" s="3184" t="s">
        <v>3058</v>
      </c>
      <c r="B18" s="3184" t="s">
        <v>3035</v>
      </c>
      <c r="C18" s="3184">
        <v>28746</v>
      </c>
      <c r="D18" s="3184">
        <v>120733.2</v>
      </c>
      <c r="E18" s="3185" t="s">
        <v>3059</v>
      </c>
      <c r="F18" s="3184" t="s">
        <v>3060</v>
      </c>
      <c r="G18" s="3184" t="s">
        <v>3061</v>
      </c>
      <c r="H18" s="3184">
        <v>2500.9</v>
      </c>
      <c r="I18" s="3184">
        <v>2500.9</v>
      </c>
      <c r="J18" s="3184">
        <v>207.13</v>
      </c>
      <c r="K18" s="3184">
        <v>0</v>
      </c>
      <c r="L18" s="3257">
        <v>4346.245919477693</v>
      </c>
      <c r="M18" s="3258">
        <f t="shared" si="0"/>
        <v>289.75117671381935</v>
      </c>
    </row>
    <row r="19" spans="1:13">
      <c r="A19" s="3184" t="s">
        <v>3062</v>
      </c>
      <c r="B19" s="3184" t="s">
        <v>3035</v>
      </c>
      <c r="C19" s="3184">
        <v>101877</v>
      </c>
      <c r="D19" s="3184">
        <v>254692.5</v>
      </c>
      <c r="E19" s="3185" t="s">
        <v>3063</v>
      </c>
      <c r="F19" s="3184" t="s">
        <v>3064</v>
      </c>
      <c r="G19" s="3184" t="s">
        <v>3050</v>
      </c>
      <c r="H19" s="3184">
        <v>7640.77</v>
      </c>
      <c r="I19" s="3184">
        <v>10040.780000000001</v>
      </c>
      <c r="J19" s="3184">
        <v>394.23</v>
      </c>
      <c r="K19" s="3184">
        <v>31.41</v>
      </c>
      <c r="L19" s="3257">
        <v>4346.245919477693</v>
      </c>
      <c r="M19" s="3258">
        <f t="shared" si="0"/>
        <v>289.75117671381935</v>
      </c>
    </row>
    <row r="20" spans="1:13">
      <c r="A20" s="3184" t="s">
        <v>3065</v>
      </c>
      <c r="B20" s="3184" t="s">
        <v>3035</v>
      </c>
      <c r="C20" s="3184">
        <v>72171</v>
      </c>
      <c r="D20" s="3184">
        <v>144342</v>
      </c>
      <c r="E20" s="3185" t="s">
        <v>3066</v>
      </c>
      <c r="F20" s="3184" t="s">
        <v>3067</v>
      </c>
      <c r="G20" s="3184" t="s">
        <v>3057</v>
      </c>
      <c r="H20" s="3184">
        <v>5412.82</v>
      </c>
      <c r="I20" s="3184">
        <v>6546.82</v>
      </c>
      <c r="J20" s="3184">
        <v>453.56</v>
      </c>
      <c r="K20" s="3184">
        <v>20.95</v>
      </c>
      <c r="L20" s="3257">
        <v>4346.245919477693</v>
      </c>
      <c r="M20" s="3258">
        <f t="shared" si="0"/>
        <v>289.75117671381935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N26" sqref="N26"/>
    </sheetView>
  </sheetViews>
  <sheetFormatPr defaultRowHeight="13.5"/>
  <sheetData>
    <row r="1" spans="1:8">
      <c r="A1" s="3182"/>
      <c r="B1" s="3182"/>
      <c r="C1" s="3182"/>
      <c r="D1" s="3183"/>
      <c r="E1" s="3182"/>
      <c r="F1" s="3182" t="s">
        <v>3004</v>
      </c>
      <c r="G1" s="3182" t="s">
        <v>3005</v>
      </c>
      <c r="H1" s="3182"/>
    </row>
    <row r="2" spans="1:8">
      <c r="A2" s="3182">
        <v>133</v>
      </c>
      <c r="B2" s="3183" t="s">
        <v>3006</v>
      </c>
      <c r="C2" s="3183" t="s">
        <v>3007</v>
      </c>
      <c r="D2" s="3183" t="s">
        <v>3008</v>
      </c>
      <c r="E2" s="3183" t="s">
        <v>3009</v>
      </c>
      <c r="F2" s="3182">
        <v>54446</v>
      </c>
      <c r="G2" s="3182">
        <f t="shared" ref="G2:G10" si="0">F2*3</f>
        <v>163338</v>
      </c>
      <c r="H2" s="3183" t="s">
        <v>3010</v>
      </c>
    </row>
    <row r="3" spans="1:8">
      <c r="A3" s="3182">
        <v>134</v>
      </c>
      <c r="B3" s="3183" t="s">
        <v>3011</v>
      </c>
      <c r="C3" s="3183" t="s">
        <v>3012</v>
      </c>
      <c r="D3" s="3183" t="s">
        <v>3013</v>
      </c>
      <c r="E3" s="3183" t="s">
        <v>3014</v>
      </c>
      <c r="F3" s="3182">
        <v>69980</v>
      </c>
      <c r="G3" s="3182">
        <f t="shared" si="0"/>
        <v>209940</v>
      </c>
      <c r="H3" s="3183" t="s">
        <v>3010</v>
      </c>
    </row>
    <row r="4" spans="1:8">
      <c r="A4" s="3182">
        <v>137</v>
      </c>
      <c r="B4" s="3183" t="s">
        <v>3015</v>
      </c>
      <c r="C4" s="3183" t="s">
        <v>3012</v>
      </c>
      <c r="D4" s="3183" t="s">
        <v>3013</v>
      </c>
      <c r="E4" s="3183" t="s">
        <v>3014</v>
      </c>
      <c r="F4" s="3182">
        <v>86109</v>
      </c>
      <c r="G4" s="3182">
        <f t="shared" si="0"/>
        <v>258327</v>
      </c>
      <c r="H4" s="3183" t="s">
        <v>3010</v>
      </c>
    </row>
    <row r="5" spans="1:8">
      <c r="A5" s="3182">
        <v>138</v>
      </c>
      <c r="B5" s="3183" t="s">
        <v>3016</v>
      </c>
      <c r="C5" s="3183" t="s">
        <v>3012</v>
      </c>
      <c r="D5" s="3183" t="s">
        <v>3013</v>
      </c>
      <c r="E5" s="3183" t="s">
        <v>3014</v>
      </c>
      <c r="F5" s="3182">
        <v>69877</v>
      </c>
      <c r="G5" s="3182">
        <f t="shared" si="0"/>
        <v>209631</v>
      </c>
      <c r="H5" s="3183" t="s">
        <v>3010</v>
      </c>
    </row>
    <row r="6" spans="1:8">
      <c r="A6" s="3182">
        <v>139</v>
      </c>
      <c r="B6" s="3183" t="s">
        <v>3017</v>
      </c>
      <c r="C6" s="3183" t="s">
        <v>3012</v>
      </c>
      <c r="D6" s="3183" t="s">
        <v>3013</v>
      </c>
      <c r="E6" s="3183" t="s">
        <v>3014</v>
      </c>
      <c r="F6" s="3182">
        <v>79081</v>
      </c>
      <c r="G6" s="3182">
        <f t="shared" si="0"/>
        <v>237243</v>
      </c>
      <c r="H6" s="3183" t="s">
        <v>3010</v>
      </c>
    </row>
    <row r="7" spans="1:8">
      <c r="A7" s="3182">
        <v>140</v>
      </c>
      <c r="B7" s="3183" t="s">
        <v>3018</v>
      </c>
      <c r="C7" s="3183" t="s">
        <v>3012</v>
      </c>
      <c r="D7" s="3183" t="s">
        <v>3013</v>
      </c>
      <c r="E7" s="3183" t="s">
        <v>3014</v>
      </c>
      <c r="F7" s="3182">
        <v>80853</v>
      </c>
      <c r="G7" s="3182">
        <f t="shared" si="0"/>
        <v>242559</v>
      </c>
      <c r="H7" s="3183" t="s">
        <v>3019</v>
      </c>
    </row>
    <row r="8" spans="1:8">
      <c r="A8" s="3182">
        <v>141</v>
      </c>
      <c r="B8" s="3183" t="s">
        <v>3020</v>
      </c>
      <c r="C8" s="3183" t="s">
        <v>3012</v>
      </c>
      <c r="D8" s="3183" t="s">
        <v>3013</v>
      </c>
      <c r="E8" s="3183" t="s">
        <v>3014</v>
      </c>
      <c r="F8" s="3182">
        <v>65335</v>
      </c>
      <c r="G8" s="3182">
        <f t="shared" si="0"/>
        <v>196005</v>
      </c>
      <c r="H8" s="3183" t="s">
        <v>3019</v>
      </c>
    </row>
    <row r="9" spans="1:8">
      <c r="A9" s="3182">
        <v>142</v>
      </c>
      <c r="B9" s="3183" t="s">
        <v>3021</v>
      </c>
      <c r="C9" s="3183" t="s">
        <v>3012</v>
      </c>
      <c r="D9" s="3183" t="s">
        <v>3013</v>
      </c>
      <c r="E9" s="3183" t="s">
        <v>3014</v>
      </c>
      <c r="F9" s="3182">
        <v>68492</v>
      </c>
      <c r="G9" s="3182">
        <f t="shared" si="0"/>
        <v>205476</v>
      </c>
      <c r="H9" s="3183" t="s">
        <v>3019</v>
      </c>
    </row>
    <row r="10" spans="1:8">
      <c r="A10" s="3182">
        <v>144</v>
      </c>
      <c r="B10" s="3183" t="s">
        <v>3022</v>
      </c>
      <c r="C10" s="3183" t="s">
        <v>3012</v>
      </c>
      <c r="D10" s="3183" t="s">
        <v>3013</v>
      </c>
      <c r="E10" s="3183" t="s">
        <v>3014</v>
      </c>
      <c r="F10" s="3182">
        <v>68639</v>
      </c>
      <c r="G10" s="3182">
        <f t="shared" si="0"/>
        <v>205917</v>
      </c>
      <c r="H10" s="3183" t="s">
        <v>3019</v>
      </c>
    </row>
    <row r="11" spans="1:8">
      <c r="A11" s="3182"/>
      <c r="B11" s="3182"/>
      <c r="C11" s="3182"/>
      <c r="D11" s="3182"/>
      <c r="E11" s="3182"/>
      <c r="F11" s="3182">
        <f>SUM(F2:F10)</f>
        <v>642812</v>
      </c>
      <c r="G11" s="3182">
        <f>SUM(G2:G10)</f>
        <v>1928436</v>
      </c>
      <c r="H11" s="3182"/>
    </row>
    <row r="12" spans="1:8">
      <c r="A12" s="3182"/>
      <c r="B12" s="3182"/>
      <c r="C12" s="3182"/>
      <c r="D12" s="3182"/>
      <c r="E12" s="3182"/>
      <c r="F12" s="3182">
        <f>F11/666.67</f>
        <v>964.21317893410537</v>
      </c>
      <c r="G12" s="3182"/>
      <c r="H12" s="3182"/>
    </row>
  </sheetData>
  <phoneticPr fontId="228" type="noConversion"/>
  <pageMargins left="0.7" right="0.7" top="0.75" bottom="0.75" header="0.3" footer="0.3"/>
  <pageSetup paperSize="9"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C8" sqref="C8"/>
    </sheetView>
  </sheetViews>
  <sheetFormatPr defaultRowHeight="13.5"/>
  <sheetData>
    <row r="1" spans="1:15">
      <c r="A1" s="2891" t="s">
        <v>3023</v>
      </c>
      <c r="B1" s="2891" t="s">
        <v>3126</v>
      </c>
      <c r="C1" s="2891" t="s">
        <v>3024</v>
      </c>
      <c r="D1" s="2891" t="s">
        <v>3025</v>
      </c>
      <c r="E1" s="2891" t="s">
        <v>3026</v>
      </c>
      <c r="F1" s="2891" t="s">
        <v>2031</v>
      </c>
      <c r="G1" s="2891" t="s">
        <v>3127</v>
      </c>
      <c r="H1" s="2891" t="s">
        <v>3128</v>
      </c>
      <c r="I1" s="2891" t="s">
        <v>3029</v>
      </c>
      <c r="J1" s="2891" t="s">
        <v>3030</v>
      </c>
      <c r="K1" s="2891" t="s">
        <v>3031</v>
      </c>
      <c r="L1" s="2891" t="s">
        <v>3032</v>
      </c>
      <c r="M1" s="2891" t="s">
        <v>3028</v>
      </c>
      <c r="N1" s="2891" t="s">
        <v>3129</v>
      </c>
    </row>
    <row r="2" spans="1:15">
      <c r="A2" s="2891" t="s">
        <v>3130</v>
      </c>
      <c r="B2" s="2891" t="s">
        <v>3131</v>
      </c>
      <c r="C2" s="2891" t="s">
        <v>3035</v>
      </c>
      <c r="D2" s="2891">
        <v>25545</v>
      </c>
      <c r="E2" s="2891">
        <v>28099.5</v>
      </c>
      <c r="F2" s="2891" t="s">
        <v>3132</v>
      </c>
      <c r="G2" s="2891" t="s">
        <v>3133</v>
      </c>
      <c r="H2" s="2891" t="s">
        <v>3134</v>
      </c>
      <c r="I2" s="2891">
        <v>15327</v>
      </c>
      <c r="J2" s="2891" t="s">
        <v>2817</v>
      </c>
      <c r="K2" s="2891" t="s">
        <v>2817</v>
      </c>
      <c r="L2" s="2891" t="s">
        <v>2817</v>
      </c>
      <c r="M2" s="2891" t="s">
        <v>2817</v>
      </c>
      <c r="N2" s="2891" t="s">
        <v>3135</v>
      </c>
      <c r="O2" s="3258" t="e">
        <f>J2/(D2/666.67)</f>
        <v>#VALUE!</v>
      </c>
    </row>
    <row r="3" spans="1:15">
      <c r="A3" s="2891" t="s">
        <v>3136</v>
      </c>
      <c r="B3" s="2891" t="s">
        <v>3131</v>
      </c>
      <c r="C3" s="2891" t="s">
        <v>3035</v>
      </c>
      <c r="D3" s="2891">
        <v>33706</v>
      </c>
      <c r="E3" s="2891">
        <v>84265</v>
      </c>
      <c r="F3" s="2891" t="s">
        <v>3137</v>
      </c>
      <c r="G3" s="2891" t="s">
        <v>3133</v>
      </c>
      <c r="H3" s="2891" t="s">
        <v>3138</v>
      </c>
      <c r="I3" s="2891">
        <v>9100.6200000000008</v>
      </c>
      <c r="J3" s="2891">
        <v>9100.6200000000008</v>
      </c>
      <c r="K3" s="2891">
        <v>1080</v>
      </c>
      <c r="L3" s="2891">
        <v>0</v>
      </c>
      <c r="M3" s="2891" t="s">
        <v>3139</v>
      </c>
      <c r="N3" s="2891" t="s">
        <v>3135</v>
      </c>
      <c r="O3" s="3258">
        <f>J3/(D3/666.67)</f>
        <v>180.0009</v>
      </c>
    </row>
    <row r="4" spans="1:15">
      <c r="A4" s="2891" t="s">
        <v>3140</v>
      </c>
      <c r="B4" s="2891" t="s">
        <v>3131</v>
      </c>
      <c r="C4" s="2891" t="s">
        <v>3035</v>
      </c>
      <c r="D4" s="2891">
        <v>99061</v>
      </c>
      <c r="E4" s="2891">
        <v>99061</v>
      </c>
      <c r="F4" s="2891" t="s">
        <v>3141</v>
      </c>
      <c r="G4" s="2891" t="s">
        <v>3133</v>
      </c>
      <c r="H4" s="2891" t="s">
        <v>3142</v>
      </c>
      <c r="I4" s="2891">
        <v>28232.38</v>
      </c>
      <c r="J4" s="2891">
        <v>28232.38</v>
      </c>
      <c r="K4" s="2891">
        <v>2850</v>
      </c>
      <c r="L4" s="2891">
        <v>0</v>
      </c>
      <c r="M4" s="2891" t="s">
        <v>3143</v>
      </c>
      <c r="N4" s="2891" t="s">
        <v>3144</v>
      </c>
      <c r="O4" s="3258">
        <f t="shared" ref="O4:O37" si="0">J4/(D4/666.67)</f>
        <v>190.0009163505315</v>
      </c>
    </row>
    <row r="5" spans="1:15">
      <c r="A5" s="2891" t="s">
        <v>3145</v>
      </c>
      <c r="B5" s="2891" t="s">
        <v>3131</v>
      </c>
      <c r="C5" s="2891" t="s">
        <v>3035</v>
      </c>
      <c r="D5" s="2891">
        <v>4086</v>
      </c>
      <c r="E5" s="2891">
        <v>6129</v>
      </c>
      <c r="F5" s="2891" t="s">
        <v>3146</v>
      </c>
      <c r="G5" s="2891" t="s">
        <v>3133</v>
      </c>
      <c r="H5" s="2891" t="s">
        <v>3147</v>
      </c>
      <c r="I5" s="2891">
        <v>1011.28</v>
      </c>
      <c r="J5" s="2891">
        <v>1011.28</v>
      </c>
      <c r="K5" s="2891">
        <v>1650</v>
      </c>
      <c r="L5" s="2891">
        <v>0</v>
      </c>
      <c r="M5" s="2891" t="s">
        <v>3148</v>
      </c>
      <c r="N5" s="2891" t="s">
        <v>3144</v>
      </c>
      <c r="O5" s="3258">
        <f t="shared" si="0"/>
        <v>165.00000920215368</v>
      </c>
    </row>
    <row r="6" spans="1:15">
      <c r="A6" s="2891" t="s">
        <v>3149</v>
      </c>
      <c r="B6" s="2891" t="s">
        <v>3131</v>
      </c>
      <c r="C6" s="2891" t="s">
        <v>3035</v>
      </c>
      <c r="D6" s="2891">
        <v>63936</v>
      </c>
      <c r="E6" s="2891">
        <v>89510.399999999994</v>
      </c>
      <c r="F6" s="2891" t="s">
        <v>3150</v>
      </c>
      <c r="G6" s="2891" t="s">
        <v>3133</v>
      </c>
      <c r="H6" s="2891" t="s">
        <v>3151</v>
      </c>
      <c r="I6" s="2891">
        <v>24935.040000000001</v>
      </c>
      <c r="J6" s="2891">
        <v>24935.040000000001</v>
      </c>
      <c r="K6" s="2891">
        <v>2785.71</v>
      </c>
      <c r="L6" s="2891">
        <v>0</v>
      </c>
      <c r="M6" s="2891" t="s">
        <v>3152</v>
      </c>
      <c r="N6" s="2891" t="s">
        <v>3144</v>
      </c>
      <c r="O6" s="3258">
        <f t="shared" si="0"/>
        <v>260.00130000000001</v>
      </c>
    </row>
    <row r="7" spans="1:15">
      <c r="A7" s="2891" t="s">
        <v>3153</v>
      </c>
      <c r="B7" s="2891" t="s">
        <v>3131</v>
      </c>
      <c r="C7" s="2891" t="s">
        <v>3035</v>
      </c>
      <c r="D7" s="2891">
        <v>20000</v>
      </c>
      <c r="E7" s="2891">
        <v>26000</v>
      </c>
      <c r="F7" s="2891" t="s">
        <v>3154</v>
      </c>
      <c r="G7" s="2891" t="s">
        <v>3133</v>
      </c>
      <c r="H7" s="2891" t="s">
        <v>3155</v>
      </c>
      <c r="I7" s="2891">
        <v>6600</v>
      </c>
      <c r="J7" s="2891">
        <v>6600</v>
      </c>
      <c r="K7" s="2891">
        <v>2538.46</v>
      </c>
      <c r="L7" s="2891">
        <v>0</v>
      </c>
      <c r="M7" s="2891" t="s">
        <v>3143</v>
      </c>
      <c r="N7" s="2891" t="s">
        <v>3135</v>
      </c>
      <c r="O7" s="3258">
        <f t="shared" si="0"/>
        <v>220.00109999999998</v>
      </c>
    </row>
    <row r="8" spans="1:15">
      <c r="A8" s="2891" t="s">
        <v>3156</v>
      </c>
      <c r="B8" s="2891" t="s">
        <v>3131</v>
      </c>
      <c r="C8" s="2891" t="s">
        <v>3035</v>
      </c>
      <c r="D8" s="2891">
        <v>10185</v>
      </c>
      <c r="E8" s="2891">
        <v>45832.5</v>
      </c>
      <c r="F8" s="2891" t="s">
        <v>3157</v>
      </c>
      <c r="G8" s="2891" t="s">
        <v>3133</v>
      </c>
      <c r="H8" s="2891" t="s">
        <v>3158</v>
      </c>
      <c r="I8" s="2891">
        <v>5942.94</v>
      </c>
      <c r="J8" s="2891">
        <v>5942.94</v>
      </c>
      <c r="K8" s="2891">
        <v>1296.67</v>
      </c>
      <c r="L8" s="2891">
        <v>0</v>
      </c>
      <c r="M8" s="2891" t="s">
        <v>3159</v>
      </c>
      <c r="N8" s="2891" t="s">
        <v>3160</v>
      </c>
      <c r="O8" s="3258">
        <f t="shared" si="0"/>
        <v>389.00145407952868</v>
      </c>
    </row>
    <row r="9" spans="1:15">
      <c r="A9" s="2891" t="s">
        <v>3161</v>
      </c>
      <c r="B9" s="2891" t="s">
        <v>3131</v>
      </c>
      <c r="C9" s="2891" t="s">
        <v>3035</v>
      </c>
      <c r="D9" s="2891">
        <v>20980</v>
      </c>
      <c r="E9" s="2891">
        <v>18882</v>
      </c>
      <c r="F9" s="2891" t="s">
        <v>3162</v>
      </c>
      <c r="G9" s="2891" t="s">
        <v>3133</v>
      </c>
      <c r="H9" s="2891" t="s">
        <v>3163</v>
      </c>
      <c r="I9" s="2891">
        <v>6545.76</v>
      </c>
      <c r="J9" s="2891">
        <v>6545.76</v>
      </c>
      <c r="K9" s="2891">
        <v>3466.67</v>
      </c>
      <c r="L9" s="2891">
        <v>0</v>
      </c>
      <c r="M9" s="2891" t="s">
        <v>3164</v>
      </c>
      <c r="N9" s="2891" t="s">
        <v>3144</v>
      </c>
      <c r="O9" s="3258">
        <f t="shared" si="0"/>
        <v>208.00103999999999</v>
      </c>
    </row>
    <row r="10" spans="1:15">
      <c r="A10" s="2891" t="s">
        <v>3165</v>
      </c>
      <c r="B10" s="2891" t="s">
        <v>3131</v>
      </c>
      <c r="C10" s="2891" t="s">
        <v>3035</v>
      </c>
      <c r="D10" s="2891">
        <v>15185</v>
      </c>
      <c r="E10" s="2891">
        <v>37962.5</v>
      </c>
      <c r="F10" s="2891" t="s">
        <v>3166</v>
      </c>
      <c r="G10" s="2891" t="s">
        <v>3133</v>
      </c>
      <c r="H10" s="2891" t="s">
        <v>3167</v>
      </c>
      <c r="I10" s="2891">
        <v>6263.81</v>
      </c>
      <c r="J10" s="2891">
        <v>6263.81</v>
      </c>
      <c r="K10" s="2891">
        <v>1650</v>
      </c>
      <c r="L10" s="2891">
        <v>0</v>
      </c>
      <c r="M10" s="2891" t="s">
        <v>3168</v>
      </c>
      <c r="N10" s="2891" t="s">
        <v>3169</v>
      </c>
      <c r="O10" s="3258">
        <f t="shared" si="0"/>
        <v>275.00126524201517</v>
      </c>
    </row>
    <row r="11" spans="1:15">
      <c r="A11" s="2891" t="s">
        <v>3170</v>
      </c>
      <c r="B11" s="2891" t="s">
        <v>3131</v>
      </c>
      <c r="C11" s="2891" t="s">
        <v>3035</v>
      </c>
      <c r="D11" s="2891">
        <v>2003</v>
      </c>
      <c r="E11" s="2891">
        <v>400.6</v>
      </c>
      <c r="F11" s="2891">
        <v>0.2</v>
      </c>
      <c r="G11" s="2891" t="s">
        <v>3133</v>
      </c>
      <c r="H11" s="2891" t="s">
        <v>3171</v>
      </c>
      <c r="I11" s="2891">
        <v>454.88</v>
      </c>
      <c r="J11" s="2891">
        <v>454.88</v>
      </c>
      <c r="K11" s="2891">
        <v>11355.21</v>
      </c>
      <c r="L11" s="2891">
        <v>0</v>
      </c>
      <c r="M11" s="2891" t="s">
        <v>3172</v>
      </c>
      <c r="N11" s="2891" t="s">
        <v>3169</v>
      </c>
      <c r="O11" s="3258">
        <f t="shared" si="0"/>
        <v>151.40032431352969</v>
      </c>
    </row>
    <row r="12" spans="1:15">
      <c r="A12" s="2891" t="s">
        <v>3173</v>
      </c>
      <c r="B12" s="2891" t="s">
        <v>3131</v>
      </c>
      <c r="C12" s="2891" t="s">
        <v>3035</v>
      </c>
      <c r="D12" s="2891">
        <v>4081</v>
      </c>
      <c r="E12" s="2891">
        <v>4081</v>
      </c>
      <c r="F12" s="2891" t="s">
        <v>3174</v>
      </c>
      <c r="G12" s="2891" t="s">
        <v>3133</v>
      </c>
      <c r="H12" s="2891" t="s">
        <v>3175</v>
      </c>
      <c r="I12" s="2891">
        <v>615.41</v>
      </c>
      <c r="J12" s="2891">
        <v>615.41</v>
      </c>
      <c r="K12" s="2891">
        <v>1508</v>
      </c>
      <c r="L12" s="2891">
        <v>0</v>
      </c>
      <c r="M12" s="2891" t="s">
        <v>3176</v>
      </c>
      <c r="N12" s="2891" t="s">
        <v>3144</v>
      </c>
      <c r="O12" s="3258">
        <f t="shared" si="0"/>
        <v>100.53305187454053</v>
      </c>
    </row>
    <row r="13" spans="1:15">
      <c r="A13" s="2891" t="s">
        <v>3177</v>
      </c>
      <c r="B13" s="2891" t="s">
        <v>3131</v>
      </c>
      <c r="C13" s="2891" t="s">
        <v>3035</v>
      </c>
      <c r="D13" s="2891">
        <v>2050</v>
      </c>
      <c r="E13" s="2891">
        <v>1230</v>
      </c>
      <c r="F13" s="2891" t="s">
        <v>3178</v>
      </c>
      <c r="G13" s="2891" t="s">
        <v>3133</v>
      </c>
      <c r="H13" s="2891" t="s">
        <v>3175</v>
      </c>
      <c r="I13" s="2891">
        <v>289.87</v>
      </c>
      <c r="J13" s="2891">
        <v>289.87</v>
      </c>
      <c r="K13" s="2891">
        <v>2356.67</v>
      </c>
      <c r="L13" s="2891">
        <v>0</v>
      </c>
      <c r="M13" s="2891" t="s">
        <v>3179</v>
      </c>
      <c r="N13" s="2891" t="s">
        <v>3160</v>
      </c>
      <c r="O13" s="3258">
        <f t="shared" si="0"/>
        <v>94.267137999999989</v>
      </c>
    </row>
    <row r="14" spans="1:15">
      <c r="A14" s="2891" t="s">
        <v>3180</v>
      </c>
      <c r="B14" s="2891" t="s">
        <v>3131</v>
      </c>
      <c r="C14" s="2891" t="s">
        <v>3035</v>
      </c>
      <c r="D14" s="2891">
        <v>32761</v>
      </c>
      <c r="E14" s="2891">
        <v>45865.4</v>
      </c>
      <c r="F14" s="2891" t="s">
        <v>3181</v>
      </c>
      <c r="G14" s="2891" t="s">
        <v>3133</v>
      </c>
      <c r="H14" s="2891" t="s">
        <v>3182</v>
      </c>
      <c r="I14" s="2891" t="s">
        <v>2817</v>
      </c>
      <c r="J14" s="2891">
        <v>3145.05</v>
      </c>
      <c r="K14" s="2891">
        <v>685.72</v>
      </c>
      <c r="L14" s="2891" t="s">
        <v>2817</v>
      </c>
      <c r="M14" s="2891" t="s">
        <v>3183</v>
      </c>
      <c r="N14" s="2891" t="s">
        <v>3160</v>
      </c>
      <c r="O14" s="3258">
        <f t="shared" si="0"/>
        <v>64.000197902994415</v>
      </c>
    </row>
    <row r="15" spans="1:15">
      <c r="A15" s="2891" t="s">
        <v>3184</v>
      </c>
      <c r="B15" s="2891" t="s">
        <v>3131</v>
      </c>
      <c r="C15" s="2891" t="s">
        <v>3035</v>
      </c>
      <c r="D15" s="2891">
        <v>3449</v>
      </c>
      <c r="E15" s="2891">
        <v>2414.3000000000002</v>
      </c>
      <c r="F15" s="2891">
        <v>0.7</v>
      </c>
      <c r="G15" s="2891" t="s">
        <v>3133</v>
      </c>
      <c r="H15" s="2891" t="s">
        <v>3185</v>
      </c>
      <c r="I15" s="2891" t="s">
        <v>2817</v>
      </c>
      <c r="J15" s="2891">
        <v>486.31</v>
      </c>
      <c r="K15" s="2891">
        <v>2014.28</v>
      </c>
      <c r="L15" s="2891" t="s">
        <v>2817</v>
      </c>
      <c r="M15" s="2891" t="s">
        <v>3186</v>
      </c>
      <c r="N15" s="2891" t="s">
        <v>3135</v>
      </c>
      <c r="O15" s="3258">
        <f t="shared" si="0"/>
        <v>94.000663293708314</v>
      </c>
    </row>
    <row r="16" spans="1:15">
      <c r="A16" s="2891" t="s">
        <v>3187</v>
      </c>
      <c r="B16" s="2891" t="s">
        <v>3131</v>
      </c>
      <c r="C16" s="2891" t="s">
        <v>3035</v>
      </c>
      <c r="D16" s="2891">
        <v>25602</v>
      </c>
      <c r="E16" s="2891">
        <v>25602</v>
      </c>
      <c r="F16" s="2891">
        <v>1</v>
      </c>
      <c r="G16" s="2891" t="s">
        <v>3133</v>
      </c>
      <c r="H16" s="2891" t="s">
        <v>3188</v>
      </c>
      <c r="I16" s="2891" t="s">
        <v>2817</v>
      </c>
      <c r="J16" s="2891">
        <v>7142.39</v>
      </c>
      <c r="K16" s="2891">
        <v>2789.78</v>
      </c>
      <c r="L16" s="2891" t="s">
        <v>2817</v>
      </c>
      <c r="M16" s="2891" t="s">
        <v>3168</v>
      </c>
      <c r="N16" s="2891" t="s">
        <v>3169</v>
      </c>
      <c r="O16" s="3258">
        <f t="shared" si="0"/>
        <v>185.98613941488946</v>
      </c>
    </row>
    <row r="17" spans="1:15">
      <c r="O17" s="3258"/>
    </row>
    <row r="18" spans="1:15">
      <c r="O18" s="3258"/>
    </row>
    <row r="19" spans="1:15">
      <c r="O19" s="3258"/>
    </row>
    <row r="20" spans="1:15">
      <c r="O20" s="3258"/>
    </row>
    <row r="21" spans="1:15">
      <c r="O21" s="3258"/>
    </row>
    <row r="22" spans="1:15">
      <c r="A22" s="3184" t="s">
        <v>3023</v>
      </c>
      <c r="B22" s="3184" t="s">
        <v>3126</v>
      </c>
      <c r="C22" s="3184" t="s">
        <v>3024</v>
      </c>
      <c r="D22" s="3184" t="s">
        <v>3025</v>
      </c>
      <c r="E22" s="3184" t="s">
        <v>3026</v>
      </c>
      <c r="F22" s="3184" t="s">
        <v>2031</v>
      </c>
      <c r="G22" s="3184" t="s">
        <v>3127</v>
      </c>
      <c r="H22" s="3184" t="s">
        <v>3128</v>
      </c>
      <c r="I22" s="3184" t="s">
        <v>3029</v>
      </c>
      <c r="J22" s="3184" t="s">
        <v>3030</v>
      </c>
      <c r="K22" s="3184" t="s">
        <v>3031</v>
      </c>
      <c r="L22" s="3184" t="s">
        <v>3032</v>
      </c>
      <c r="M22" s="3184" t="s">
        <v>3028</v>
      </c>
      <c r="N22" s="3184" t="s">
        <v>3129</v>
      </c>
      <c r="O22" s="3258"/>
    </row>
    <row r="23" spans="1:15">
      <c r="A23" s="3184" t="s">
        <v>3189</v>
      </c>
      <c r="B23" s="3184" t="s">
        <v>3131</v>
      </c>
      <c r="C23" s="3184" t="s">
        <v>3035</v>
      </c>
      <c r="D23" s="3184">
        <v>11475</v>
      </c>
      <c r="E23" s="3184">
        <v>91800</v>
      </c>
      <c r="F23" s="3184" t="s">
        <v>3190</v>
      </c>
      <c r="G23" s="3184" t="s">
        <v>3133</v>
      </c>
      <c r="H23" s="3184" t="s">
        <v>3191</v>
      </c>
      <c r="I23" s="3184">
        <v>4406.3900000000003</v>
      </c>
      <c r="J23" s="3184">
        <v>4406.3900000000003</v>
      </c>
      <c r="K23" s="3184">
        <v>480</v>
      </c>
      <c r="L23" s="3184">
        <v>0</v>
      </c>
      <c r="M23" s="3184" t="s">
        <v>3192</v>
      </c>
      <c r="N23" s="3184" t="s">
        <v>3169</v>
      </c>
      <c r="O23" s="3258">
        <f t="shared" si="0"/>
        <v>256.00069902396513</v>
      </c>
    </row>
    <row r="24" spans="1:15">
      <c r="A24" s="3184" t="s">
        <v>3193</v>
      </c>
      <c r="B24" s="3184" t="s">
        <v>3131</v>
      </c>
      <c r="C24" s="3184" t="s">
        <v>3035</v>
      </c>
      <c r="D24" s="3184">
        <v>17191</v>
      </c>
      <c r="E24" s="3184">
        <v>42977.5</v>
      </c>
      <c r="F24" s="3184" t="s">
        <v>3194</v>
      </c>
      <c r="G24" s="3184" t="s">
        <v>3133</v>
      </c>
      <c r="H24" s="3184" t="s">
        <v>3195</v>
      </c>
      <c r="I24" s="3184">
        <v>8638.4699999999993</v>
      </c>
      <c r="J24" s="3184">
        <v>8638.4699999999993</v>
      </c>
      <c r="K24" s="3184">
        <v>2010</v>
      </c>
      <c r="L24" s="3184">
        <v>0</v>
      </c>
      <c r="M24" s="3184" t="s">
        <v>3196</v>
      </c>
      <c r="N24" s="3184" t="s">
        <v>3169</v>
      </c>
      <c r="O24" s="3258">
        <f t="shared" si="0"/>
        <v>335.0013841486824</v>
      </c>
    </row>
    <row r="25" spans="1:15">
      <c r="A25" s="3184" t="s">
        <v>3197</v>
      </c>
      <c r="B25" s="3184" t="s">
        <v>3131</v>
      </c>
      <c r="C25" s="3184" t="s">
        <v>3035</v>
      </c>
      <c r="D25" s="3184">
        <v>11475</v>
      </c>
      <c r="E25" s="3184">
        <v>91800</v>
      </c>
      <c r="F25" s="3184" t="s">
        <v>3198</v>
      </c>
      <c r="G25" s="3184" t="s">
        <v>3133</v>
      </c>
      <c r="H25" s="3184" t="s">
        <v>3199</v>
      </c>
      <c r="I25" s="3184">
        <v>4406.3900000000003</v>
      </c>
      <c r="J25" s="3184">
        <v>4406.3900000000003</v>
      </c>
      <c r="K25" s="3184">
        <v>480</v>
      </c>
      <c r="L25" s="3184">
        <v>0</v>
      </c>
      <c r="M25" s="3184" t="s">
        <v>3192</v>
      </c>
      <c r="N25" s="3184" t="s">
        <v>3169</v>
      </c>
      <c r="O25" s="3258">
        <f t="shared" si="0"/>
        <v>256.00069902396513</v>
      </c>
    </row>
    <row r="26" spans="1:15">
      <c r="A26" s="3184" t="s">
        <v>3200</v>
      </c>
      <c r="B26" s="3184" t="s">
        <v>3131</v>
      </c>
      <c r="C26" s="3184" t="s">
        <v>3035</v>
      </c>
      <c r="D26" s="3184">
        <v>1263</v>
      </c>
      <c r="E26" s="3184">
        <v>6315</v>
      </c>
      <c r="F26" s="3184" t="s">
        <v>3201</v>
      </c>
      <c r="G26" s="3184" t="s">
        <v>3133</v>
      </c>
      <c r="H26" s="3184" t="s">
        <v>3202</v>
      </c>
      <c r="I26" s="3184">
        <v>530.46</v>
      </c>
      <c r="J26" s="3184">
        <v>530.46</v>
      </c>
      <c r="K26" s="3184">
        <v>840</v>
      </c>
      <c r="L26" s="3184">
        <v>0</v>
      </c>
      <c r="M26" s="3184" t="s">
        <v>3203</v>
      </c>
      <c r="N26" s="3184" t="s">
        <v>3135</v>
      </c>
      <c r="O26" s="3258">
        <f t="shared" si="0"/>
        <v>280.00139999999999</v>
      </c>
    </row>
    <row r="27" spans="1:15">
      <c r="A27" s="3184" t="s">
        <v>3200</v>
      </c>
      <c r="B27" s="3184" t="s">
        <v>3131</v>
      </c>
      <c r="C27" s="3184" t="s">
        <v>3035</v>
      </c>
      <c r="D27" s="3184">
        <v>2093</v>
      </c>
      <c r="E27" s="3184">
        <v>2511.6</v>
      </c>
      <c r="F27" s="3184" t="s">
        <v>3204</v>
      </c>
      <c r="G27" s="3184" t="s">
        <v>3133</v>
      </c>
      <c r="H27" s="3184" t="s">
        <v>3202</v>
      </c>
      <c r="I27" s="3184">
        <v>847.66</v>
      </c>
      <c r="J27" s="3184">
        <v>847.66</v>
      </c>
      <c r="K27" s="3184">
        <v>3375.01</v>
      </c>
      <c r="L27" s="3184">
        <v>0</v>
      </c>
      <c r="M27" s="3184" t="s">
        <v>3203</v>
      </c>
      <c r="N27" s="3184" t="s">
        <v>3135</v>
      </c>
      <c r="O27" s="3258">
        <f t="shared" si="0"/>
        <v>269.99975738174868</v>
      </c>
    </row>
    <row r="28" spans="1:15">
      <c r="A28" s="3184" t="s">
        <v>3205</v>
      </c>
      <c r="B28" s="3184" t="s">
        <v>3131</v>
      </c>
      <c r="C28" s="3184" t="s">
        <v>3035</v>
      </c>
      <c r="D28" s="3184">
        <v>833</v>
      </c>
      <c r="E28" s="3184">
        <v>3748.5</v>
      </c>
      <c r="F28" s="3184" t="s">
        <v>3206</v>
      </c>
      <c r="G28" s="3184" t="s">
        <v>3133</v>
      </c>
      <c r="H28" s="3184" t="s">
        <v>3207</v>
      </c>
      <c r="I28" s="3184">
        <v>249.9</v>
      </c>
      <c r="J28" s="3184">
        <v>249.9</v>
      </c>
      <c r="K28" s="3184">
        <v>666.66</v>
      </c>
      <c r="L28" s="3184">
        <v>0</v>
      </c>
      <c r="M28" s="3184" t="s">
        <v>3208</v>
      </c>
      <c r="N28" s="3184" t="s">
        <v>3135</v>
      </c>
      <c r="O28" s="3258">
        <f t="shared" si="0"/>
        <v>200.00099999999998</v>
      </c>
    </row>
    <row r="29" spans="1:15">
      <c r="A29" s="3184" t="s">
        <v>3209</v>
      </c>
      <c r="B29" s="3184" t="s">
        <v>3131</v>
      </c>
      <c r="C29" s="3184" t="s">
        <v>3035</v>
      </c>
      <c r="D29" s="3184">
        <v>1781</v>
      </c>
      <c r="E29" s="3184">
        <v>11042.2</v>
      </c>
      <c r="F29" s="3184" t="s">
        <v>3210</v>
      </c>
      <c r="G29" s="3184" t="s">
        <v>3133</v>
      </c>
      <c r="H29" s="3184" t="s">
        <v>3211</v>
      </c>
      <c r="I29" s="3184">
        <v>962.96</v>
      </c>
      <c r="J29" s="3184">
        <v>962.96</v>
      </c>
      <c r="K29" s="3184">
        <v>872.07</v>
      </c>
      <c r="L29" s="3184">
        <v>0</v>
      </c>
      <c r="M29" s="3184" t="s">
        <v>3212</v>
      </c>
      <c r="N29" s="3184" t="s">
        <v>3169</v>
      </c>
      <c r="O29" s="3258">
        <f t="shared" si="0"/>
        <v>360.4584745648512</v>
      </c>
    </row>
    <row r="30" spans="1:15">
      <c r="A30" s="3184" t="s">
        <v>3213</v>
      </c>
      <c r="B30" s="3184" t="s">
        <v>3131</v>
      </c>
      <c r="C30" s="3184" t="s">
        <v>3035</v>
      </c>
      <c r="D30" s="3184">
        <v>14273</v>
      </c>
      <c r="E30" s="3184">
        <v>27118.7</v>
      </c>
      <c r="F30" s="3184" t="s">
        <v>3214</v>
      </c>
      <c r="G30" s="3184" t="s">
        <v>3133</v>
      </c>
      <c r="H30" s="3184" t="s">
        <v>3151</v>
      </c>
      <c r="I30" s="3184">
        <v>3318.46</v>
      </c>
      <c r="J30" s="3184">
        <v>3318.46</v>
      </c>
      <c r="K30" s="3184">
        <v>1223.68</v>
      </c>
      <c r="L30" s="3184">
        <v>0</v>
      </c>
      <c r="M30" s="3184" t="s">
        <v>3215</v>
      </c>
      <c r="N30" s="3184" t="s">
        <v>3160</v>
      </c>
      <c r="O30" s="3258">
        <f t="shared" si="0"/>
        <v>155.00019114411825</v>
      </c>
    </row>
    <row r="31" spans="1:15">
      <c r="A31" s="3184" t="s">
        <v>3216</v>
      </c>
      <c r="B31" s="3184" t="s">
        <v>3131</v>
      </c>
      <c r="C31" s="3184" t="s">
        <v>3035</v>
      </c>
      <c r="D31" s="3184">
        <v>16490</v>
      </c>
      <c r="E31" s="3184">
        <v>54417</v>
      </c>
      <c r="F31" s="3184" t="s">
        <v>3217</v>
      </c>
      <c r="G31" s="3184" t="s">
        <v>3133</v>
      </c>
      <c r="H31" s="3184" t="s">
        <v>3218</v>
      </c>
      <c r="I31" s="3184">
        <v>9399.2900000000009</v>
      </c>
      <c r="J31" s="3184">
        <v>9424.0400000000009</v>
      </c>
      <c r="K31" s="3184">
        <v>1731.81</v>
      </c>
      <c r="L31" s="3184">
        <v>0.26</v>
      </c>
      <c r="M31" s="3184" t="s">
        <v>3219</v>
      </c>
      <c r="N31" s="3184" t="s">
        <v>3169</v>
      </c>
      <c r="O31" s="3258">
        <f t="shared" si="0"/>
        <v>381.00210714372349</v>
      </c>
    </row>
    <row r="32" spans="1:15">
      <c r="A32" s="3184" t="s">
        <v>3220</v>
      </c>
      <c r="B32" s="3184" t="s">
        <v>3131</v>
      </c>
      <c r="C32" s="3184" t="s">
        <v>3035</v>
      </c>
      <c r="D32" s="3184">
        <v>31986</v>
      </c>
      <c r="E32" s="3184">
        <v>115149.6</v>
      </c>
      <c r="F32" s="3184" t="s">
        <v>3221</v>
      </c>
      <c r="G32" s="3184" t="s">
        <v>3133</v>
      </c>
      <c r="H32" s="3184" t="s">
        <v>3218</v>
      </c>
      <c r="I32" s="3184">
        <v>14873.48</v>
      </c>
      <c r="J32" s="3184">
        <v>14873.48</v>
      </c>
      <c r="K32" s="3184">
        <v>1291.67</v>
      </c>
      <c r="L32" s="3184">
        <v>0</v>
      </c>
      <c r="M32" s="3184" t="s">
        <v>3222</v>
      </c>
      <c r="N32" s="3184" t="s">
        <v>3144</v>
      </c>
      <c r="O32" s="3258">
        <f t="shared" si="0"/>
        <v>310.00134157443875</v>
      </c>
    </row>
    <row r="33" spans="1:15">
      <c r="A33" s="3184" t="s">
        <v>3223</v>
      </c>
      <c r="B33" s="3184" t="s">
        <v>3131</v>
      </c>
      <c r="C33" s="3184" t="s">
        <v>3035</v>
      </c>
      <c r="D33" s="3184">
        <v>7244</v>
      </c>
      <c r="E33" s="3184">
        <v>17385.599999999999</v>
      </c>
      <c r="F33" s="3184" t="s">
        <v>3224</v>
      </c>
      <c r="G33" s="3184" t="s">
        <v>3133</v>
      </c>
      <c r="H33" s="3184" t="s">
        <v>3225</v>
      </c>
      <c r="I33" s="3184">
        <v>2173.19</v>
      </c>
      <c r="J33" s="3184">
        <v>2173.19</v>
      </c>
      <c r="K33" s="3184">
        <v>1250</v>
      </c>
      <c r="L33" s="3184">
        <v>0</v>
      </c>
      <c r="M33" s="3184" t="s">
        <v>3226</v>
      </c>
      <c r="N33" s="3184" t="s">
        <v>3169</v>
      </c>
      <c r="O33" s="3258">
        <f t="shared" si="0"/>
        <v>200.00007969353948</v>
      </c>
    </row>
    <row r="34" spans="1:15">
      <c r="A34" s="3184" t="s">
        <v>3227</v>
      </c>
      <c r="B34" s="3184" t="s">
        <v>3131</v>
      </c>
      <c r="C34" s="3184" t="s">
        <v>3035</v>
      </c>
      <c r="D34" s="3184">
        <v>21039</v>
      </c>
      <c r="E34" s="3184">
        <v>94675.5</v>
      </c>
      <c r="F34" s="3184" t="s">
        <v>3228</v>
      </c>
      <c r="G34" s="3184" t="s">
        <v>3133</v>
      </c>
      <c r="H34" s="3184" t="s">
        <v>3229</v>
      </c>
      <c r="I34" s="3184">
        <v>5364.94</v>
      </c>
      <c r="J34" s="3184">
        <v>5364.94</v>
      </c>
      <c r="K34" s="3184">
        <v>566.66</v>
      </c>
      <c r="L34" s="3184">
        <v>0</v>
      </c>
      <c r="M34" s="3184" t="s">
        <v>3230</v>
      </c>
      <c r="N34" s="3184" t="s">
        <v>3144</v>
      </c>
      <c r="O34" s="3258">
        <f t="shared" si="0"/>
        <v>170.00069156328721</v>
      </c>
    </row>
    <row r="35" spans="1:15">
      <c r="A35" s="3184" t="s">
        <v>3231</v>
      </c>
      <c r="B35" s="3184" t="s">
        <v>3131</v>
      </c>
      <c r="C35" s="3184" t="s">
        <v>3035</v>
      </c>
      <c r="D35" s="3184">
        <v>5777</v>
      </c>
      <c r="E35" s="3184">
        <v>10398.6</v>
      </c>
      <c r="F35" s="3184">
        <v>1.8</v>
      </c>
      <c r="G35" s="3184" t="s">
        <v>3133</v>
      </c>
      <c r="H35" s="3184" t="s">
        <v>3232</v>
      </c>
      <c r="I35" s="3184">
        <v>953.21</v>
      </c>
      <c r="J35" s="3184">
        <v>953.21</v>
      </c>
      <c r="K35" s="3184">
        <v>916.66</v>
      </c>
      <c r="L35" s="3184">
        <v>0</v>
      </c>
      <c r="M35" s="3184" t="s">
        <v>3226</v>
      </c>
      <c r="N35" s="3184" t="s">
        <v>3144</v>
      </c>
      <c r="O35" s="3258">
        <f t="shared" si="0"/>
        <v>110.0011270036351</v>
      </c>
    </row>
    <row r="36" spans="1:15">
      <c r="A36" s="3184" t="s">
        <v>3231</v>
      </c>
      <c r="B36" s="3184" t="s">
        <v>3131</v>
      </c>
      <c r="C36" s="3184" t="s">
        <v>3035</v>
      </c>
      <c r="D36" s="3184">
        <v>2910</v>
      </c>
      <c r="E36" s="3184">
        <v>6402</v>
      </c>
      <c r="F36" s="3184">
        <v>2.2000000000000002</v>
      </c>
      <c r="G36" s="3184" t="s">
        <v>3133</v>
      </c>
      <c r="H36" s="3184" t="s">
        <v>3232</v>
      </c>
      <c r="I36" s="3184">
        <v>480.14</v>
      </c>
      <c r="J36" s="3184">
        <v>480.14</v>
      </c>
      <c r="K36" s="3184">
        <v>750</v>
      </c>
      <c r="L36" s="3184">
        <v>0</v>
      </c>
      <c r="M36" s="3184" t="s">
        <v>3226</v>
      </c>
      <c r="N36" s="3184" t="s">
        <v>3144</v>
      </c>
      <c r="O36" s="3258">
        <f t="shared" si="0"/>
        <v>109.99825903780069</v>
      </c>
    </row>
    <row r="37" spans="1:15">
      <c r="A37" s="3184" t="s">
        <v>3233</v>
      </c>
      <c r="B37" s="3184" t="s">
        <v>3131</v>
      </c>
      <c r="C37" s="3184" t="s">
        <v>3035</v>
      </c>
      <c r="D37" s="3184">
        <v>2213</v>
      </c>
      <c r="E37" s="3184">
        <v>14605.8</v>
      </c>
      <c r="F37" s="3184">
        <v>6.6</v>
      </c>
      <c r="G37" s="3184" t="s">
        <v>3133</v>
      </c>
      <c r="H37" s="3184" t="s">
        <v>3234</v>
      </c>
      <c r="I37" s="3184" t="s">
        <v>2817</v>
      </c>
      <c r="J37" s="3184">
        <v>624.07000000000005</v>
      </c>
      <c r="K37" s="3184">
        <v>427.27</v>
      </c>
      <c r="L37" s="3184" t="s">
        <v>2817</v>
      </c>
      <c r="M37" s="3184" t="s">
        <v>3235</v>
      </c>
      <c r="N37" s="3184" t="s">
        <v>3169</v>
      </c>
      <c r="O37" s="3258">
        <f t="shared" si="0"/>
        <v>188.00214500677814</v>
      </c>
    </row>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3" t="s">
        <v>2037</v>
      </c>
      <c r="B1" s="3263"/>
      <c r="C1" s="3263"/>
      <c r="D1" s="3263"/>
      <c r="E1" s="3263"/>
      <c r="F1" s="3263"/>
      <c r="G1" s="3263"/>
      <c r="H1" s="3263"/>
      <c r="I1" s="3263"/>
      <c r="J1" s="3263"/>
      <c r="K1" s="3263"/>
      <c r="L1" s="3263"/>
      <c r="M1" s="3263"/>
      <c r="N1" s="3263"/>
      <c r="O1" s="3263"/>
      <c r="P1" s="3263"/>
      <c r="Q1" s="3263"/>
      <c r="R1" s="3263"/>
    </row>
    <row r="2" spans="1:18">
      <c r="A2" s="1789" t="s">
        <v>2039</v>
      </c>
      <c r="B2" s="1789"/>
      <c r="C2" s="1789"/>
      <c r="D2" s="1789"/>
      <c r="E2" s="1789"/>
      <c r="F2" s="1789"/>
      <c r="G2" s="1789"/>
      <c r="H2" s="1789"/>
      <c r="I2" s="1790"/>
      <c r="J2" s="1790"/>
      <c r="K2" s="1791" t="str">
        <f>"估价期日："&amp;TEXT(项目基本情况!D3,"yyyy年m月d日;;")</f>
        <v>估价期日：2019年8月14日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64" t="s">
        <v>2028</v>
      </c>
      <c r="B3" s="3264" t="s">
        <v>2730</v>
      </c>
      <c r="C3" s="3265" t="s">
        <v>2029</v>
      </c>
      <c r="D3" s="3264" t="s">
        <v>2734</v>
      </c>
      <c r="E3" s="3267" t="s">
        <v>2030</v>
      </c>
      <c r="F3" s="3267"/>
      <c r="G3" s="3267"/>
      <c r="H3" s="3267" t="s">
        <v>2031</v>
      </c>
      <c r="I3" s="3267"/>
      <c r="J3" s="3267"/>
      <c r="K3" s="3265" t="s">
        <v>2032</v>
      </c>
      <c r="L3" s="3265" t="s">
        <v>2033</v>
      </c>
      <c r="M3" s="3264" t="s">
        <v>2731</v>
      </c>
      <c r="N3" s="3266" t="str">
        <f>"（分摊）"&amp;项目基本情况!B16&amp;"国有建设用地使用权面积/㎡"</f>
        <v>（分摊）出让国有建设用地使用权面积/㎡</v>
      </c>
      <c r="O3" s="3264" t="s">
        <v>2062</v>
      </c>
      <c r="P3" s="3265" t="s">
        <v>2042</v>
      </c>
      <c r="Q3" s="3265" t="s">
        <v>2063</v>
      </c>
      <c r="R3" s="3265" t="s">
        <v>2034</v>
      </c>
    </row>
    <row r="4" spans="1:18" ht="36.75" customHeight="1">
      <c r="A4" s="3264"/>
      <c r="B4" s="3264"/>
      <c r="C4" s="3265"/>
      <c r="D4" s="3264"/>
      <c r="E4" s="2610" t="s">
        <v>2041</v>
      </c>
      <c r="F4" s="2610" t="s">
        <v>2743</v>
      </c>
      <c r="G4" s="2610" t="s">
        <v>2035</v>
      </c>
      <c r="H4" s="2610" t="s">
        <v>2036</v>
      </c>
      <c r="I4" s="2610" t="s">
        <v>2744</v>
      </c>
      <c r="J4" s="2610" t="s">
        <v>2035</v>
      </c>
      <c r="K4" s="3265"/>
      <c r="L4" s="3265"/>
      <c r="M4" s="3264"/>
      <c r="N4" s="3266"/>
      <c r="O4" s="3264"/>
      <c r="P4" s="3265"/>
      <c r="Q4" s="3265"/>
      <c r="R4" s="3265"/>
    </row>
    <row r="5" spans="1:18" ht="135" customHeight="1">
      <c r="A5" s="1925" t="s">
        <v>2654</v>
      </c>
      <c r="B5" s="2819" t="s">
        <v>2652</v>
      </c>
      <c r="C5" s="2609">
        <v>22</v>
      </c>
      <c r="D5" s="2608" t="s">
        <v>2653</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54446</v>
      </c>
      <c r="O5" s="1792">
        <f>项目基本情况!C21</f>
        <v>163338</v>
      </c>
      <c r="P5" s="1792">
        <f ca="1">结果表!E42</f>
        <v>4635</v>
      </c>
      <c r="Q5" s="1792">
        <f ca="1">结果表!D42</f>
        <v>1545</v>
      </c>
      <c r="R5" s="1793">
        <f ca="1">结果表!C42</f>
        <v>25234</v>
      </c>
    </row>
    <row r="6" spans="1:18">
      <c r="A6" s="3268" t="str">
        <f>IF(项目基本情况!B9="市场价格","——","抵押价格")</f>
        <v>抵押价格</v>
      </c>
      <c r="B6" s="3269"/>
      <c r="C6" s="3269"/>
      <c r="D6" s="3269"/>
      <c r="E6" s="3269"/>
      <c r="F6" s="3269"/>
      <c r="G6" s="3269"/>
      <c r="H6" s="3269"/>
      <c r="I6" s="3269"/>
      <c r="J6" s="3269"/>
      <c r="K6" s="3269"/>
      <c r="L6" s="3269"/>
      <c r="M6" s="3269"/>
      <c r="N6" s="3269"/>
      <c r="O6" s="3269"/>
      <c r="P6" s="3269"/>
      <c r="Q6" s="3270"/>
      <c r="R6" s="1794">
        <f ca="1">结果表!O39</f>
        <v>25234</v>
      </c>
    </row>
    <row r="7" spans="1:18">
      <c r="A7" s="3268" t="str">
        <f>IF(项目基本情况!B9="市场价格","——",IF(项目基本情况!E8="已注销及未注销","抵押担保权已注销时的抵押价格","——"))</f>
        <v>——</v>
      </c>
      <c r="B7" s="3269"/>
      <c r="C7" s="3269"/>
      <c r="D7" s="3269"/>
      <c r="E7" s="3269"/>
      <c r="F7" s="3269"/>
      <c r="G7" s="3269"/>
      <c r="H7" s="3269"/>
      <c r="I7" s="3269"/>
      <c r="J7" s="3269"/>
      <c r="K7" s="3269"/>
      <c r="L7" s="3269"/>
      <c r="M7" s="3269"/>
      <c r="N7" s="3269"/>
      <c r="O7" s="3269"/>
      <c r="P7" s="3269"/>
      <c r="Q7" s="3270"/>
      <c r="R7" s="1794" t="str">
        <f>结果表!O40</f>
        <v>——</v>
      </c>
    </row>
    <row r="8" spans="1:18">
      <c r="A8" s="3268">
        <f>IF(项目基本情况!B9="市场价格","——",项目基本情况!E9)</f>
        <v>0</v>
      </c>
      <c r="B8" s="3269"/>
      <c r="C8" s="3269"/>
      <c r="D8" s="3269"/>
      <c r="E8" s="3269"/>
      <c r="F8" s="3269"/>
      <c r="G8" s="3269"/>
      <c r="H8" s="3269"/>
      <c r="I8" s="3269"/>
      <c r="J8" s="3269"/>
      <c r="K8" s="3269"/>
      <c r="L8" s="3269"/>
      <c r="M8" s="3269"/>
      <c r="N8" s="3269"/>
      <c r="O8" s="3269"/>
      <c r="P8" s="3269"/>
      <c r="Q8" s="3270"/>
      <c r="R8" s="1794" t="str">
        <f>结果表!O41</f>
        <v>——</v>
      </c>
    </row>
    <row r="9" spans="1:18">
      <c r="A9" s="1795" t="s">
        <v>2040</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2027</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72" t="s">
        <v>2064</v>
      </c>
      <c r="B1" s="3272"/>
      <c r="C1" s="3272"/>
      <c r="D1" s="3272"/>
    </row>
    <row r="2" spans="1:4" ht="47.25" customHeight="1">
      <c r="A2" s="3273" t="str">
        <f>"1.权利限制："&amp;项目基本情况!L24&amp;"未设定租赁等其他他项权利。"</f>
        <v>1.权利限制：根据估价对象《不动产权证书》原件、《国有土地使用权》复印件，截至估价期日，估价对象抵押权未见登记。未设定租赁等其他他项权利。</v>
      </c>
      <c r="B2" s="3273"/>
      <c r="C2" s="3273"/>
      <c r="D2" s="3273"/>
    </row>
    <row r="3" spans="1:4" ht="48" customHeight="1">
      <c r="A3" s="32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2"/>
      <c r="C3" s="3272"/>
      <c r="D3" s="3272"/>
    </row>
    <row r="4" spans="1:4" ht="36.75" customHeight="1">
      <c r="A4" s="3272" t="str">
        <f>"3.估价规划限制条件：详见"&amp;项目基本情况!E21&amp;"。"</f>
        <v>3.估价规划限制条件：详见《建设工程规划许可证》[]、《出让合同》[]。</v>
      </c>
      <c r="B4" s="3272"/>
      <c r="C4" s="3272"/>
      <c r="D4" s="3272"/>
    </row>
    <row r="5" spans="1:4">
      <c r="A5" s="3271" t="s">
        <v>2065</v>
      </c>
      <c r="B5" s="3271"/>
      <c r="C5" s="3271"/>
      <c r="D5" s="3271"/>
    </row>
    <row r="6" spans="1:4">
      <c r="A6" s="3272" t="s">
        <v>2043</v>
      </c>
      <c r="B6" s="3272"/>
      <c r="C6" s="3272"/>
      <c r="D6" s="3272"/>
    </row>
    <row r="7" spans="1:4" ht="33" customHeight="1">
      <c r="A7" s="3272" t="s">
        <v>2574</v>
      </c>
      <c r="B7" s="3272"/>
      <c r="C7" s="3272"/>
      <c r="D7" s="3272"/>
    </row>
    <row r="8" spans="1:4" ht="32.25" customHeight="1">
      <c r="A8" s="32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2"/>
      <c r="C8" s="3272"/>
      <c r="D8" s="3272"/>
    </row>
    <row r="9" spans="1:4" ht="33.75" customHeight="1">
      <c r="A9" s="32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2"/>
      <c r="C9" s="3272"/>
      <c r="D9" s="3272"/>
    </row>
    <row r="10" spans="1:4">
      <c r="A10" s="3272" t="str">
        <f>IF(项目基本情况!B8="抵押","4.估价师所知悉的法定优先受偿款情况为：","——")</f>
        <v>4.估价师所知悉的法定优先受偿款情况为：</v>
      </c>
      <c r="B10" s="3272"/>
      <c r="C10" s="3272"/>
      <c r="D10" s="3272"/>
    </row>
    <row r="11" spans="1:4" ht="37.5" customHeight="1">
      <c r="A11" s="32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4"/>
      <c r="C11" s="3274"/>
      <c r="D11" s="3274"/>
    </row>
    <row r="12" spans="1:4" ht="168" customHeight="1">
      <c r="A12" s="3271" t="s">
        <v>2067</v>
      </c>
      <c r="B12" s="3271"/>
      <c r="C12" s="3271"/>
      <c r="D12" s="3271"/>
    </row>
    <row r="13" spans="1:4">
      <c r="A13" s="3275" t="s">
        <v>2745</v>
      </c>
      <c r="B13" s="3275"/>
      <c r="C13" s="3275"/>
      <c r="D13" s="3275"/>
    </row>
    <row r="14" spans="1:4">
      <c r="A14" s="3274" t="str">
        <f>IF(项目基本情况!B8="抵押","综上，"&amp;结果表!K47,"——")</f>
        <v>综上，本次评估不存在估价师知悉的法定优先受偿款</v>
      </c>
      <c r="B14" s="3274"/>
      <c r="C14" s="3274"/>
      <c r="D14" s="3274"/>
    </row>
    <row r="15" spans="1:4" ht="58.5" customHeight="1">
      <c r="A15" s="32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2"/>
      <c r="C15" s="3272"/>
      <c r="D15" s="3272"/>
    </row>
    <row r="16" spans="1:4" ht="70.5" customHeight="1">
      <c r="A16" s="32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2"/>
      <c r="C16" s="3272"/>
      <c r="D16" s="3272"/>
    </row>
    <row r="17" spans="1:4">
      <c r="A17" s="3272" t="s">
        <v>2701</v>
      </c>
      <c r="B17" s="3272"/>
      <c r="C17" s="3272"/>
      <c r="D17" s="3272"/>
    </row>
    <row r="18" spans="1:4">
      <c r="A18" s="3272" t="s">
        <v>2693</v>
      </c>
      <c r="B18" s="3272"/>
      <c r="C18" s="3272"/>
      <c r="D18" s="3272"/>
    </row>
    <row r="19" spans="1:4">
      <c r="A19" s="2820" t="s">
        <v>2694</v>
      </c>
      <c r="B19" s="2820" t="s">
        <v>2695</v>
      </c>
      <c r="C19" s="2820" t="s">
        <v>2696</v>
      </c>
      <c r="D19" s="2820" t="s">
        <v>2697</v>
      </c>
    </row>
    <row r="20" spans="1:4">
      <c r="A20" s="2820" t="str">
        <f>项目基本情况!B4</f>
        <v>王鹏</v>
      </c>
      <c r="B20" s="2820">
        <f ca="1">项目基本情况!C4</f>
        <v>2002110030</v>
      </c>
      <c r="C20" s="2822"/>
      <c r="D20" s="1782" t="s">
        <v>2702</v>
      </c>
    </row>
    <row r="21" spans="1:4">
      <c r="A21" s="2820" t="str">
        <f>项目基本情况!D4</f>
        <v>郑燚</v>
      </c>
      <c r="B21" s="2820">
        <f ca="1">项目基本情况!E4</f>
        <v>2014110011</v>
      </c>
      <c r="C21" s="2822"/>
      <c r="D21" s="1782" t="s">
        <v>2703</v>
      </c>
    </row>
    <row r="23" spans="1:4">
      <c r="A23" s="3272" t="s">
        <v>2698</v>
      </c>
      <c r="B23" s="3272"/>
      <c r="C23" s="3272"/>
      <c r="D23" s="3272"/>
    </row>
    <row r="24" spans="1:4">
      <c r="A24" s="2820" t="s">
        <v>2694</v>
      </c>
      <c r="B24" s="2820" t="s">
        <v>2699</v>
      </c>
      <c r="C24" s="2820" t="s">
        <v>2696</v>
      </c>
      <c r="D24" s="2820" t="s">
        <v>2697</v>
      </c>
    </row>
    <row r="25" spans="1:4">
      <c r="A25" s="2823" t="s">
        <v>2700</v>
      </c>
      <c r="B25" s="2820" t="s">
        <v>951</v>
      </c>
      <c r="C25" s="2822"/>
      <c r="D25" s="1782" t="s">
        <v>2703</v>
      </c>
    </row>
    <row r="29" spans="1:4">
      <c r="D29" s="2821" t="s">
        <v>2038</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83" t="s">
        <v>53</v>
      </c>
      <c r="B15" s="3284" t="s">
        <v>845</v>
      </c>
      <c r="C15" s="3280"/>
    </row>
    <row r="16" spans="1:7" ht="14.25">
      <c r="A16" s="3283"/>
      <c r="B16" s="3281" t="s">
        <v>54</v>
      </c>
      <c r="C16" s="1165" t="s">
        <v>53</v>
      </c>
    </row>
    <row r="17" spans="1:3" ht="14.25">
      <c r="A17" s="3283"/>
      <c r="B17" s="3281"/>
      <c r="C17" s="1165" t="s">
        <v>55</v>
      </c>
    </row>
    <row r="18" spans="1:3" ht="14.25">
      <c r="A18" s="3283"/>
      <c r="B18" s="3281"/>
      <c r="C18" s="1165" t="s">
        <v>56</v>
      </c>
    </row>
    <row r="19" spans="1:3" ht="14.25">
      <c r="A19" s="3283"/>
      <c r="B19" s="3279" t="s">
        <v>57</v>
      </c>
      <c r="C19" s="3280"/>
    </row>
    <row r="20" spans="1:3" ht="14.25">
      <c r="A20" s="1166" t="s">
        <v>58</v>
      </c>
      <c r="B20" s="1167"/>
      <c r="C20" s="1168"/>
    </row>
    <row r="21" spans="1:3" ht="14.25">
      <c r="A21" s="3282" t="s">
        <v>59</v>
      </c>
      <c r="B21" s="3279" t="s">
        <v>60</v>
      </c>
      <c r="C21" s="3280"/>
    </row>
    <row r="22" spans="1:3" ht="14.25">
      <c r="A22" s="3282"/>
      <c r="B22" s="3279" t="s">
        <v>61</v>
      </c>
      <c r="C22" s="3280"/>
    </row>
    <row r="23" spans="1:3" ht="14.25">
      <c r="A23" s="3282"/>
      <c r="B23" s="3279" t="s">
        <v>62</v>
      </c>
      <c r="C23" s="3280"/>
    </row>
    <row r="24" spans="1:3" ht="14.25">
      <c r="A24" s="3282"/>
      <c r="B24" s="3285" t="s">
        <v>63</v>
      </c>
      <c r="C24" s="1169" t="s">
        <v>836</v>
      </c>
    </row>
    <row r="25" spans="1:3" ht="14.25">
      <c r="A25" s="3282"/>
      <c r="B25" s="3286"/>
      <c r="C25" s="1169" t="s">
        <v>837</v>
      </c>
    </row>
    <row r="26" spans="1:3" ht="14.25">
      <c r="A26" s="3282"/>
      <c r="B26" s="3286"/>
      <c r="C26" s="1169" t="s">
        <v>838</v>
      </c>
    </row>
    <row r="27" spans="1:3" ht="14.25">
      <c r="A27" s="3282"/>
      <c r="B27" s="3286"/>
      <c r="C27" s="1169" t="s">
        <v>839</v>
      </c>
    </row>
    <row r="28" spans="1:3" ht="14.25">
      <c r="A28" s="3282"/>
      <c r="B28" s="3286"/>
      <c r="C28" s="1169" t="s">
        <v>840</v>
      </c>
    </row>
    <row r="29" spans="1:3" ht="14.25">
      <c r="A29" s="3282"/>
      <c r="B29" s="3286"/>
      <c r="C29" s="1169" t="s">
        <v>841</v>
      </c>
    </row>
    <row r="30" spans="1:3" ht="14.25">
      <c r="A30" s="3282"/>
      <c r="B30" s="3286"/>
      <c r="C30" s="1169" t="s">
        <v>842</v>
      </c>
    </row>
    <row r="31" spans="1:3" ht="14.25">
      <c r="A31" s="3282"/>
      <c r="B31" s="3286"/>
      <c r="C31" s="1169" t="s">
        <v>843</v>
      </c>
    </row>
    <row r="32" spans="1:3" ht="14.25">
      <c r="A32" s="3282"/>
      <c r="B32" s="3286"/>
      <c r="C32" s="1169" t="s">
        <v>1645</v>
      </c>
    </row>
    <row r="33" spans="1:3" ht="14.25">
      <c r="A33" s="3282"/>
      <c r="B33" s="3276" t="s">
        <v>1651</v>
      </c>
      <c r="C33" s="1169" t="s">
        <v>1646</v>
      </c>
    </row>
    <row r="34" spans="1:3" ht="14.25">
      <c r="A34" s="3282"/>
      <c r="B34" s="3277"/>
      <c r="C34" s="1174" t="s">
        <v>1647</v>
      </c>
    </row>
    <row r="35" spans="1:3" ht="14.25">
      <c r="A35" s="3282"/>
      <c r="B35" s="3277"/>
      <c r="C35" s="1175" t="s">
        <v>1648</v>
      </c>
    </row>
    <row r="36" spans="1:3" ht="14.25">
      <c r="A36" s="3282"/>
      <c r="B36" s="3277"/>
      <c r="C36" s="1175" t="s">
        <v>1649</v>
      </c>
    </row>
    <row r="37" spans="1:3" ht="14.25">
      <c r="A37" s="3282"/>
      <c r="B37" s="3278"/>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1906</v>
      </c>
      <c r="B2" s="3124">
        <f ca="1">TODAY()</f>
        <v>43710</v>
      </c>
      <c r="C2" s="3125" t="s">
        <v>1907</v>
      </c>
      <c r="D2" s="3125"/>
    </row>
    <row r="3" spans="1:6" ht="20.25" customHeight="1">
      <c r="A3" s="3127" t="s">
        <v>1908</v>
      </c>
      <c r="B3" s="3128" t="s">
        <v>1909</v>
      </c>
      <c r="C3" s="3128" t="s">
        <v>1910</v>
      </c>
      <c r="D3" s="3129" t="s">
        <v>1911</v>
      </c>
      <c r="E3" s="3128" t="s">
        <v>1912</v>
      </c>
      <c r="F3" s="3128" t="s">
        <v>1910</v>
      </c>
    </row>
    <row r="4" spans="1:6" ht="20.25" customHeight="1">
      <c r="A4" s="3128" t="s">
        <v>1913</v>
      </c>
      <c r="B4" s="3128">
        <f ca="1">IF(C4&lt;B2,"已过期",1119970066)</f>
        <v>1119970066</v>
      </c>
      <c r="C4" s="3130">
        <v>43849</v>
      </c>
      <c r="D4" s="3128" t="s">
        <v>1913</v>
      </c>
      <c r="E4" s="3128">
        <f ca="1">IF(F4&lt;B2,"已过期",96010014)</f>
        <v>96010014</v>
      </c>
      <c r="F4" s="3131">
        <v>47118</v>
      </c>
    </row>
    <row r="5" spans="1:6" ht="20.25" customHeight="1">
      <c r="A5" s="3128" t="s">
        <v>1914</v>
      </c>
      <c r="B5" s="3128">
        <f ca="1">IF(C5&lt;B2,"已过期",1119970074)</f>
        <v>1119970074</v>
      </c>
      <c r="C5" s="3130">
        <v>43849</v>
      </c>
      <c r="D5" s="3128" t="s">
        <v>1914</v>
      </c>
      <c r="E5" s="3128">
        <f ca="1">IF(F5&lt;B2,"已过期",2002110027)</f>
        <v>2002110027</v>
      </c>
      <c r="F5" s="3131">
        <v>46752</v>
      </c>
    </row>
    <row r="6" spans="1:6" ht="20.25" customHeight="1">
      <c r="A6" s="3128" t="s">
        <v>1915</v>
      </c>
      <c r="B6" s="3128">
        <f ca="1">IF(C6&lt;B2,"已过期",1119970111)</f>
        <v>1119970111</v>
      </c>
      <c r="C6" s="3130">
        <v>43849</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43849</v>
      </c>
      <c r="D8" s="3128" t="s">
        <v>1917</v>
      </c>
      <c r="E8" s="3128">
        <f ca="1">IF(F8&lt;B2,"已过期",2000110082)</f>
        <v>2000110082</v>
      </c>
      <c r="F8" s="3131">
        <v>46387</v>
      </c>
    </row>
    <row r="9" spans="1:6" ht="20.25" customHeight="1">
      <c r="A9" s="3128" t="s">
        <v>1918</v>
      </c>
      <c r="B9" s="3128">
        <f ca="1">IF(C9&lt;B2,"已过期",1419970001)</f>
        <v>1419970001</v>
      </c>
      <c r="C9" s="3130">
        <v>43867</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43814</v>
      </c>
      <c r="D13" s="3128" t="s">
        <v>1921</v>
      </c>
      <c r="E13" s="3128">
        <f ca="1">IF(F13&lt;B2,"已过期",2014110011)</f>
        <v>2014110011</v>
      </c>
      <c r="F13" s="3131">
        <v>49302</v>
      </c>
    </row>
    <row r="14" spans="1:6" ht="20.25" customHeight="1">
      <c r="A14" s="3128" t="s">
        <v>2978</v>
      </c>
      <c r="B14" s="3128">
        <f ca="1">IF(C14&lt;B2,"已过期",1120040230)</f>
        <v>1120040230</v>
      </c>
      <c r="C14" s="3132">
        <v>43835</v>
      </c>
      <c r="D14" s="3133" t="s">
        <v>2979</v>
      </c>
      <c r="E14" s="3128">
        <f ca="1">IF(F14&lt;B2,"已过期",98030020)</f>
        <v>98030020</v>
      </c>
      <c r="F14" s="3131">
        <v>47118</v>
      </c>
    </row>
    <row r="15" spans="1:6" ht="20.25" customHeight="1">
      <c r="A15" s="3128" t="s">
        <v>2573</v>
      </c>
      <c r="B15" s="3128">
        <f ca="1">IF(C15&lt;B2,"已过期",1120070085)</f>
        <v>1120070085</v>
      </c>
      <c r="C15" s="3132">
        <v>43814</v>
      </c>
      <c r="D15" s="3128" t="s">
        <v>2980</v>
      </c>
      <c r="E15" s="3128">
        <f ca="1">IF(F15&lt;B2,"已过期",2004110128)</f>
        <v>2004110128</v>
      </c>
      <c r="F15" s="3134">
        <v>47118</v>
      </c>
    </row>
    <row r="16" spans="1:6" ht="20.25" customHeight="1">
      <c r="A16" s="3128" t="s">
        <v>1922</v>
      </c>
      <c r="B16" s="3128">
        <f ca="1">IF(C16&lt;B2,"已过期",1120140022)</f>
        <v>1120140022</v>
      </c>
      <c r="C16" s="3130">
        <v>44029</v>
      </c>
      <c r="D16" s="3128" t="s">
        <v>2981</v>
      </c>
      <c r="E16" s="3128">
        <f ca="1">IF(F16&lt;B2,"已过期",2008110059)</f>
        <v>2008110059</v>
      </c>
      <c r="F16" s="3131">
        <v>47177</v>
      </c>
    </row>
    <row r="17" spans="1:7" ht="20.25" customHeight="1">
      <c r="A17" s="3128"/>
      <c r="B17" s="3128"/>
      <c r="C17" s="3130"/>
      <c r="D17" s="3133" t="s">
        <v>2982</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1923</v>
      </c>
      <c r="E21" s="3128">
        <f ca="1">IF(F21&lt;B2,"已过期",2011110090)</f>
        <v>2011110090</v>
      </c>
      <c r="F21" s="3131">
        <v>48302</v>
      </c>
    </row>
    <row r="22" spans="1:7" ht="20.25" customHeight="1">
      <c r="A22" s="3128" t="s">
        <v>1924</v>
      </c>
      <c r="B22" s="3128">
        <f ca="1">IF(C22&lt;B2,"已过期",1120020033)</f>
        <v>1120020033</v>
      </c>
      <c r="C22" s="3130">
        <v>44339</v>
      </c>
      <c r="D22" s="3128" t="s">
        <v>1924</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2052</v>
      </c>
      <c r="B24" s="3127" t="s">
        <v>2052</v>
      </c>
      <c r="C24" s="3130"/>
      <c r="D24" s="3135" t="s">
        <v>2052</v>
      </c>
      <c r="E24" s="3127" t="s">
        <v>2052</v>
      </c>
      <c r="F24" s="3134"/>
    </row>
    <row r="25" spans="1:7" ht="20.25" customHeight="1">
      <c r="A25" s="3287" t="s">
        <v>1925</v>
      </c>
      <c r="B25" s="3287"/>
      <c r="C25" s="3287"/>
      <c r="D25" s="3287"/>
      <c r="E25" s="3287"/>
      <c r="F25" s="3287"/>
      <c r="G25" s="3287"/>
    </row>
    <row r="26" spans="1:7" ht="20.25" customHeight="1">
      <c r="A26" s="3288" t="s">
        <v>1926</v>
      </c>
      <c r="B26" s="3288"/>
      <c r="C26" s="3288"/>
      <c r="D26" s="3288" t="s">
        <v>1927</v>
      </c>
      <c r="E26" s="3288"/>
      <c r="F26" s="3288"/>
    </row>
    <row r="27" spans="1:7" s="3123" customFormat="1" ht="20.25" customHeight="1">
      <c r="A27" s="3137" t="s">
        <v>1928</v>
      </c>
      <c r="B27" s="3138" t="s">
        <v>1929</v>
      </c>
      <c r="C27" s="3138" t="s">
        <v>1930</v>
      </c>
      <c r="D27" s="3128" t="s">
        <v>1928</v>
      </c>
      <c r="E27" s="3138" t="s">
        <v>1929</v>
      </c>
      <c r="F27" s="3138" t="s">
        <v>1930</v>
      </c>
    </row>
    <row r="28" spans="1:7" s="3123" customFormat="1" ht="20.25" customHeight="1">
      <c r="A28" s="3139" t="s">
        <v>1931</v>
      </c>
      <c r="B28" s="3139" t="s">
        <v>1932</v>
      </c>
      <c r="C28" s="3131">
        <v>43725</v>
      </c>
      <c r="D28" s="3139" t="s">
        <v>1933</v>
      </c>
      <c r="E28" s="3139" t="s">
        <v>1934</v>
      </c>
      <c r="F28" s="3140">
        <v>44377</v>
      </c>
    </row>
    <row r="29" spans="1:7" s="3123" customFormat="1" ht="20.25" customHeight="1">
      <c r="A29" s="3139"/>
      <c r="B29" s="3139"/>
      <c r="C29" s="3141"/>
      <c r="D29" s="3139" t="s">
        <v>1935</v>
      </c>
      <c r="E29" s="3139" t="s">
        <v>2990</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2544</v>
      </c>
      <c r="R1" s="2543" t="s">
        <v>2538</v>
      </c>
      <c r="S1" s="6" t="s">
        <v>146</v>
      </c>
      <c r="T1" s="7" t="s">
        <v>147</v>
      </c>
      <c r="U1" s="6" t="s">
        <v>148</v>
      </c>
      <c r="V1" s="6" t="s">
        <v>149</v>
      </c>
      <c r="W1" s="1001"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61" t="s">
        <v>2952</v>
      </c>
      <c r="C18" s="1537"/>
    </row>
    <row r="19" spans="1:3">
      <c r="A19" s="8" t="s">
        <v>120</v>
      </c>
      <c r="B19" s="3061" t="s">
        <v>2960</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89"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14日，在规划利用条件下、设定土地开发程度为红线外“七通”、宗地内场地，设定用途为，剩余土地使用年限为的出让国有建设用地使用权价格。</v>
      </c>
      <c r="D53" s="1749"/>
      <c r="E53" s="1749"/>
    </row>
    <row r="54" spans="1:5">
      <c r="A54" s="3289"/>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89"/>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89"/>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89"/>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2048</v>
      </c>
      <c r="B58" s="1748"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年期修正系数</vt:lpstr>
      <vt:lpstr>剩余法-待开发</vt:lpstr>
      <vt:lpstr>不动产收益法</vt:lpstr>
      <vt:lpstr>典型户型修正</vt:lpstr>
      <vt:lpstr>存贷款利率</vt:lpstr>
      <vt:lpstr>土地案例</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2017-03-09T08:11:21Z</cp:lastPrinted>
  <dcterms:created xsi:type="dcterms:W3CDTF">2015-07-13T07:17:23Z</dcterms:created>
  <dcterms:modified xsi:type="dcterms:W3CDTF">2019-09-02T03:31:12Z</dcterms:modified>
</cp:coreProperties>
</file>