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CE544A88-DE73-4FDB-B2E5-339D3EB78295}" xr6:coauthVersionLast="47" xr6:coauthVersionMax="47" xr10:uidLastSave="{00000000-0000-0000-0000-000000000000}"/>
  <bookViews>
    <workbookView xWindow="-120" yWindow="-120" windowWidth="19440" windowHeight="15000" tabRatio="885" firstSheet="8" activeTab="3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r:id="rId17"/>
    <sheet name="假设开发法" sheetId="12" state="hidden" r:id="rId18"/>
    <sheet name="收益法-酒店模型" sheetId="63" state="hidden" r:id="rId19"/>
    <sheet name="基准地价修正" sheetId="43" r:id="rId20"/>
    <sheet name="比较法-住宅" sheetId="21" state="hidden" r:id="rId21"/>
    <sheet name="比较法-商业" sheetId="33" r:id="rId22"/>
    <sheet name="收益法" sheetId="15"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r:id="rId38"/>
    <sheet name="Sheet1" sheetId="72" r:id="rId39"/>
  </sheets>
  <externalReferences>
    <externalReference r:id="rId40"/>
  </externalReferences>
  <definedNames>
    <definedName name="_xlnm._FilterDatabase" localSheetId="23"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6" i="11" l="1"/>
  <c r="H116" i="72"/>
  <c r="G116" i="72"/>
  <c r="H115" i="72"/>
  <c r="G115" i="72"/>
  <c r="H114" i="72"/>
  <c r="G114" i="72"/>
  <c r="H113" i="72"/>
  <c r="G113" i="72"/>
  <c r="H109" i="72"/>
  <c r="G109" i="72"/>
  <c r="H108" i="72"/>
  <c r="G108" i="72"/>
  <c r="H107" i="72"/>
  <c r="G107" i="72"/>
  <c r="G106" i="72"/>
  <c r="H106" i="72"/>
  <c r="B30" i="1" l="1"/>
  <c r="D29" i="43" l="1"/>
  <c r="D38" i="43"/>
  <c r="F20" i="1"/>
  <c r="E20" i="1" s="1"/>
  <c r="E93" i="33" l="1"/>
  <c r="C33" i="33" l="1"/>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J31" i="65" s="1"/>
  <c r="AC31" i="65" s="1"/>
  <c r="B95" i="65"/>
  <c r="B93" i="65"/>
  <c r="J29" i="65" s="1"/>
  <c r="AC29" i="65" s="1"/>
  <c r="D92" i="65"/>
  <c r="E92" i="65" s="1"/>
  <c r="F92" i="65" s="1"/>
  <c r="G92" i="65" s="1"/>
  <c r="H92" i="65" s="1"/>
  <c r="I92" i="65" s="1"/>
  <c r="J92" i="65" s="1"/>
  <c r="K92" i="65" s="1"/>
  <c r="L92" i="65" s="1"/>
  <c r="M92" i="65" s="1"/>
  <c r="B91" i="65"/>
  <c r="J28" i="65" s="1"/>
  <c r="AC28" i="65" s="1"/>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H14" i="65" s="1"/>
  <c r="AB14" i="65" s="1"/>
  <c r="B73" i="65"/>
  <c r="B71" i="65"/>
  <c r="H12" i="65" s="1"/>
  <c r="AB12" i="65" s="1"/>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H9" i="65" s="1"/>
  <c r="AB9" i="65" s="1"/>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H31" i="65"/>
  <c r="AB31" i="65" s="1"/>
  <c r="Q30" i="65"/>
  <c r="Z30" i="65" s="1"/>
  <c r="J30" i="65"/>
  <c r="AC30" i="65" s="1"/>
  <c r="H30" i="65"/>
  <c r="AB30" i="65" s="1"/>
  <c r="F30" i="65"/>
  <c r="AA30" i="65" s="1"/>
  <c r="Q29" i="65"/>
  <c r="Z29" i="65" s="1"/>
  <c r="H29" i="65"/>
  <c r="AB29" i="65" s="1"/>
  <c r="Q28" i="65"/>
  <c r="Z28" i="65" s="1"/>
  <c r="H28" i="65"/>
  <c r="AB28" i="65" s="1"/>
  <c r="Q27" i="65"/>
  <c r="Z27" i="65" s="1"/>
  <c r="F27" i="65"/>
  <c r="AA27" i="65" s="1"/>
  <c r="Q25" i="65"/>
  <c r="Z25" i="65" s="1"/>
  <c r="J25" i="65"/>
  <c r="AC25" i="65" s="1"/>
  <c r="H25" i="65"/>
  <c r="AB25" i="65" s="1"/>
  <c r="F25" i="65"/>
  <c r="AA25" i="65" s="1"/>
  <c r="Q23" i="65"/>
  <c r="Z23" i="65" s="1"/>
  <c r="J23" i="65"/>
  <c r="AC23" i="65" s="1"/>
  <c r="F23" i="65"/>
  <c r="AA23" i="65" s="1"/>
  <c r="C23" i="65"/>
  <c r="Q21" i="65"/>
  <c r="Z21" i="65" s="1"/>
  <c r="J21" i="65"/>
  <c r="H21" i="65"/>
  <c r="AB21" i="65" s="1"/>
  <c r="F21" i="65"/>
  <c r="AA21" i="65" s="1"/>
  <c r="C21" i="65"/>
  <c r="Q19" i="65"/>
  <c r="Z19" i="65" s="1"/>
  <c r="J19" i="65"/>
  <c r="W19" i="65" s="1"/>
  <c r="F19" i="65"/>
  <c r="AA19" i="65" s="1"/>
  <c r="C19" i="65"/>
  <c r="Q17" i="65"/>
  <c r="Z17" i="65" s="1"/>
  <c r="C17" i="65"/>
  <c r="Q15" i="65"/>
  <c r="Z15" i="65" s="1"/>
  <c r="C15" i="65"/>
  <c r="Q14" i="65"/>
  <c r="Z14" i="65" s="1"/>
  <c r="J14" i="65"/>
  <c r="AC14" i="65" s="1"/>
  <c r="F14" i="65"/>
  <c r="AA14" i="65" s="1"/>
  <c r="Q13" i="65"/>
  <c r="Z13" i="65" s="1"/>
  <c r="J13" i="65"/>
  <c r="AC13" i="65" s="1"/>
  <c r="H13" i="65"/>
  <c r="AB13" i="65" s="1"/>
  <c r="F13" i="65"/>
  <c r="AA13" i="65" s="1"/>
  <c r="Q12" i="65"/>
  <c r="Z12" i="65" s="1"/>
  <c r="J12" i="65"/>
  <c r="AC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F9" i="65"/>
  <c r="AA9" i="65" s="1"/>
  <c r="J8" i="65"/>
  <c r="W8" i="65" s="1"/>
  <c r="H8" i="65"/>
  <c r="AB8" i="65" s="1"/>
  <c r="F8" i="65"/>
  <c r="S8" i="65" s="1"/>
  <c r="C2" i="65"/>
  <c r="E2" i="65"/>
  <c r="J17" i="65" l="1"/>
  <c r="AC17" i="65" s="1"/>
  <c r="H19" i="65"/>
  <c r="AB19" i="65" s="1"/>
  <c r="H23" i="65"/>
  <c r="AB23" i="65" s="1"/>
  <c r="J27" i="65"/>
  <c r="AC27" i="65" s="1"/>
  <c r="F28" i="65"/>
  <c r="AA28" i="65" s="1"/>
  <c r="F29" i="65"/>
  <c r="AA29" i="65" s="1"/>
  <c r="F31" i="65"/>
  <c r="AA31" i="65" s="1"/>
  <c r="F41" i="65"/>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U28"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9" i="65"/>
  <c r="S29" i="65"/>
  <c r="W27" i="65"/>
  <c r="U17" i="65"/>
  <c r="AB46" i="65"/>
  <c r="C37" i="65"/>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J37" i="65" l="1"/>
  <c r="F37" i="65"/>
  <c r="H37" i="65"/>
  <c r="R14" i="63"/>
  <c r="R24" i="63" s="1"/>
  <c r="E23" i="63"/>
  <c r="D26" i="63"/>
  <c r="C29" i="63"/>
  <c r="C32" i="63" s="1"/>
  <c r="C38" i="63" s="1"/>
  <c r="C39" i="63" s="1"/>
  <c r="R35" i="63"/>
  <c r="U34" i="63" s="1"/>
  <c r="D29" i="63"/>
  <c r="AH5" i="59"/>
  <c r="AG5" i="59"/>
  <c r="AE5" i="59"/>
  <c r="AF5" i="59" s="1"/>
  <c r="AD5" i="59"/>
  <c r="Q5" i="59"/>
  <c r="P5" i="59"/>
  <c r="O5" i="59"/>
  <c r="N5" i="59"/>
  <c r="D32" i="63" l="1"/>
  <c r="AA37" i="65"/>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B24" i="1"/>
  <c r="J50" i="15"/>
  <c r="J51" i="15"/>
  <c r="B26" i="1"/>
  <c r="AH19" i="59"/>
  <c r="AG19" i="59"/>
  <c r="AE19" i="59"/>
  <c r="AF19" i="59" s="1"/>
  <c r="AD19" i="59"/>
  <c r="AH20" i="59"/>
  <c r="AG20" i="59"/>
  <c r="AE20" i="59"/>
  <c r="AF20" i="59"/>
  <c r="AD20" i="59"/>
  <c r="Q20" i="59"/>
  <c r="F20" i="59" s="1"/>
  <c r="V20" i="59" s="1"/>
  <c r="P20" i="59"/>
  <c r="O20" i="59"/>
  <c r="N20" i="59"/>
  <c r="Q21" i="59"/>
  <c r="P21" i="59"/>
  <c r="O21" i="59"/>
  <c r="N21" i="59"/>
  <c r="D21" i="59"/>
  <c r="E20" i="59"/>
  <c r="F19" i="59"/>
  <c r="A2" i="50"/>
  <c r="B16" i="60" s="1"/>
  <c r="K60"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Y21" i="59" s="1"/>
  <c r="Z21" i="59" s="1"/>
  <c r="P23" i="59"/>
  <c r="Q23" i="59"/>
  <c r="N23"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I9" i="43"/>
  <c r="AI12" i="43" s="1"/>
  <c r="AH9" i="43"/>
  <c r="AH12" i="43" s="1"/>
  <c r="AG9" i="43"/>
  <c r="AF9" i="43"/>
  <c r="AE9" i="43"/>
  <c r="AE12" i="43" s="1"/>
  <c r="AD9" i="43"/>
  <c r="AD12" i="43" s="1"/>
  <c r="AC9" i="43"/>
  <c r="AB9" i="43"/>
  <c r="AA9" i="43"/>
  <c r="AA12" i="43" s="1"/>
  <c r="Z9" i="43"/>
  <c r="AA10" i="43"/>
  <c r="AI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s="1"/>
  <c r="B84" i="59"/>
  <c r="F83" i="59"/>
  <c r="F82" i="59" s="1"/>
  <c r="B83" i="59"/>
  <c r="B82" i="59" s="1"/>
  <c r="D81" i="59"/>
  <c r="F80" i="59"/>
  <c r="F79" i="59" s="1"/>
  <c r="F78" i="59" s="1"/>
  <c r="E80" i="59"/>
  <c r="E79" i="59" s="1"/>
  <c r="E78" i="59" s="1"/>
  <c r="C80" i="59"/>
  <c r="B80" i="59"/>
  <c r="B79" i="59" s="1"/>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E72" i="59"/>
  <c r="U72" i="59" s="1"/>
  <c r="C72" i="59"/>
  <c r="B72" i="59"/>
  <c r="S72" i="59" s="1"/>
  <c r="Q71" i="59"/>
  <c r="P71" i="59"/>
  <c r="O71" i="59"/>
  <c r="N71" i="59"/>
  <c r="B71" i="59"/>
  <c r="B70" i="59" s="1"/>
  <c r="Q70" i="59"/>
  <c r="P70" i="59"/>
  <c r="O70" i="59"/>
  <c r="N70" i="59"/>
  <c r="Q69" i="59"/>
  <c r="P69" i="59"/>
  <c r="O69" i="59"/>
  <c r="N69" i="59"/>
  <c r="D69" i="59"/>
  <c r="Q68" i="59"/>
  <c r="P68" i="59"/>
  <c r="O68" i="59"/>
  <c r="N68" i="59"/>
  <c r="F68" i="59"/>
  <c r="E68" i="59"/>
  <c r="U68" i="59" s="1"/>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AB33" i="59" s="1"/>
  <c r="P33" i="59"/>
  <c r="O33" i="59"/>
  <c r="N33" i="59"/>
  <c r="D33" i="59"/>
  <c r="Q32" i="59"/>
  <c r="P32" i="59"/>
  <c r="O32" i="59"/>
  <c r="Y32" i="59" s="1"/>
  <c r="Z32" i="59" s="1"/>
  <c r="N32" i="59"/>
  <c r="Q31" i="59"/>
  <c r="AB31" i="59" s="1"/>
  <c r="P31" i="59"/>
  <c r="O31" i="59"/>
  <c r="Y31" i="59" s="1"/>
  <c r="Z31" i="59" s="1"/>
  <c r="N31" i="59"/>
  <c r="Q30" i="59"/>
  <c r="P30" i="59"/>
  <c r="O30" i="59"/>
  <c r="Y30" i="59" s="1"/>
  <c r="Z30" i="59" s="1"/>
  <c r="N30" i="59"/>
  <c r="Q29" i="59"/>
  <c r="AB29" i="59" s="1"/>
  <c r="P29" i="59"/>
  <c r="O29" i="59"/>
  <c r="N29" i="59"/>
  <c r="D29" i="59"/>
  <c r="Q28" i="59"/>
  <c r="P28" i="59"/>
  <c r="O28" i="59"/>
  <c r="Y28" i="59" s="1"/>
  <c r="Z28" i="59" s="1"/>
  <c r="N28" i="59"/>
  <c r="Q27" i="59"/>
  <c r="P27" i="59"/>
  <c r="O27" i="59"/>
  <c r="Y27" i="59" s="1"/>
  <c r="Z27" i="59" s="1"/>
  <c r="N27" i="59"/>
  <c r="Q26" i="59"/>
  <c r="P26" i="59"/>
  <c r="O26" i="59"/>
  <c r="Y26" i="59" s="1"/>
  <c r="Z26" i="59" s="1"/>
  <c r="N26" i="59"/>
  <c r="Q25" i="59"/>
  <c r="AB25" i="59" s="1"/>
  <c r="P25" i="59"/>
  <c r="O25" i="59"/>
  <c r="N25" i="59"/>
  <c r="D25" i="59"/>
  <c r="O24" i="59"/>
  <c r="Y24" i="59" s="1"/>
  <c r="Z24" i="59" s="1"/>
  <c r="N24" i="59"/>
  <c r="C24" i="59"/>
  <c r="Y22" i="59"/>
  <c r="Z22" i="59" s="1"/>
  <c r="Y23" i="59"/>
  <c r="Z23" i="59" s="1"/>
  <c r="X24" i="59"/>
  <c r="C43" i="59"/>
  <c r="D43" i="59" s="1"/>
  <c r="P24" i="59"/>
  <c r="E67" i="59"/>
  <c r="E66" i="59" s="1"/>
  <c r="Q24" i="59"/>
  <c r="D54" i="59"/>
  <c r="T64" i="59"/>
  <c r="O64" i="59"/>
  <c r="D64" i="59"/>
  <c r="C63" i="59"/>
  <c r="C67" i="59"/>
  <c r="E71" i="59"/>
  <c r="E70" i="59" s="1"/>
  <c r="D72" i="59"/>
  <c r="AB24" i="59"/>
  <c r="C23" i="59"/>
  <c r="C22" i="59" s="1"/>
  <c r="D22" i="59" s="1"/>
  <c r="C62" i="59"/>
  <c r="O63" i="59"/>
  <c r="D63" i="59"/>
  <c r="O62" i="59"/>
  <c r="D62" i="59"/>
  <c r="O61"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S25" i="40"/>
  <c r="W18" i="35"/>
  <c r="S21" i="37"/>
  <c r="S21" i="34"/>
  <c r="S21" i="33"/>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R37" i="31"/>
  <c r="S37" i="31" s="1"/>
  <c r="R38" i="31"/>
  <c r="R39" i="31"/>
  <c r="T39" i="31" s="1"/>
  <c r="R40" i="31"/>
  <c r="R41" i="31"/>
  <c r="S41" i="31" s="1"/>
  <c r="R42" i="31"/>
  <c r="R43" i="31"/>
  <c r="T43" i="31" s="1"/>
  <c r="R44" i="31"/>
  <c r="R45" i="31"/>
  <c r="S45" i="31" s="1"/>
  <c r="R46" i="31"/>
  <c r="R47" i="31"/>
  <c r="T47" i="31" s="1"/>
  <c r="R48" i="31"/>
  <c r="R49" i="31"/>
  <c r="S49" i="31" s="1"/>
  <c r="R50" i="31"/>
  <c r="R51" i="31"/>
  <c r="R52" i="31"/>
  <c r="R53" i="31"/>
  <c r="S53" i="31" s="1"/>
  <c r="R54" i="31"/>
  <c r="R55" i="31"/>
  <c r="T55" i="31" s="1"/>
  <c r="R56" i="3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R77" i="31"/>
  <c r="T77" i="31" s="1"/>
  <c r="R78" i="31"/>
  <c r="R79" i="31"/>
  <c r="S79" i="31" s="1"/>
  <c r="R80" i="31"/>
  <c r="R81" i="31"/>
  <c r="T81" i="31" s="1"/>
  <c r="R82" i="31"/>
  <c r="T82" i="31" s="1"/>
  <c r="R83" i="31"/>
  <c r="T83" i="31" s="1"/>
  <c r="R84" i="31"/>
  <c r="T84" i="31" s="1"/>
  <c r="R85" i="31"/>
  <c r="R86" i="31"/>
  <c r="T86" i="31" s="1"/>
  <c r="R87" i="31"/>
  <c r="T87" i="31" s="1"/>
  <c r="R88" i="31"/>
  <c r="R89" i="31"/>
  <c r="T89" i="31" s="1"/>
  <c r="R90" i="31"/>
  <c r="T90" i="31" s="1"/>
  <c r="R91" i="31"/>
  <c r="T91" i="31" s="1"/>
  <c r="R92" i="31"/>
  <c r="R93" i="31"/>
  <c r="R94" i="31"/>
  <c r="T94" i="31" s="1"/>
  <c r="R95" i="31"/>
  <c r="T95" i="31" s="1"/>
  <c r="R96" i="31"/>
  <c r="R97" i="31"/>
  <c r="T97" i="31" s="1"/>
  <c r="R98" i="31"/>
  <c r="T98" i="31" s="1"/>
  <c r="R99" i="31"/>
  <c r="T99" i="31" s="1"/>
  <c r="R100" i="3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T133" i="31" s="1"/>
  <c r="R134" i="31"/>
  <c r="R135" i="31"/>
  <c r="R136" i="31"/>
  <c r="T136" i="31" s="1"/>
  <c r="R137" i="31"/>
  <c r="T137" i="31" s="1"/>
  <c r="R138" i="31"/>
  <c r="R139" i="31"/>
  <c r="T139" i="31" s="1"/>
  <c r="R140" i="31"/>
  <c r="T140" i="31" s="1"/>
  <c r="R141" i="31"/>
  <c r="T141" i="31" s="1"/>
  <c r="R142" i="31"/>
  <c r="R143" i="31"/>
  <c r="R144" i="31"/>
  <c r="T144" i="31" s="1"/>
  <c r="R145" i="31"/>
  <c r="T145" i="31" s="1"/>
  <c r="R146" i="31"/>
  <c r="R147" i="31"/>
  <c r="T147" i="31" s="1"/>
  <c r="R148" i="31"/>
  <c r="T148" i="31" s="1"/>
  <c r="R149" i="31"/>
  <c r="T149" i="31" s="1"/>
  <c r="R150" i="31"/>
  <c r="R151" i="31"/>
  <c r="R152" i="31"/>
  <c r="T152" i="31" s="1"/>
  <c r="R153" i="31"/>
  <c r="T153" i="31" s="1"/>
  <c r="R154" i="31"/>
  <c r="R155" i="31"/>
  <c r="T155" i="31" s="1"/>
  <c r="R156" i="31"/>
  <c r="T156" i="31" s="1"/>
  <c r="R157" i="31"/>
  <c r="T157" i="31" s="1"/>
  <c r="R158" i="31"/>
  <c r="R159" i="31"/>
  <c r="R160" i="31"/>
  <c r="T160" i="31" s="1"/>
  <c r="R161" i="31"/>
  <c r="T161" i="31" s="1"/>
  <c r="R162" i="31"/>
  <c r="R163" i="31"/>
  <c r="T163" i="31" s="1"/>
  <c r="R164" i="31"/>
  <c r="T164" i="31" s="1"/>
  <c r="R165" i="31"/>
  <c r="T165" i="31" s="1"/>
  <c r="R166" i="31"/>
  <c r="R167" i="31"/>
  <c r="R168" i="31"/>
  <c r="T168" i="31" s="1"/>
  <c r="R169" i="31"/>
  <c r="T169" i="31" s="1"/>
  <c r="R170" i="31"/>
  <c r="R171" i="31"/>
  <c r="T171" i="31" s="1"/>
  <c r="R172" i="31"/>
  <c r="T172" i="31" s="1"/>
  <c r="R173" i="31"/>
  <c r="T173" i="31" s="1"/>
  <c r="R174" i="31"/>
  <c r="R175" i="31"/>
  <c r="R176" i="31"/>
  <c r="T176" i="31" s="1"/>
  <c r="R177" i="31"/>
  <c r="T177" i="31" s="1"/>
  <c r="R178" i="31"/>
  <c r="R179" i="31"/>
  <c r="T179" i="31" s="1"/>
  <c r="R180" i="31"/>
  <c r="T180" i="31" s="1"/>
  <c r="R181" i="31"/>
  <c r="T181" i="31" s="1"/>
  <c r="R182" i="31"/>
  <c r="R183" i="31"/>
  <c r="R184" i="31"/>
  <c r="T184" i="31" s="1"/>
  <c r="R185" i="31"/>
  <c r="T185" i="31" s="1"/>
  <c r="R186" i="31"/>
  <c r="R187" i="31"/>
  <c r="T187" i="31" s="1"/>
  <c r="R188" i="31"/>
  <c r="T188" i="31" s="1"/>
  <c r="R189" i="31"/>
  <c r="T189" i="31" s="1"/>
  <c r="R190" i="31"/>
  <c r="R191" i="31"/>
  <c r="R192" i="31"/>
  <c r="T192" i="31" s="1"/>
  <c r="R193" i="31"/>
  <c r="T193" i="31" s="1"/>
  <c r="R194" i="31"/>
  <c r="R195" i="31"/>
  <c r="T195" i="31" s="1"/>
  <c r="R196" i="31"/>
  <c r="T196" i="31" s="1"/>
  <c r="R197" i="31"/>
  <c r="T197" i="31" s="1"/>
  <c r="R198" i="31"/>
  <c r="R199" i="31"/>
  <c r="R200" i="31"/>
  <c r="T200" i="31" s="1"/>
  <c r="R201" i="31"/>
  <c r="T201" i="31" s="1"/>
  <c r="R202" i="31"/>
  <c r="R203" i="31"/>
  <c r="T203" i="31" s="1"/>
  <c r="R204" i="31"/>
  <c r="T204" i="31" s="1"/>
  <c r="R205" i="31"/>
  <c r="T205" i="31" s="1"/>
  <c r="R206" i="31"/>
  <c r="R207" i="31"/>
  <c r="R208" i="31"/>
  <c r="T208" i="31" s="1"/>
  <c r="R209" i="31"/>
  <c r="T209" i="31" s="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T254" i="31" s="1"/>
  <c r="R255" i="31"/>
  <c r="R256" i="31"/>
  <c r="T256" i="31" s="1"/>
  <c r="R257" i="31"/>
  <c r="R258" i="31"/>
  <c r="T258" i="31" s="1"/>
  <c r="R259" i="3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R278" i="31"/>
  <c r="R279" i="31"/>
  <c r="S279" i="31" s="1"/>
  <c r="R280" i="31"/>
  <c r="T280" i="31" s="1"/>
  <c r="R281" i="31"/>
  <c r="R282" i="31"/>
  <c r="T282" i="31" s="1"/>
  <c r="R283" i="31"/>
  <c r="R284" i="31"/>
  <c r="T284" i="31" s="1"/>
  <c r="R285" i="31"/>
  <c r="R286" i="31"/>
  <c r="R287" i="31"/>
  <c r="S287" i="31" s="1"/>
  <c r="R288" i="31"/>
  <c r="T288" i="31" s="1"/>
  <c r="R289" i="31"/>
  <c r="R290" i="31"/>
  <c r="T290" i="31" s="1"/>
  <c r="R291" i="31"/>
  <c r="R292" i="31"/>
  <c r="T292" i="31" s="1"/>
  <c r="R293" i="31"/>
  <c r="R294" i="31"/>
  <c r="R295" i="31"/>
  <c r="S295" i="31" s="1"/>
  <c r="R296" i="31"/>
  <c r="T296" i="31" s="1"/>
  <c r="R297" i="31"/>
  <c r="R298" i="31"/>
  <c r="T298" i="31" s="1"/>
  <c r="R299" i="31"/>
  <c r="R300" i="31"/>
  <c r="T300" i="31" s="1"/>
  <c r="R301" i="31"/>
  <c r="R302" i="31"/>
  <c r="R303" i="31"/>
  <c r="S303" i="31" s="1"/>
  <c r="R304" i="31"/>
  <c r="T304" i="31" s="1"/>
  <c r="R305" i="31"/>
  <c r="R306" i="31"/>
  <c r="T306" i="31" s="1"/>
  <c r="R307" i="31"/>
  <c r="R308" i="31"/>
  <c r="T308" i="31" s="1"/>
  <c r="R309" i="31"/>
  <c r="R310" i="31"/>
  <c r="R311" i="31"/>
  <c r="S311" i="31" s="1"/>
  <c r="R312" i="31"/>
  <c r="T312" i="31" s="1"/>
  <c r="R313" i="31"/>
  <c r="R314" i="31"/>
  <c r="T314" i="31" s="1"/>
  <c r="R315" i="31"/>
  <c r="R316" i="31"/>
  <c r="T316" i="31" s="1"/>
  <c r="R317" i="31"/>
  <c r="R318" i="31"/>
  <c r="R319" i="31"/>
  <c r="S319" i="31" s="1"/>
  <c r="R320" i="31"/>
  <c r="T320" i="31" s="1"/>
  <c r="R321" i="31"/>
  <c r="R322" i="31"/>
  <c r="T322" i="31" s="1"/>
  <c r="R323" i="3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49"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40" i="31"/>
  <c r="S436" i="31"/>
  <c r="S122" i="31"/>
  <c r="S118" i="31"/>
  <c r="S468" i="31"/>
  <c r="S464" i="31"/>
  <c r="S460" i="31"/>
  <c r="S456"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H30" i="36"/>
  <c r="F30" i="36"/>
  <c r="AA30" i="36" s="1"/>
  <c r="C79" i="35"/>
  <c r="J31" i="35"/>
  <c r="AC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W42" i="34" s="1"/>
  <c r="F42" i="34"/>
  <c r="J38" i="34"/>
  <c r="AC38" i="34" s="1"/>
  <c r="D114" i="34"/>
  <c r="D112" i="34"/>
  <c r="E112" i="34" s="1"/>
  <c r="F112" i="34"/>
  <c r="G112" i="34" s="1"/>
  <c r="H112" i="34" s="1"/>
  <c r="I112" i="34" s="1"/>
  <c r="J112" i="34" s="1"/>
  <c r="K112" i="34" s="1"/>
  <c r="L112" i="34" s="1"/>
  <c r="M112" i="34" s="1"/>
  <c r="F40" i="33"/>
  <c r="J41" i="33"/>
  <c r="W41" i="33" s="1"/>
  <c r="D113" i="33"/>
  <c r="E113" i="33" s="1"/>
  <c r="F113" i="33" s="1"/>
  <c r="F37" i="33"/>
  <c r="S37" i="33" s="1"/>
  <c r="D111" i="33"/>
  <c r="E111" i="33" s="1"/>
  <c r="F111" i="33" s="1"/>
  <c r="G111" i="33" s="1"/>
  <c r="S518" i="31"/>
  <c r="S520" i="31"/>
  <c r="S522" i="31"/>
  <c r="S524" i="31"/>
  <c r="S526"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J12" i="36" s="1"/>
  <c r="B55" i="36"/>
  <c r="F54" i="36"/>
  <c r="G54" i="36" s="1"/>
  <c r="H54" i="36" s="1"/>
  <c r="I54" i="36" s="1"/>
  <c r="C51" i="36"/>
  <c r="P37" i="36"/>
  <c r="P36" i="36"/>
  <c r="V35" i="36"/>
  <c r="T35" i="36"/>
  <c r="R35" i="36"/>
  <c r="P35" i="36"/>
  <c r="Q34" i="36"/>
  <c r="Z34" i="36" s="1"/>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J24" i="35" s="1"/>
  <c r="B73" i="35"/>
  <c r="H23" i="35" s="1"/>
  <c r="U23" i="35" s="1"/>
  <c r="B57" i="35"/>
  <c r="H11" i="35" s="1"/>
  <c r="B61" i="35"/>
  <c r="B59" i="35"/>
  <c r="H12" i="35" s="1"/>
  <c r="U12" i="35" s="1"/>
  <c r="B131" i="34"/>
  <c r="B129" i="34"/>
  <c r="F46" i="34" s="1"/>
  <c r="S46" i="34" s="1"/>
  <c r="B127" i="34"/>
  <c r="B99" i="34"/>
  <c r="H32" i="34" s="1"/>
  <c r="U32" i="34" s="1"/>
  <c r="B97" i="34"/>
  <c r="B95" i="34"/>
  <c r="F30" i="34" s="1"/>
  <c r="S30" i="34" s="1"/>
  <c r="B93" i="34"/>
  <c r="B75" i="34"/>
  <c r="H14" i="34" s="1"/>
  <c r="U14" i="34" s="1"/>
  <c r="B73" i="34"/>
  <c r="H13" i="34" s="1"/>
  <c r="B71" i="34"/>
  <c r="H12" i="34" s="1"/>
  <c r="U12" i="34" s="1"/>
  <c r="B130" i="33"/>
  <c r="B128" i="33"/>
  <c r="H45" i="33" s="1"/>
  <c r="U45" i="33" s="1"/>
  <c r="B126" i="33"/>
  <c r="B98" i="33"/>
  <c r="J31" i="33" s="1"/>
  <c r="B96" i="33"/>
  <c r="B94" i="33"/>
  <c r="H29" i="33" s="1"/>
  <c r="B74" i="33"/>
  <c r="B72" i="33"/>
  <c r="J13" i="33" s="1"/>
  <c r="AC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D85" i="33"/>
  <c r="E85" i="33" s="1"/>
  <c r="F85" i="33" s="1"/>
  <c r="G85" i="33" s="1"/>
  <c r="D81" i="33"/>
  <c r="E81" i="33" s="1"/>
  <c r="F81" i="33" s="1"/>
  <c r="G81" i="33" s="1"/>
  <c r="D79" i="33"/>
  <c r="E79" i="33" s="1"/>
  <c r="F79" i="33" s="1"/>
  <c r="G79" i="33" s="1"/>
  <c r="D77" i="33"/>
  <c r="H15" i="33" s="1"/>
  <c r="AB15"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H12" i="21"/>
  <c r="AB12"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s="1"/>
  <c r="U9" i="35"/>
  <c r="U31" i="35"/>
  <c r="S32" i="35"/>
  <c r="W31" i="35"/>
  <c r="F36" i="34"/>
  <c r="AA36" i="34" s="1"/>
  <c r="U39" i="34"/>
  <c r="H39" i="33"/>
  <c r="AB39" i="33" s="1"/>
  <c r="F26" i="33"/>
  <c r="AA26" i="33" s="1"/>
  <c r="S40" i="33"/>
  <c r="AC38" i="21"/>
  <c r="H39" i="37"/>
  <c r="AB39" i="37" s="1"/>
  <c r="S27" i="35"/>
  <c r="F11" i="40"/>
  <c r="AA11" i="40"/>
  <c r="S8" i="40"/>
  <c r="H11" i="40"/>
  <c r="AB11" i="40" s="1"/>
  <c r="W8" i="40"/>
  <c r="U9" i="40"/>
  <c r="S34" i="40"/>
  <c r="U34" i="40"/>
  <c r="F42" i="39"/>
  <c r="AA42" i="39" s="1"/>
  <c r="F41" i="39"/>
  <c r="AA41" i="39" s="1"/>
  <c r="H40" i="39"/>
  <c r="AB40" i="39" s="1"/>
  <c r="H39" i="39"/>
  <c r="S38" i="39"/>
  <c r="H34" i="39"/>
  <c r="AB34" i="39" s="1"/>
  <c r="E109" i="39"/>
  <c r="F109" i="39" s="1"/>
  <c r="H31" i="39"/>
  <c r="AB31" i="39" s="1"/>
  <c r="F31" i="39"/>
  <c r="AA31" i="39" s="1"/>
  <c r="E103" i="39"/>
  <c r="H19" i="39"/>
  <c r="AB19" i="39" s="1"/>
  <c r="F19" i="39"/>
  <c r="H17" i="39"/>
  <c r="U17" i="39" s="1"/>
  <c r="F17" i="39"/>
  <c r="AA17" i="39" s="1"/>
  <c r="J23" i="40"/>
  <c r="AC23" i="40" s="1"/>
  <c r="H42" i="39"/>
  <c r="AB42" i="39" s="1"/>
  <c r="J34" i="39"/>
  <c r="AC34" i="39" s="1"/>
  <c r="G109" i="39"/>
  <c r="H109" i="39" s="1"/>
  <c r="I109" i="39" s="1"/>
  <c r="J109" i="39" s="1"/>
  <c r="K109" i="39" s="1"/>
  <c r="L109" i="39" s="1"/>
  <c r="M109" i="39" s="1"/>
  <c r="J31" i="39"/>
  <c r="F103" i="39"/>
  <c r="G103" i="39" s="1"/>
  <c r="H29" i="39"/>
  <c r="U29" i="39" s="1"/>
  <c r="J19" i="39"/>
  <c r="J17" i="39"/>
  <c r="W17" i="39" s="1"/>
  <c r="J29" i="39"/>
  <c r="AC29" i="39" s="1"/>
  <c r="F29" i="39"/>
  <c r="AA29" i="39" s="1"/>
  <c r="F11" i="21"/>
  <c r="S11" i="21" s="1"/>
  <c r="C25" i="39"/>
  <c r="H11" i="39"/>
  <c r="AB11" i="39" s="1"/>
  <c r="H11" i="21"/>
  <c r="U11" i="21" s="1"/>
  <c r="J11" i="21"/>
  <c r="AC11" i="21" s="1"/>
  <c r="H36" i="40"/>
  <c r="U36" i="40" s="1"/>
  <c r="F35" i="40"/>
  <c r="S35" i="40" s="1"/>
  <c r="J30" i="40"/>
  <c r="F30" i="40"/>
  <c r="AA30" i="40" s="1"/>
  <c r="F96" i="40"/>
  <c r="G96" i="40" s="1"/>
  <c r="H96" i="40" s="1"/>
  <c r="I96" i="40" s="1"/>
  <c r="J96" i="40" s="1"/>
  <c r="K96" i="40" s="1"/>
  <c r="L96" i="40" s="1"/>
  <c r="M96" i="40" s="1"/>
  <c r="H27" i="40"/>
  <c r="U27" i="40" s="1"/>
  <c r="H23" i="40"/>
  <c r="AB23" i="40" s="1"/>
  <c r="J11" i="40"/>
  <c r="S44" i="39"/>
  <c r="F37" i="39"/>
  <c r="S37" i="39" s="1"/>
  <c r="J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F14" i="35"/>
  <c r="S14" i="35" s="1"/>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J34" i="33"/>
  <c r="AC34" i="33" s="1"/>
  <c r="J23" i="33"/>
  <c r="AC23" i="33" s="1"/>
  <c r="F23" i="33"/>
  <c r="AA23" i="33" s="1"/>
  <c r="H23" i="33"/>
  <c r="AB23" i="33" s="1"/>
  <c r="F19" i="33"/>
  <c r="S19" i="33" s="1"/>
  <c r="J17" i="33"/>
  <c r="AC17" i="33" s="1"/>
  <c r="H17" i="33"/>
  <c r="AB17" i="33" s="1"/>
  <c r="J15" i="33"/>
  <c r="AC15" i="33" s="1"/>
  <c r="F11" i="33"/>
  <c r="AA11" i="33" s="1"/>
  <c r="H10" i="33"/>
  <c r="U10" i="33" s="1"/>
  <c r="U40" i="33"/>
  <c r="U8" i="33"/>
  <c r="S8" i="33"/>
  <c r="F37" i="40"/>
  <c r="AA37" i="40"/>
  <c r="F36" i="40"/>
  <c r="AA36" i="40"/>
  <c r="J27" i="40"/>
  <c r="W27" i="40"/>
  <c r="F27" i="40"/>
  <c r="S27" i="40"/>
  <c r="F23" i="40"/>
  <c r="AA23" i="40"/>
  <c r="AB30" i="36"/>
  <c r="W32" i="35"/>
  <c r="F29" i="35"/>
  <c r="S29" i="35"/>
  <c r="AB42" i="34"/>
  <c r="H38" i="34"/>
  <c r="U15" i="34"/>
  <c r="G113" i="33"/>
  <c r="H113" i="33" s="1"/>
  <c r="I113" i="33" s="1"/>
  <c r="J113" i="33" s="1"/>
  <c r="K113" i="33" s="1"/>
  <c r="L113" i="33" s="1"/>
  <c r="M113" i="33" s="1"/>
  <c r="H37" i="33"/>
  <c r="AB37" i="33"/>
  <c r="AA37" i="33"/>
  <c r="F17" i="33"/>
  <c r="AA17" i="33" s="1"/>
  <c r="AB11" i="33"/>
  <c r="AC27" i="40"/>
  <c r="AC42" i="34"/>
  <c r="AA42" i="34"/>
  <c r="S42" i="34"/>
  <c r="W38" i="34"/>
  <c r="J37" i="33"/>
  <c r="AC37" i="33" s="1"/>
  <c r="J11" i="33"/>
  <c r="AC11" i="33" s="1"/>
  <c r="J42" i="21"/>
  <c r="AC42" i="21" s="1"/>
  <c r="H42" i="21"/>
  <c r="AB42" i="21" s="1"/>
  <c r="J10" i="35"/>
  <c r="AC10" i="35" s="1"/>
  <c r="J14" i="21"/>
  <c r="W14" i="21" s="1"/>
  <c r="F14" i="21"/>
  <c r="S14" i="21" s="1"/>
  <c r="H14" i="2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s="1"/>
  <c r="G89" i="35" s="1"/>
  <c r="H89" i="35" s="1"/>
  <c r="I89" i="35" s="1"/>
  <c r="J89" i="35" s="1"/>
  <c r="K89" i="35" s="1"/>
  <c r="L89" i="35" s="1"/>
  <c r="M89" i="35" s="1"/>
  <c r="H10" i="36"/>
  <c r="F28" i="36"/>
  <c r="AA28" i="36" s="1"/>
  <c r="H13" i="33"/>
  <c r="AB13" i="33" s="1"/>
  <c r="J29" i="33"/>
  <c r="W29" i="33" s="1"/>
  <c r="U29" i="33"/>
  <c r="W31" i="33"/>
  <c r="J45" i="33"/>
  <c r="W45" i="33" s="1"/>
  <c r="J14" i="34"/>
  <c r="F14" i="34"/>
  <c r="AA14" i="34" s="1"/>
  <c r="H30" i="34"/>
  <c r="U30" i="34" s="1"/>
  <c r="J30" i="34"/>
  <c r="W30" i="34" s="1"/>
  <c r="F32" i="34"/>
  <c r="J32" i="34"/>
  <c r="W32" i="34" s="1"/>
  <c r="H46" i="34"/>
  <c r="J46" i="34"/>
  <c r="W46" i="34" s="1"/>
  <c r="J11" i="35"/>
  <c r="AC11" i="35" s="1"/>
  <c r="J26" i="36"/>
  <c r="W26" i="36" s="1"/>
  <c r="H28" i="36"/>
  <c r="U28" i="36" s="1"/>
  <c r="H32" i="36"/>
  <c r="AB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47" i="34"/>
  <c r="S14" i="33"/>
  <c r="AC32" i="34"/>
  <c r="J10" i="36"/>
  <c r="AB46" i="21"/>
  <c r="AC14" i="21"/>
  <c r="U32" i="36"/>
  <c r="AC29" i="33"/>
  <c r="U42" i="21"/>
  <c r="S33" i="21"/>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F32" i="40"/>
  <c r="S32" i="40" s="1"/>
  <c r="H32" i="40"/>
  <c r="U32" i="40" s="1"/>
  <c r="J36" i="40"/>
  <c r="AB32" i="40"/>
  <c r="H42" i="33"/>
  <c r="U42" i="33" s="1"/>
  <c r="J23" i="37"/>
  <c r="W23" i="37" s="1"/>
  <c r="U11" i="40"/>
  <c r="AB20" i="35"/>
  <c r="S28" i="37"/>
  <c r="U39" i="37"/>
  <c r="S25" i="37"/>
  <c r="W14" i="33"/>
  <c r="AC31" i="33"/>
  <c r="AC33" i="21"/>
  <c r="AA23" i="37"/>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J33" i="34"/>
  <c r="W33" i="34" s="1"/>
  <c r="J37" i="34"/>
  <c r="W37" i="34" s="1"/>
  <c r="S2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D128" i="57"/>
  <c r="W17" i="21"/>
  <c r="C110" i="57"/>
  <c r="H104" i="57" s="1"/>
  <c r="B113" i="43"/>
  <c r="I118" i="43" s="1"/>
  <c r="J118" i="43" s="1"/>
  <c r="K118" i="43" s="1"/>
  <c r="L118" i="43" s="1"/>
  <c r="M118" i="43" s="1"/>
  <c r="M101" i="43"/>
  <c r="M109" i="43" s="1"/>
  <c r="K101" i="43"/>
  <c r="K107" i="43" s="1"/>
  <c r="I101" i="43"/>
  <c r="I102" i="43" s="1"/>
  <c r="G101" i="43"/>
  <c r="E101" i="43"/>
  <c r="E109" i="43" s="1"/>
  <c r="C101" i="43"/>
  <c r="N101" i="43"/>
  <c r="N107" i="43" s="1"/>
  <c r="L101" i="43"/>
  <c r="J101" i="43"/>
  <c r="J102" i="43" s="1"/>
  <c r="H101" i="43"/>
  <c r="H107" i="43" s="1"/>
  <c r="F101" i="43"/>
  <c r="F104" i="43" s="1"/>
  <c r="D101" i="43"/>
  <c r="D103" i="43" s="1"/>
  <c r="S411" i="31"/>
  <c r="S347" i="31"/>
  <c r="T303" i="31"/>
  <c r="T273" i="31"/>
  <c r="S517" i="31"/>
  <c r="S89" i="31"/>
  <c r="S505" i="31"/>
  <c r="S139" i="31"/>
  <c r="S171" i="31"/>
  <c r="S203" i="31"/>
  <c r="C18" i="57"/>
  <c r="D18" i="57" s="1"/>
  <c r="D47" i="15"/>
  <c r="AB12" i="37"/>
  <c r="J37" i="37"/>
  <c r="W37" i="37"/>
  <c r="AB40" i="37"/>
  <c r="U40" i="37"/>
  <c r="U15" i="21"/>
  <c r="AB15" i="21"/>
  <c r="AA16" i="35"/>
  <c r="S14" i="39"/>
  <c r="AB29" i="35"/>
  <c r="U29" i="35"/>
  <c r="AA35" i="39"/>
  <c r="AB21" i="39"/>
  <c r="U25" i="35"/>
  <c r="U36" i="37"/>
  <c r="S14" i="34"/>
  <c r="W44" i="21"/>
  <c r="AB38" i="34"/>
  <c r="U38" i="34"/>
  <c r="F40" i="34"/>
  <c r="AA40" i="34" s="1"/>
  <c r="G118" i="34"/>
  <c r="AB20" i="36"/>
  <c r="AC44" i="39"/>
  <c r="W44" i="39"/>
  <c r="H13" i="21"/>
  <c r="U13" i="21" s="1"/>
  <c r="J13" i="21"/>
  <c r="F13" i="21"/>
  <c r="AA13" i="21" s="1"/>
  <c r="J45" i="21"/>
  <c r="AC45" i="21" s="1"/>
  <c r="F45" i="21"/>
  <c r="AA45" i="21" s="1"/>
  <c r="S42" i="21"/>
  <c r="C23" i="40"/>
  <c r="J9" i="34"/>
  <c r="AC9" i="34" s="1"/>
  <c r="F9" i="34"/>
  <c r="S9" i="34" s="1"/>
  <c r="AA19" i="34"/>
  <c r="S19" i="34"/>
  <c r="U23" i="36"/>
  <c r="W12" i="36"/>
  <c r="AA9" i="39"/>
  <c r="S9" i="39"/>
  <c r="AB12" i="39"/>
  <c r="U12" i="39"/>
  <c r="J12" i="39"/>
  <c r="F12" i="39"/>
  <c r="S12" i="39" s="1"/>
  <c r="F15" i="21"/>
  <c r="S15" i="21" s="1"/>
  <c r="C106" i="9"/>
  <c r="H102" i="9" s="1"/>
  <c r="AA30" i="21"/>
  <c r="J36" i="34"/>
  <c r="W36" i="34" s="1"/>
  <c r="J19" i="40"/>
  <c r="AC19" i="40" s="1"/>
  <c r="W9" i="39"/>
  <c r="H32" i="39"/>
  <c r="U32" i="39" s="1"/>
  <c r="F21" i="39"/>
  <c r="AA21" i="39" s="1"/>
  <c r="F37" i="47"/>
  <c r="B35" i="47" s="1"/>
  <c r="F31" i="37"/>
  <c r="AA31" i="37" s="1"/>
  <c r="U25" i="36"/>
  <c r="S44" i="21"/>
  <c r="F17" i="37"/>
  <c r="AA17" i="37" s="1"/>
  <c r="AB28" i="36"/>
  <c r="AB13" i="40"/>
  <c r="U33" i="40"/>
  <c r="S12" i="40"/>
  <c r="U11" i="36"/>
  <c r="AB32" i="34"/>
  <c r="H45" i="21"/>
  <c r="AB45" i="21"/>
  <c r="J14" i="36"/>
  <c r="AC14" i="36"/>
  <c r="S15" i="34"/>
  <c r="J40" i="34"/>
  <c r="AC40" i="34"/>
  <c r="S37" i="40"/>
  <c r="H19" i="33"/>
  <c r="AB19" i="33" s="1"/>
  <c r="J23" i="34"/>
  <c r="W23" i="34" s="1"/>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101" i="33" s="1"/>
  <c r="H9" i="34"/>
  <c r="AB9" i="34" s="1"/>
  <c r="AC27" i="34"/>
  <c r="E116" i="34"/>
  <c r="F116" i="34" s="1"/>
  <c r="G116" i="34" s="1"/>
  <c r="H116" i="34" s="1"/>
  <c r="I116" i="34" s="1"/>
  <c r="J116" i="34" s="1"/>
  <c r="K116" i="34" s="1"/>
  <c r="L116" i="34" s="1"/>
  <c r="M116" i="34" s="1"/>
  <c r="J39" i="34"/>
  <c r="W39" i="34" s="1"/>
  <c r="J27" i="36"/>
  <c r="AC27" i="36" s="1"/>
  <c r="F37" i="34"/>
  <c r="AA37" i="34" s="1"/>
  <c r="H37" i="34"/>
  <c r="U37" i="34" s="1"/>
  <c r="AA32" i="37"/>
  <c r="U12" i="40"/>
  <c r="AC14" i="39"/>
  <c r="AC46" i="34"/>
  <c r="W34" i="33"/>
  <c r="AA14" i="35"/>
  <c r="W11" i="21"/>
  <c r="S45" i="39"/>
  <c r="AA45" i="39"/>
  <c r="H27" i="21"/>
  <c r="AB27" i="21" s="1"/>
  <c r="J27" i="21"/>
  <c r="W27" i="21" s="1"/>
  <c r="F27" i="21"/>
  <c r="AA27" i="21" s="1"/>
  <c r="J29" i="21"/>
  <c r="H29" i="21"/>
  <c r="U29" i="21" s="1"/>
  <c r="F29" i="21"/>
  <c r="AA29" i="21" s="1"/>
  <c r="J31" i="21"/>
  <c r="W31" i="21"/>
  <c r="H31" i="21"/>
  <c r="F31" i="21"/>
  <c r="H39" i="21"/>
  <c r="U39" i="21" s="1"/>
  <c r="F117" i="21"/>
  <c r="G117" i="21" s="1"/>
  <c r="AA35" i="33"/>
  <c r="F117" i="33"/>
  <c r="G117" i="33" s="1"/>
  <c r="E125" i="33"/>
  <c r="F125" i="33" s="1"/>
  <c r="G125" i="33" s="1"/>
  <c r="H43" i="33"/>
  <c r="U43" i="33"/>
  <c r="F27" i="33"/>
  <c r="S27" i="33" s="1"/>
  <c r="H41" i="33"/>
  <c r="U41" i="33" s="1"/>
  <c r="AA11" i="34"/>
  <c r="S11" i="34"/>
  <c r="F80" i="34"/>
  <c r="G80" i="34" s="1"/>
  <c r="H17" i="34"/>
  <c r="U17" i="34"/>
  <c r="H16" i="35"/>
  <c r="U16" i="35"/>
  <c r="AC24" i="35"/>
  <c r="G60" i="37"/>
  <c r="F10" i="37"/>
  <c r="AA10" i="37"/>
  <c r="J12" i="37"/>
  <c r="W12" i="37"/>
  <c r="F12" i="37"/>
  <c r="S12" i="37"/>
  <c r="H27" i="37"/>
  <c r="U27" i="37"/>
  <c r="F27" i="37"/>
  <c r="AA27" i="37"/>
  <c r="J27" i="37"/>
  <c r="AC27" i="37"/>
  <c r="J29" i="37"/>
  <c r="W29" i="37"/>
  <c r="F29" i="37"/>
  <c r="S29" i="37" s="1"/>
  <c r="H31" i="37"/>
  <c r="J36" i="37"/>
  <c r="W36" i="37" s="1"/>
  <c r="J40" i="37"/>
  <c r="F40" i="37"/>
  <c r="AA40" i="37" s="1"/>
  <c r="AB25" i="37"/>
  <c r="U8" i="39"/>
  <c r="AB8" i="39"/>
  <c r="J29" i="35"/>
  <c r="AC29" i="35"/>
  <c r="AC30" i="36"/>
  <c r="W30" i="36"/>
  <c r="H35" i="39"/>
  <c r="U35" i="39"/>
  <c r="J35" i="39"/>
  <c r="AC35" i="39"/>
  <c r="H16" i="36"/>
  <c r="U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C38" i="33"/>
  <c r="J9" i="33"/>
  <c r="AC9" i="33" s="1"/>
  <c r="F9" i="33"/>
  <c r="AA9" i="33" s="1"/>
  <c r="F25" i="34"/>
  <c r="S25" i="34" s="1"/>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M1" i="43"/>
  <c r="F101" i="9"/>
  <c r="F33" i="9"/>
  <c r="C25" i="57"/>
  <c r="N102" i="43"/>
  <c r="W40" i="40"/>
  <c r="U15" i="37"/>
  <c r="H25" i="34"/>
  <c r="U25" i="34" s="1"/>
  <c r="AB35" i="39"/>
  <c r="S27" i="37"/>
  <c r="AA12" i="37"/>
  <c r="J17" i="34"/>
  <c r="AC17" i="34"/>
  <c r="F17" i="34"/>
  <c r="AA17" i="34" s="1"/>
  <c r="H27" i="33"/>
  <c r="AB27" i="33" s="1"/>
  <c r="F43" i="33"/>
  <c r="S43" i="33" s="1"/>
  <c r="J43" i="33"/>
  <c r="AC43" i="33" s="1"/>
  <c r="AB31" i="21"/>
  <c r="U31" i="21"/>
  <c r="S29" i="21"/>
  <c r="AC27" i="21"/>
  <c r="S37" i="34"/>
  <c r="H27" i="36"/>
  <c r="AB27" i="36" s="1"/>
  <c r="F27" i="36"/>
  <c r="AB34" i="21"/>
  <c r="H11" i="34"/>
  <c r="U11" i="34" s="1"/>
  <c r="S17" i="37"/>
  <c r="J11" i="37"/>
  <c r="AC11" i="37" s="1"/>
  <c r="AC36" i="34"/>
  <c r="W12" i="39"/>
  <c r="AC12" i="39"/>
  <c r="S45" i="21"/>
  <c r="AB13" i="21"/>
  <c r="AC37" i="37"/>
  <c r="U38" i="40"/>
  <c r="F23" i="39"/>
  <c r="AA23" i="39"/>
  <c r="G97" i="39"/>
  <c r="S24" i="36"/>
  <c r="F44" i="34"/>
  <c r="J44" i="34"/>
  <c r="AC44" i="34" s="1"/>
  <c r="S40" i="21"/>
  <c r="W27" i="37"/>
  <c r="AB27" i="37"/>
  <c r="H60" i="37"/>
  <c r="I60" i="37" s="1"/>
  <c r="H10" i="37"/>
  <c r="U10" i="37"/>
  <c r="AB43" i="33"/>
  <c r="AB29" i="21"/>
  <c r="W27" i="36"/>
  <c r="J32" i="33"/>
  <c r="W32" i="33" s="1"/>
  <c r="W40" i="34"/>
  <c r="U45" i="21"/>
  <c r="W45" i="21"/>
  <c r="W13" i="21"/>
  <c r="AC13" i="21"/>
  <c r="AA44" i="34"/>
  <c r="S44" i="34"/>
  <c r="AB25" i="34"/>
  <c r="J10" i="37"/>
  <c r="AC10" i="37" s="1"/>
  <c r="H23" i="39"/>
  <c r="J11" i="34"/>
  <c r="W11" i="34" s="1"/>
  <c r="J27" i="33"/>
  <c r="W27" i="33" s="1"/>
  <c r="W17" i="34"/>
  <c r="J25" i="34"/>
  <c r="W25" i="34" s="1"/>
  <c r="K53" i="43"/>
  <c r="M53" i="43"/>
  <c r="N53" i="43" s="1"/>
  <c r="K49" i="43"/>
  <c r="J49" i="43" s="1"/>
  <c r="M49" i="43"/>
  <c r="N49" i="43" s="1"/>
  <c r="K54" i="43"/>
  <c r="J54" i="43" s="1"/>
  <c r="M54" i="43"/>
  <c r="N54" i="43" s="1"/>
  <c r="K50" i="43"/>
  <c r="J50" i="43" s="1"/>
  <c r="M50" i="43"/>
  <c r="N50" i="43" s="1"/>
  <c r="K55" i="43"/>
  <c r="J55" i="43" s="1"/>
  <c r="D55" i="43" s="1"/>
  <c r="M55" i="43"/>
  <c r="N55" i="43" s="1"/>
  <c r="K51" i="43"/>
  <c r="J51" i="43" s="1"/>
  <c r="M51" i="43"/>
  <c r="N51" i="43" s="1"/>
  <c r="K48" i="43"/>
  <c r="J48" i="43" s="1"/>
  <c r="M48" i="43"/>
  <c r="N48" i="43" s="1"/>
  <c r="K52" i="43"/>
  <c r="J52" i="43" s="1"/>
  <c r="M52" i="43"/>
  <c r="N52" i="43" s="1"/>
  <c r="K56" i="43"/>
  <c r="J56" i="43" s="1"/>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4" i="37"/>
  <c r="AC19" i="37"/>
  <c r="W39" i="37"/>
  <c r="AB11" i="37"/>
  <c r="S37" i="37"/>
  <c r="AA14" i="37"/>
  <c r="AA38" i="37"/>
  <c r="AC39" i="34"/>
  <c r="W35" i="34"/>
  <c r="S40" i="34"/>
  <c r="AB41" i="34"/>
  <c r="S38" i="34"/>
  <c r="S36" i="34"/>
  <c r="U43" i="34"/>
  <c r="S43" i="34"/>
  <c r="AB19" i="34"/>
  <c r="S17" i="34"/>
  <c r="AB17" i="34"/>
  <c r="W15" i="34"/>
  <c r="U23" i="34"/>
  <c r="U36" i="34"/>
  <c r="U21" i="34"/>
  <c r="AB21" i="34"/>
  <c r="AA25" i="34"/>
  <c r="AA41" i="34"/>
  <c r="AA46" i="34"/>
  <c r="W42" i="33"/>
  <c r="W11" i="33"/>
  <c r="U34" i="33"/>
  <c r="W37" i="33"/>
  <c r="AC41" i="33"/>
  <c r="U46" i="33"/>
  <c r="S23" i="33"/>
  <c r="W17" i="33"/>
  <c r="U9" i="33"/>
  <c r="AC12" i="33"/>
  <c r="W9" i="33"/>
  <c r="W13" i="33"/>
  <c r="AC46" i="33"/>
  <c r="AC21" i="33"/>
  <c r="AB41" i="33"/>
  <c r="AB42" i="33"/>
  <c r="U13"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497" i="31"/>
  <c r="T449" i="31"/>
  <c r="T71" i="31"/>
  <c r="T63" i="31"/>
  <c r="T53" i="31"/>
  <c r="T37" i="31"/>
  <c r="S209" i="31"/>
  <c r="S193" i="31"/>
  <c r="S177" i="31"/>
  <c r="S161" i="31"/>
  <c r="S145" i="31"/>
  <c r="S129" i="31"/>
  <c r="S435" i="31"/>
  <c r="S463" i="31"/>
  <c r="S95" i="31"/>
  <c r="S103" i="31"/>
  <c r="S337" i="31"/>
  <c r="S353" i="31"/>
  <c r="S369" i="31"/>
  <c r="S385" i="31"/>
  <c r="S401" i="31"/>
  <c r="S417" i="31"/>
  <c r="S39" i="31"/>
  <c r="S117" i="31"/>
  <c r="S125" i="3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70" i="43"/>
  <c r="B68" i="43" s="1"/>
  <c r="AI11" i="43"/>
  <c r="AI13" i="43" s="1"/>
  <c r="AG11" i="43"/>
  <c r="AE11" i="43"/>
  <c r="AE13" i="43" s="1"/>
  <c r="AC11" i="43"/>
  <c r="AA11" i="43"/>
  <c r="AA13" i="43" s="1"/>
  <c r="Y11" i="43"/>
  <c r="Y13" i="43" s="1"/>
  <c r="AJ11" i="43"/>
  <c r="AH11" i="43"/>
  <c r="AH13" i="43" s="1"/>
  <c r="AF11" i="43"/>
  <c r="AD11" i="43"/>
  <c r="AD13" i="43" s="1"/>
  <c r="AB11" i="43"/>
  <c r="Z11" i="43"/>
  <c r="Z7" i="43"/>
  <c r="C7" i="39"/>
  <c r="C68" i="39" s="1"/>
  <c r="C70"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s="1"/>
  <c r="K82" i="43"/>
  <c r="J82" i="43" s="1"/>
  <c r="D82" i="43"/>
  <c r="M83" i="43"/>
  <c r="N83" i="43" s="1"/>
  <c r="D117" i="43"/>
  <c r="E117" i="43" s="1"/>
  <c r="F117" i="43" s="1"/>
  <c r="G117" i="43" s="1"/>
  <c r="H117" i="43" s="1"/>
  <c r="B116" i="43"/>
  <c r="C116" i="43" s="1"/>
  <c r="E105" i="43"/>
  <c r="M12" i="43"/>
  <c r="M8" i="43"/>
  <c r="N7" i="43"/>
  <c r="G15" i="47" s="1"/>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W41" i="34"/>
  <c r="AA45" i="34"/>
  <c r="AB45" i="34"/>
  <c r="AB35" i="34"/>
  <c r="W29" i="34"/>
  <c r="W43" i="34"/>
  <c r="U34" i="34"/>
  <c r="S34" i="34"/>
  <c r="W44" i="34"/>
  <c r="AB44" i="34"/>
  <c r="AC33" i="34"/>
  <c r="AA33" i="34"/>
  <c r="S35" i="34"/>
  <c r="AB47" i="34"/>
  <c r="AC45" i="34"/>
  <c r="AA29" i="34"/>
  <c r="AA31" i="34"/>
  <c r="U37" i="33"/>
  <c r="AA43" i="33"/>
  <c r="U33" i="33"/>
  <c r="U30" i="33"/>
  <c r="W35" i="33"/>
  <c r="W40" i="33"/>
  <c r="S33" i="33"/>
  <c r="U35" i="33"/>
  <c r="AB29"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F7" i="61"/>
  <c r="E2" i="11"/>
  <c r="H23" i="31"/>
  <c r="F5" i="61"/>
  <c r="E2" i="36"/>
  <c r="D7" i="61"/>
  <c r="E2" i="21"/>
  <c r="D4" i="61"/>
  <c r="F4" i="61"/>
  <c r="E2" i="35"/>
  <c r="E2" i="33"/>
  <c r="F6" i="61"/>
  <c r="E2" i="37"/>
  <c r="D5" i="61"/>
  <c r="F3" i="61"/>
  <c r="E2" i="34"/>
  <c r="D3" i="61"/>
  <c r="I14" i="62" l="1"/>
  <c r="B8" i="62" s="1"/>
  <c r="J53" i="43"/>
  <c r="D53" i="43"/>
  <c r="AA27" i="36"/>
  <c r="S27" i="36"/>
  <c r="AA26" i="37"/>
  <c r="S26" i="37"/>
  <c r="AA31" i="21"/>
  <c r="S31" i="21"/>
  <c r="AC29" i="21"/>
  <c r="W29" i="21"/>
  <c r="W36" i="40"/>
  <c r="AC36" i="40"/>
  <c r="AB14" i="39"/>
  <c r="U14" i="39"/>
  <c r="U13" i="37"/>
  <c r="AB13" i="37"/>
  <c r="S30" i="33"/>
  <c r="AA30" i="33"/>
  <c r="W11" i="36"/>
  <c r="AC11" i="36"/>
  <c r="U46" i="34"/>
  <c r="AB46" i="34"/>
  <c r="S32" i="34"/>
  <c r="AA32" i="34"/>
  <c r="W14" i="34"/>
  <c r="AC14" i="34"/>
  <c r="AB10" i="36"/>
  <c r="U10" i="36"/>
  <c r="S41" i="33"/>
  <c r="AA41" i="33"/>
  <c r="W34" i="36"/>
  <c r="AC34" i="36"/>
  <c r="W30" i="40"/>
  <c r="AC30" i="40"/>
  <c r="W31" i="39"/>
  <c r="AC31" i="39"/>
  <c r="U30" i="35"/>
  <c r="D56" i="43"/>
  <c r="AB23" i="39"/>
  <c r="U23" i="39"/>
  <c r="AB24" i="36"/>
  <c r="W40" i="37"/>
  <c r="AC40" i="37"/>
  <c r="AB31" i="37"/>
  <c r="U31" i="37"/>
  <c r="G101" i="33"/>
  <c r="H101" i="33" s="1"/>
  <c r="I101" i="33" s="1"/>
  <c r="J101" i="33" s="1"/>
  <c r="K101" i="33" s="1"/>
  <c r="L101" i="33" s="1"/>
  <c r="M101" i="33" s="1"/>
  <c r="H32" i="33"/>
  <c r="AB32" i="33" s="1"/>
  <c r="G105" i="43"/>
  <c r="G103" i="43"/>
  <c r="H107" i="57"/>
  <c r="C114" i="57"/>
  <c r="H109" i="57" s="1"/>
  <c r="F26" i="47"/>
  <c r="B24" i="47" s="1"/>
  <c r="AC10" i="36"/>
  <c r="W10" i="36"/>
  <c r="W30" i="21"/>
  <c r="AC30" i="21"/>
  <c r="AB14" i="21"/>
  <c r="U14" i="21"/>
  <c r="W11" i="40"/>
  <c r="AC11" i="40"/>
  <c r="AC19" i="39"/>
  <c r="W19" i="39"/>
  <c r="S19" i="39"/>
  <c r="AA19" i="39"/>
  <c r="U39" i="39"/>
  <c r="AB39" i="39"/>
  <c r="U11" i="35"/>
  <c r="AB11" i="35"/>
  <c r="U32" i="37"/>
  <c r="F34" i="35"/>
  <c r="H34" i="35"/>
  <c r="H24" i="35"/>
  <c r="F24" i="35"/>
  <c r="J39" i="33"/>
  <c r="AC39" i="33" s="1"/>
  <c r="S8" i="34"/>
  <c r="H12" i="36"/>
  <c r="AC8" i="34"/>
  <c r="B41" i="47"/>
  <c r="AA16" i="36"/>
  <c r="AB38" i="21"/>
  <c r="AC33" i="36"/>
  <c r="H31" i="40"/>
  <c r="AA36" i="39"/>
  <c r="U36" i="39"/>
  <c r="J32" i="36"/>
  <c r="F11" i="35"/>
  <c r="F45" i="33"/>
  <c r="S45" i="33" s="1"/>
  <c r="F31" i="33"/>
  <c r="H31" i="33"/>
  <c r="F29" i="33"/>
  <c r="F13" i="33"/>
  <c r="J28" i="33"/>
  <c r="AC28" i="33" s="1"/>
  <c r="U34" i="37"/>
  <c r="S10" i="21"/>
  <c r="J19" i="33"/>
  <c r="W19" i="33" s="1"/>
  <c r="AA39" i="37"/>
  <c r="W9" i="35"/>
  <c r="W8" i="21"/>
  <c r="U32" i="35"/>
  <c r="S31" i="35"/>
  <c r="F12" i="21"/>
  <c r="J12" i="21"/>
  <c r="J12" i="35"/>
  <c r="F9" i="21"/>
  <c r="J9" i="21"/>
  <c r="H9" i="21"/>
  <c r="E77" i="33"/>
  <c r="F77" i="33" s="1"/>
  <c r="G77" i="33" s="1"/>
  <c r="F15" i="33"/>
  <c r="J12" i="34"/>
  <c r="F12" i="34"/>
  <c r="J39" i="40"/>
  <c r="H39" i="40"/>
  <c r="F39" i="40"/>
  <c r="K19" i="9"/>
  <c r="E5" i="1"/>
  <c r="E24" i="59"/>
  <c r="AA24" i="59"/>
  <c r="T24" i="59"/>
  <c r="D24" i="59"/>
  <c r="Y25" i="59"/>
  <c r="Z25" i="59" s="1"/>
  <c r="C26" i="59"/>
  <c r="Y29" i="59"/>
  <c r="Z29" i="59" s="1"/>
  <c r="C30" i="59"/>
  <c r="Y33" i="59"/>
  <c r="Z33" i="59" s="1"/>
  <c r="C34" i="59"/>
  <c r="N63" i="59"/>
  <c r="B62" i="59"/>
  <c r="T72" i="59"/>
  <c r="C71" i="59"/>
  <c r="V72" i="59"/>
  <c r="F71" i="59"/>
  <c r="F70" i="59" s="1"/>
  <c r="AC12" i="43"/>
  <c r="AC13" i="43" s="1"/>
  <c r="AC10" i="43"/>
  <c r="AG12" i="43"/>
  <c r="AG13" i="43" s="1"/>
  <c r="AG10" i="43"/>
  <c r="D60" i="43"/>
  <c r="N100" i="43"/>
  <c r="J100" i="43"/>
  <c r="F100" i="43"/>
  <c r="M100" i="43"/>
  <c r="I100" i="43"/>
  <c r="E100" i="43"/>
  <c r="S18" i="35"/>
  <c r="S18" i="36"/>
  <c r="AB25" i="40"/>
  <c r="D23" i="59"/>
  <c r="AA22" i="59"/>
  <c r="C83" i="59"/>
  <c r="T68" i="59"/>
  <c r="X25" i="59"/>
  <c r="B26" i="59"/>
  <c r="B27" i="59" s="1"/>
  <c r="B28" i="59" s="1"/>
  <c r="S28" i="59" s="1"/>
  <c r="X29" i="59"/>
  <c r="B30" i="59"/>
  <c r="B31" i="59" s="1"/>
  <c r="B32" i="59" s="1"/>
  <c r="S32" i="59" s="1"/>
  <c r="X33" i="59"/>
  <c r="B34" i="59"/>
  <c r="B35" i="59" s="1"/>
  <c r="B36" i="59" s="1"/>
  <c r="S36" i="59" s="1"/>
  <c r="C47" i="59"/>
  <c r="D46" i="59"/>
  <c r="P61" i="59"/>
  <c r="D80" i="59"/>
  <c r="C79" i="59"/>
  <c r="AE10" i="43"/>
  <c r="Z12" i="43"/>
  <c r="Z13" i="43" s="1"/>
  <c r="Z10" i="43"/>
  <c r="AA28" i="59"/>
  <c r="AB22" i="59"/>
  <c r="Y20" i="59"/>
  <c r="Z20" i="59" s="1"/>
  <c r="AA26" i="59"/>
  <c r="AA27" i="59"/>
  <c r="AA30" i="59"/>
  <c r="X31" i="59"/>
  <c r="AA31" i="59"/>
  <c r="AA32" i="59"/>
  <c r="AA34" i="59"/>
  <c r="E47" i="59"/>
  <c r="E48" i="59" s="1"/>
  <c r="U48" i="59" s="1"/>
  <c r="E19" i="59"/>
  <c r="E18" i="59" s="1"/>
  <c r="E17" i="59" s="1"/>
  <c r="E16" i="59" s="1"/>
  <c r="AA21" i="59"/>
  <c r="AA20" i="59"/>
  <c r="Y17" i="59"/>
  <c r="Z17" i="59" s="1"/>
  <c r="AA45" i="33"/>
  <c r="S495" i="31"/>
  <c r="S515" i="31"/>
  <c r="T481" i="31"/>
  <c r="S233" i="31"/>
  <c r="S479" i="31"/>
  <c r="S121" i="31"/>
  <c r="S55" i="31"/>
  <c r="S425" i="31"/>
  <c r="S409" i="31"/>
  <c r="S393" i="31"/>
  <c r="S377" i="31"/>
  <c r="S361" i="31"/>
  <c r="S345" i="31"/>
  <c r="S329" i="31"/>
  <c r="S111" i="31"/>
  <c r="S87" i="31"/>
  <c r="S455" i="31"/>
  <c r="S501" i="31"/>
  <c r="S443" i="31"/>
  <c r="S137" i="31"/>
  <c r="S153" i="31"/>
  <c r="S169" i="31"/>
  <c r="S185" i="31"/>
  <c r="S201" i="31"/>
  <c r="S221" i="31"/>
  <c r="T45" i="31"/>
  <c r="T59" i="31"/>
  <c r="T67" i="31"/>
  <c r="T75" i="31"/>
  <c r="T473" i="31"/>
  <c r="T489" i="31"/>
  <c r="S219" i="31"/>
  <c r="S187" i="31"/>
  <c r="S155" i="31"/>
  <c r="S445" i="31"/>
  <c r="S457" i="31"/>
  <c r="S105" i="31"/>
  <c r="T265" i="31"/>
  <c r="T287" i="31"/>
  <c r="T319" i="31"/>
  <c r="S379" i="31"/>
  <c r="S43" i="31"/>
  <c r="S241" i="31"/>
  <c r="W44" i="33"/>
  <c r="D48" i="43"/>
  <c r="D54" i="43"/>
  <c r="D52" i="43"/>
  <c r="D51" i="43"/>
  <c r="D50" i="43"/>
  <c r="D49" i="43"/>
  <c r="C58" i="33"/>
  <c r="D58" i="33" s="1"/>
  <c r="E58" i="33" s="1"/>
  <c r="F58" i="33" s="1"/>
  <c r="G58" i="33" s="1"/>
  <c r="H58" i="33" s="1"/>
  <c r="I58" i="33" s="1"/>
  <c r="J58" i="33" s="1"/>
  <c r="K58" i="33" s="1"/>
  <c r="L58" i="33" s="1"/>
  <c r="M58" i="33" s="1"/>
  <c r="N58" i="33" s="1"/>
  <c r="O58" i="33" s="1"/>
  <c r="E7" i="33"/>
  <c r="G7" i="33" s="1"/>
  <c r="I7" i="33" s="1"/>
  <c r="H87" i="43"/>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G41" i="43" s="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D6" i="61"/>
  <c r="D79" i="59" l="1"/>
  <c r="C78" i="59"/>
  <c r="D78" i="59" s="1"/>
  <c r="D47" i="59"/>
  <c r="C48" i="59"/>
  <c r="C82" i="59"/>
  <c r="D82" i="59" s="1"/>
  <c r="D83" i="59"/>
  <c r="U24" i="59"/>
  <c r="E23" i="59"/>
  <c r="E22" i="59" s="1"/>
  <c r="U39" i="40"/>
  <c r="AB39" i="40"/>
  <c r="AA12" i="34"/>
  <c r="S12" i="34"/>
  <c r="AA15" i="33"/>
  <c r="S15" i="33"/>
  <c r="AB9" i="21"/>
  <c r="U9" i="21"/>
  <c r="S9" i="21"/>
  <c r="AA9" i="21"/>
  <c r="AC12" i="21"/>
  <c r="W12" i="21"/>
  <c r="S29" i="33"/>
  <c r="AA29" i="33"/>
  <c r="S31" i="33"/>
  <c r="AA31" i="33"/>
  <c r="S11" i="35"/>
  <c r="AA11" i="35"/>
  <c r="U31" i="40"/>
  <c r="AB31" i="40"/>
  <c r="U12" i="36"/>
  <c r="AB12" i="36"/>
  <c r="U24" i="35"/>
  <c r="AB24" i="35"/>
  <c r="S34" i="35"/>
  <c r="AA34" i="35"/>
  <c r="H68" i="39"/>
  <c r="D70" i="39"/>
  <c r="E48" i="43"/>
  <c r="B46" i="43" s="1"/>
  <c r="E15" i="59"/>
  <c r="E14" i="59" s="1"/>
  <c r="E13" i="59" s="1"/>
  <c r="E12" i="59" s="1"/>
  <c r="U16" i="59"/>
  <c r="C70" i="59"/>
  <c r="D70" i="59" s="1"/>
  <c r="D71" i="59"/>
  <c r="N61" i="59"/>
  <c r="N62" i="59"/>
  <c r="D34" i="59"/>
  <c r="C35" i="59"/>
  <c r="D30" i="59"/>
  <c r="C31" i="59"/>
  <c r="D26" i="59"/>
  <c r="C27" i="59"/>
  <c r="AA39" i="40"/>
  <c r="S39" i="40"/>
  <c r="AC39" i="40"/>
  <c r="W39" i="40"/>
  <c r="AC12" i="34"/>
  <c r="W12" i="34"/>
  <c r="W12" i="35"/>
  <c r="AC12" i="35"/>
  <c r="AA12" i="21"/>
  <c r="S12" i="21"/>
  <c r="S13" i="33"/>
  <c r="AA13" i="33"/>
  <c r="U31" i="33"/>
  <c r="AB31" i="33"/>
  <c r="W32" i="36"/>
  <c r="AC32" i="36"/>
  <c r="S24" i="35"/>
  <c r="AA24" i="35"/>
  <c r="AB34" i="35"/>
  <c r="U34" i="35"/>
  <c r="L60" i="15"/>
  <c r="Q72" i="15" s="1"/>
  <c r="S32" i="33"/>
  <c r="D20" i="12"/>
  <c r="C20" i="12" s="1"/>
  <c r="C18" i="12" s="1"/>
  <c r="D17" i="12"/>
  <c r="C17" i="12" s="1"/>
  <c r="B27" i="31"/>
  <c r="B28" i="31" s="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X28" i="31" l="1"/>
  <c r="U28" i="31"/>
  <c r="Y28" i="31"/>
  <c r="V28" i="31"/>
  <c r="U12" i="59"/>
  <c r="E11" i="59"/>
  <c r="E10" i="59" s="1"/>
  <c r="E9" i="59" s="1"/>
  <c r="E8" i="59" s="1"/>
  <c r="D48" i="59"/>
  <c r="T48" i="59"/>
  <c r="E42" i="37"/>
  <c r="C28" i="59"/>
  <c r="D27" i="59"/>
  <c r="C32" i="59"/>
  <c r="D31" i="59"/>
  <c r="C36" i="59"/>
  <c r="D35" i="59"/>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6" i="59" l="1"/>
  <c r="M19" i="43" s="1"/>
  <c r="T36" i="59"/>
  <c r="T32" i="59"/>
  <c r="D32" i="59"/>
  <c r="D28" i="59"/>
  <c r="T28" i="59"/>
  <c r="U8" i="59"/>
  <c r="E7" i="59"/>
  <c r="E6" i="59" s="1"/>
  <c r="E5" i="59" s="1"/>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6" i="12"/>
  <c r="D25" i="12" s="1"/>
  <c r="C23" i="15"/>
  <c r="C24" i="15"/>
  <c r="C43" i="11"/>
  <c r="C44" i="11"/>
  <c r="D41" i="11" s="1"/>
  <c r="C42" i="11"/>
  <c r="C26" i="11"/>
  <c r="D22" i="11" s="1"/>
  <c r="C24" i="11"/>
  <c r="C61" i="15"/>
  <c r="C67" i="15"/>
  <c r="C38" i="15"/>
  <c r="B2" i="33" l="1"/>
  <c r="B3" i="33" s="1"/>
  <c r="R27" i="31"/>
  <c r="C27" i="12"/>
  <c r="C25" i="12" s="1"/>
  <c r="C30" i="12"/>
  <c r="C28" i="12" s="1"/>
  <c r="E125" i="57"/>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32" i="12" l="1"/>
  <c r="B3" i="12" s="1"/>
  <c r="R50" i="65"/>
  <c r="C49" i="65" s="1"/>
  <c r="I53" i="65"/>
  <c r="J53" i="65" s="1"/>
  <c r="I54" i="65"/>
  <c r="J54" i="65" s="1"/>
  <c r="E53" i="65"/>
  <c r="F53" i="65" s="1"/>
  <c r="E54" i="65"/>
  <c r="F54" i="65" s="1"/>
  <c r="G53" i="65"/>
  <c r="H53" i="65" s="1"/>
  <c r="G54" i="65"/>
  <c r="H54" i="65" s="1"/>
  <c r="C15" i="59"/>
  <c r="T16" i="59"/>
  <c r="D16" i="59"/>
  <c r="C27" i="43"/>
  <c r="C26" i="43"/>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2" i="43" l="1"/>
  <c r="B3" i="43" s="1"/>
  <c r="C7" i="11"/>
  <c r="C5" i="11" s="1"/>
  <c r="C50" i="65"/>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20" i="11" l="1"/>
  <c r="C23" i="11"/>
  <c r="B2" i="65"/>
  <c r="C13" i="59"/>
  <c r="D14"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C31" i="11" s="1"/>
  <c r="C52" i="11" s="1"/>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B2" i="11" l="1"/>
  <c r="B3" i="11"/>
  <c r="C56" i="11"/>
  <c r="C57" i="11" s="1"/>
  <c r="C11" i="59"/>
  <c r="T12" i="59"/>
  <c r="D12" i="59"/>
  <c r="D35" i="9"/>
  <c r="D34" i="9" s="1"/>
  <c r="L65" i="40"/>
  <c r="M63" i="40"/>
  <c r="AA7" i="39"/>
  <c r="R47" i="39" s="1"/>
  <c r="R48" i="39" s="1"/>
  <c r="S7" i="39"/>
  <c r="M59" i="34"/>
  <c r="N59" i="34" s="1"/>
  <c r="O59" i="34" s="1"/>
  <c r="H7" i="34" s="1"/>
  <c r="AB7" i="39"/>
  <c r="U7" i="39"/>
  <c r="AC7" i="39"/>
  <c r="W7" i="39"/>
  <c r="L58" i="15"/>
  <c r="L61" i="15" s="1"/>
  <c r="C10" i="59" l="1"/>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9" i="59" l="1"/>
  <c r="C8" i="59"/>
  <c r="R50" i="34"/>
  <c r="C49" i="34" s="1"/>
  <c r="E49" i="34"/>
  <c r="E53" i="34" s="1"/>
  <c r="F53" i="34" s="1"/>
  <c r="D102" i="9"/>
  <c r="D101"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R35" i="31" l="1"/>
  <c r="S35" i="31" s="1"/>
  <c r="C33" i="57"/>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R28" i="31" l="1"/>
  <c r="S28" i="31" s="1"/>
  <c r="T35" i="31"/>
  <c r="R29" i="31"/>
  <c r="T29" i="31" s="1"/>
  <c r="T27" i="31"/>
  <c r="S27" i="31"/>
  <c r="C6" i="59"/>
  <c r="D7" i="59"/>
  <c r="S30" i="31"/>
  <c r="T30" i="31"/>
  <c r="T33" i="31"/>
  <c r="S33" i="31"/>
  <c r="S32" i="31"/>
  <c r="T32" i="31"/>
  <c r="T31" i="31"/>
  <c r="S31" i="31"/>
  <c r="S34" i="31"/>
  <c r="T34" i="31"/>
  <c r="G47" i="40"/>
  <c r="H47" i="40" s="1"/>
  <c r="E42" i="40"/>
  <c r="T28" i="31" l="1"/>
  <c r="S29" i="31"/>
  <c r="S25" i="31" s="1"/>
  <c r="C5" i="59"/>
  <c r="D5" i="59" s="1"/>
  <c r="D6" i="59"/>
  <c r="M20" i="43" s="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C19" i="9"/>
  <c r="D19" i="57"/>
  <c r="C19" i="57"/>
  <c r="C101" i="9" l="1"/>
  <c r="D22" i="9"/>
  <c r="G19" i="9"/>
  <c r="C32" i="9" s="1"/>
  <c r="C35" i="9" s="1"/>
  <c r="C34" i="9" s="1"/>
  <c r="D121" i="9" s="1"/>
  <c r="B24" i="31"/>
  <c r="B3" i="31" s="1"/>
  <c r="D103" i="57"/>
  <c r="D22" i="57"/>
  <c r="G19" i="57"/>
  <c r="C103" i="57"/>
  <c r="C34" i="57"/>
  <c r="H125" i="57" s="1"/>
  <c r="C107" i="57" s="1"/>
  <c r="C20" i="9"/>
  <c r="C20" i="57"/>
  <c r="D20" i="57"/>
  <c r="H121" i="9" l="1"/>
  <c r="I121" i="9" s="1"/>
  <c r="C104" i="9" s="1"/>
  <c r="F121" i="9"/>
  <c r="F122" i="9" s="1"/>
  <c r="F5" i="52" s="1"/>
  <c r="B42" i="60" s="1"/>
  <c r="C102" i="9"/>
  <c r="G20" i="9"/>
  <c r="D14" i="62"/>
  <c r="E14" i="62" s="1"/>
  <c r="C104" i="57"/>
  <c r="G20" i="57"/>
  <c r="D104" i="57"/>
  <c r="C35" i="57"/>
  <c r="I125" i="57" s="1"/>
  <c r="I105" i="57" s="1"/>
  <c r="I104" i="57"/>
  <c r="N50" i="57" s="1"/>
  <c r="D110" i="57"/>
  <c r="D121" i="57" s="1"/>
  <c r="I117" i="57" s="1"/>
  <c r="H126" i="57"/>
  <c r="C106" i="57"/>
  <c r="C105" i="57"/>
  <c r="E121" i="9"/>
  <c r="E4" i="52" s="1"/>
  <c r="B38" i="60" s="1"/>
  <c r="D4" i="52"/>
  <c r="B37" i="60" s="1"/>
  <c r="C103" i="9"/>
  <c r="H4" i="52"/>
  <c r="F4" i="52"/>
  <c r="B40" i="60" s="1"/>
  <c r="G121" i="9"/>
  <c r="G4" i="52" s="1"/>
  <c r="B41" i="60" s="1"/>
  <c r="D122" i="9"/>
  <c r="D5" i="52" s="1"/>
  <c r="B39" i="60" s="1"/>
  <c r="I102" i="9" l="1"/>
  <c r="I110" i="9" s="1"/>
  <c r="N49" i="9" s="1"/>
  <c r="H122" i="9"/>
  <c r="D106" i="9"/>
  <c r="D112" i="9" s="1"/>
  <c r="D117" i="9" s="1"/>
  <c r="I115" i="9" s="1"/>
  <c r="D23" i="50" s="1"/>
  <c r="B34" i="60" s="1"/>
  <c r="I112" i="57"/>
  <c r="N51" i="57" s="1"/>
  <c r="F14" i="62"/>
  <c r="B5" i="62"/>
  <c r="D5" i="62" s="1"/>
  <c r="C108" i="57"/>
  <c r="D111" i="57"/>
  <c r="D116" i="57"/>
  <c r="D47" i="57"/>
  <c r="C80" i="57" s="1"/>
  <c r="C75" i="57" s="1"/>
  <c r="H5" i="52"/>
  <c r="I103" i="9"/>
  <c r="I4" i="52"/>
  <c r="D44" i="50"/>
  <c r="N48" i="9"/>
  <c r="D28" i="50"/>
  <c r="D29" i="50" s="1"/>
  <c r="D7" i="50"/>
  <c r="D107" i="9"/>
  <c r="D125" i="9"/>
  <c r="D113" i="9" l="1"/>
  <c r="D45" i="9"/>
  <c r="C78" i="9" s="1"/>
  <c r="C73" i="9" s="1"/>
  <c r="C5" i="62"/>
  <c r="D36" i="50"/>
  <c r="D37" i="50" s="1"/>
  <c r="D15" i="50"/>
  <c r="D16" i="50" s="1"/>
  <c r="B30" i="60" s="1"/>
  <c r="D129" i="57"/>
  <c r="D8" i="52" s="1"/>
  <c r="G14" i="62"/>
  <c r="B6" i="62" s="1"/>
  <c r="C6" i="62" s="1"/>
  <c r="D55" i="57"/>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C82" i="57" s="1"/>
  <c r="E82" i="57" s="1"/>
  <c r="E83" i="57" s="1"/>
  <c r="M69" i="57"/>
  <c r="N69" i="57" s="1"/>
  <c r="M67" i="57"/>
  <c r="N67" i="57" s="1"/>
  <c r="M66" i="57"/>
  <c r="N66" i="57" s="1"/>
  <c r="M70" i="57"/>
  <c r="N70" i="57" s="1"/>
  <c r="M68" i="57"/>
  <c r="N68" i="57" s="1"/>
  <c r="M65" i="57"/>
  <c r="N65" i="57" s="1"/>
  <c r="I111" i="9"/>
  <c r="B19" i="60"/>
  <c r="D8" i="50"/>
  <c r="B22" i="60" s="1"/>
  <c r="D30" i="50"/>
  <c r="D9" i="50"/>
  <c r="B21" i="60" s="1"/>
  <c r="D52" i="9"/>
  <c r="M65" i="9"/>
  <c r="N65" i="9" s="1"/>
  <c r="M66" i="9"/>
  <c r="N66" i="9" s="1"/>
  <c r="M68" i="9"/>
  <c r="N68" i="9" s="1"/>
  <c r="M67" i="9"/>
  <c r="N67" i="9" s="1"/>
  <c r="M64" i="9"/>
  <c r="N64" i="9" s="1"/>
  <c r="M63" i="9"/>
  <c r="N63" i="9" s="1"/>
  <c r="C64" i="9" l="1"/>
  <c r="C63" i="9" s="1"/>
  <c r="C67" i="9" s="1"/>
  <c r="C68" i="9" s="1"/>
  <c r="D54" i="9" s="1"/>
  <c r="C93" i="9"/>
  <c r="C86" i="9" s="1"/>
  <c r="C72" i="9"/>
  <c r="C79" i="9" s="1"/>
  <c r="C80" i="9" s="1"/>
  <c r="E80" i="9" s="1"/>
  <c r="E81" i="9" s="1"/>
  <c r="C85" i="9"/>
  <c r="C95" i="9" s="1"/>
  <c r="C96" i="9" s="1"/>
  <c r="E96" i="9" s="1"/>
  <c r="E97" i="9" s="1"/>
  <c r="D53" i="9"/>
  <c r="D48" i="9" s="1"/>
  <c r="N52" i="9" s="1"/>
  <c r="O57" i="9" s="1"/>
  <c r="Q57" i="9" s="1"/>
  <c r="B29" i="60"/>
  <c r="D6" i="62"/>
  <c r="D38" i="50"/>
  <c r="B62" i="60" s="1"/>
  <c r="C99" i="57"/>
  <c r="D60" i="57" s="1"/>
  <c r="D58" i="57" s="1"/>
  <c r="N56" i="57" s="1"/>
  <c r="O59" i="57" s="1"/>
  <c r="O61" i="57" s="1"/>
  <c r="C83" i="57"/>
  <c r="N71" i="57"/>
  <c r="O71" i="57" s="1"/>
  <c r="N69" i="9"/>
  <c r="O69" i="9" s="1"/>
  <c r="D126" i="9"/>
  <c r="D9" i="52" s="1"/>
  <c r="D17" i="50"/>
  <c r="O58" i="9" l="1"/>
  <c r="O59" i="9"/>
  <c r="O60" i="9" s="1"/>
  <c r="O60" i="57"/>
  <c r="Q59" i="57"/>
  <c r="O63" i="57"/>
  <c r="O62" i="57"/>
  <c r="C97" i="9"/>
  <c r="D58" i="9" s="1"/>
  <c r="C81" i="9"/>
  <c r="O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6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6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<sst xmlns="http://schemas.openxmlformats.org/spreadsheetml/2006/main" count="7348" uniqueCount="3097">
  <si>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</si>
  <si>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</si>
  <si>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</si>
  <si>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</si>
  <si>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</si>
  <si>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</si>
  <si>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</si>
  <si>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</si>
  <si>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</si>
  <si>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</si>
  <si>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</si>
  <si>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</si>
  <si>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</si>
  <si>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</si>
  <si>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</si>
  <si>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</si>
  <si>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</si>
  <si>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</si>
  <si>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</si>
  <si>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</si>
  <si>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</si>
  <si>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</si>
  <si>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</si>
  <si>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</si>
  <si>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</si>
  <si>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</si>
  <si>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</si>
  <si>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</si>
  <si>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</si>
  <si>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</si>
  <si>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</si>
  <si>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</si>
  <si>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</si>
  <si>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</si>
  <si>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</si>
  <si>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</si>
  <si>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</si>
  <si>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</si>
  <si>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</si>
  <si>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</si>
  <si>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</si>
  <si>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</si>
  <si>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</si>
  <si>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</si>
  <si>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</si>
  <si>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</si>
  <si>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</si>
  <si>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</si>
  <si>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</si>
  <si>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</si>
  <si>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</si>
  <si>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</si>
  <si>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</si>
  <si>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</si>
  <si>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</si>
  <si>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</si>
  <si>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</si>
  <si>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</si>
  <si>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</si>
  <si>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</si>
  <si>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</si>
  <si>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</si>
  <si>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</si>
  <si>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</si>
  <si>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</si>
  <si>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</si>
  <si>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</si>
  <si>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</si>
  <si>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</si>
  <si>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</si>
  <si>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</si>
  <si>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</si>
  <si>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</si>
  <si>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</si>
  <si>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</si>
  <si>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</si>
  <si>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</si>
  <si>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</si>
  <si>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</si>
  <si>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</si>
  <si>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</si>
  <si>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</si>
  <si>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</si>
  <si>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</si>
  <si>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</si>
  <si>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</si>
  <si>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</si>
  <si>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</si>
  <si>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</si>
  <si>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</si>
  <si>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</si>
  <si>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</si>
  <si>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</si>
  <si>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</si>
  <si>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</si>
  <si>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</si>
  <si>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</si>
  <si>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</si>
  <si>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</si>
  <si>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</si>
  <si>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</si>
  <si>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</si>
  <si>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</si>
  <si>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</si>
  <si>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</si>
  <si>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</si>
  <si>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</si>
  <si>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</si>
  <si>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</si>
  <si>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</si>
  <si>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</si>
  <si>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</si>
  <si>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</si>
  <si>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</si>
  <si>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</si>
  <si>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</si>
  <si>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</si>
  <si>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</si>
  <si>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</si>
  <si>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</si>
  <si>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</si>
  <si>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</si>
  <si>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</si>
  <si>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</si>
  <si>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</si>
  <si>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</si>
  <si>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</si>
  <si>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</si>
  <si>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</si>
  <si>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</si>
  <si>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</si>
  <si>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</si>
  <si>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</si>
  <si>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</si>
  <si>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</si>
  <si>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</si>
  <si>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</si>
  <si>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</si>
  <si>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</si>
  <si>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</si>
  <si>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</si>
  <si>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</si>
  <si>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</si>
  <si>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</si>
  <si>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</si>
  <si>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</si>
  <si>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</si>
  <si>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</si>
  <si>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</si>
  <si>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</si>
  <si>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</si>
  <si>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</si>
  <si>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</si>
  <si>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</si>
  <si>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</si>
  <si>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</si>
  <si>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</si>
  <si>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</si>
  <si>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</si>
  <si>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</si>
  <si>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</si>
  <si>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</si>
  <si>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</si>
  <si>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</si>
  <si>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</si>
  <si>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</si>
  <si>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</si>
  <si>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</si>
  <si>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</si>
  <si>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</si>
  <si>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</si>
  <si>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</si>
  <si>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</si>
  <si>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</si>
  <si>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</si>
  <si>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</si>
  <si>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</si>
  <si>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</si>
  <si>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</si>
  <si>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</si>
  <si>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</si>
  <si>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</si>
  <si>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</si>
  <si>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</si>
  <si>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</si>
  <si>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</si>
  <si>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</si>
  <si>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</si>
  <si>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</si>
  <si>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</si>
  <si>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</si>
  <si>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</si>
  <si>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</si>
  <si>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</si>
  <si>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</si>
  <si>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</si>
  <si>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</si>
  <si>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</si>
  <si>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</si>
  <si>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</si>
  <si>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</si>
  <si>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</si>
  <si>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</si>
  <si>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</si>
  <si>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</si>
  <si>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</si>
  <si>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</si>
  <si>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</si>
  <si>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</si>
  <si>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</si>
  <si>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</si>
  <si>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</si>
  <si>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</si>
  <si>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</si>
  <si>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</si>
  <si>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</si>
  <si>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</si>
  <si>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</si>
  <si>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</si>
  <si>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</si>
  <si>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</si>
  <si>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</si>
  <si>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</si>
  <si>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</si>
  <si>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</si>
  <si>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</si>
  <si>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</si>
  <si>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</si>
  <si>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</si>
  <si>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</si>
  <si>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</si>
  <si>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</si>
  <si>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</si>
  <si>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</si>
  <si>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</si>
  <si>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</si>
  <si>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</si>
  <si>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</si>
  <si>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</si>
  <si>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</si>
  <si>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</si>
  <si>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</si>
  <si>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</si>
  <si>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</si>
  <si>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</si>
  <si>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</si>
  <si>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</si>
  <si>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</si>
  <si>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</si>
  <si>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</si>
  <si>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</si>
  <si>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</si>
  <si>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</si>
  <si>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</si>
  <si>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</si>
  <si>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</si>
  <si>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</si>
  <si>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</si>
  <si>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</si>
  <si>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</si>
  <si>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</si>
  <si>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</si>
  <si>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</si>
  <si>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</si>
  <si>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</si>
  <si>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</si>
  <si>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</si>
  <si>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</si>
  <si>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</si>
  <si>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</si>
  <si>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</si>
  <si>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</si>
  <si>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</si>
  <si>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</si>
  <si>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</si>
  <si>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</si>
  <si>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</si>
  <si>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</si>
  <si>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</si>
  <si>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</si>
  <si>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</si>
  <si>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</si>
  <si>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</si>
  <si>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</si>
  <si>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</si>
  <si>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</si>
  <si>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</si>
  <si>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</si>
  <si>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</si>
  <si>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</si>
  <si>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</si>
  <si>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</si>
  <si>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</si>
  <si>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</si>
  <si>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</si>
  <si>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</si>
  <si>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</si>
  <si>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</si>
  <si>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</si>
  <si>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</si>
  <si>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</si>
  <si>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</si>
  <si>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</si>
  <si>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</si>
  <si>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</si>
  <si>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</si>
  <si>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</si>
  <si>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</si>
  <si>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</si>
  <si>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</si>
  <si>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</si>
  <si>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</si>
  <si>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</si>
  <si>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</si>
  <si>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</si>
  <si>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</si>
  <si>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</si>
  <si>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</si>
  <si>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</si>
  <si>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</si>
  <si>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</si>
  <si>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</si>
  <si>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</si>
  <si>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</si>
  <si>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</si>
  <si>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</si>
  <si>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</si>
  <si>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</si>
  <si>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</si>
  <si>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</si>
  <si>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</si>
  <si>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</si>
  <si>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</si>
  <si>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</si>
  <si>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</si>
  <si>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</si>
  <si>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</si>
  <si>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</si>
  <si>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</si>
  <si>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</si>
  <si>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</si>
  <si>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</si>
  <si>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</si>
  <si>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</si>
  <si>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</si>
  <si>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</si>
  <si>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</si>
  <si>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</si>
  <si>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</si>
  <si>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</si>
  <si>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</si>
  <si>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</si>
  <si>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</si>
  <si>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</si>
  <si>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</si>
  <si>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</si>
  <si>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</si>
  <si>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</si>
  <si>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</si>
  <si>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</si>
  <si>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</si>
  <si>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</si>
  <si>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</si>
  <si>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</si>
  <si>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</si>
  <si>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</si>
  <si>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</si>
  <si>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</si>
  <si>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</si>
  <si>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</si>
  <si>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</si>
  <si>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</si>
  <si>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</si>
  <si>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</si>
  <si>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</si>
  <si>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</si>
  <si>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</si>
  <si>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</si>
  <si>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</si>
  <si>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</si>
  <si>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</si>
  <si>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</si>
  <si>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</si>
  <si>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</si>
  <si>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</si>
  <si>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</si>
  <si>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</si>
  <si>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</si>
  <si>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</si>
  <si>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</si>
  <si>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</si>
  <si>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</si>
  <si>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</si>
  <si>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</si>
  <si>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</si>
  <si>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</si>
  <si>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</si>
  <si>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</si>
  <si>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</si>
  <si>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</si>
  <si>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</si>
  <si>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</si>
  <si>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</si>
  <si>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</si>
  <si>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</si>
  <si>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</si>
  <si>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</si>
  <si>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</si>
  <si>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</si>
  <si>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</si>
  <si>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</si>
  <si>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</si>
  <si>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</si>
  <si>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</si>
  <si>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</si>
  <si>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</si>
  <si>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</si>
  <si>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</si>
  <si>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</si>
  <si>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</si>
  <si>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</si>
  <si>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</si>
  <si>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</si>
  <si>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</si>
  <si>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</si>
  <si>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</si>
  <si>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</si>
  <si>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</si>
  <si>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</si>
  <si>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</si>
  <si>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</si>
  <si>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</si>
  <si>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</si>
  <si>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</si>
  <si>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</si>
  <si>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</si>
  <si>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</si>
  <si>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</si>
  <si>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</si>
  <si>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</si>
  <si>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</si>
  <si>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</si>
  <si>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</si>
  <si>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</si>
  <si>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</si>
  <si>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</si>
  <si>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</si>
  <si>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</si>
  <si>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</si>
  <si>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</si>
  <si>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</si>
  <si>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</si>
  <si>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</si>
  <si>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</si>
  <si>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</si>
  <si>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</si>
  <si>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</si>
  <si>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</si>
  <si>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</si>
  <si>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</si>
  <si>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</si>
  <si>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</si>
  <si>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</si>
  <si>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</si>
  <si>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</si>
  <si>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</si>
  <si>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</si>
  <si>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</si>
  <si>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</si>
  <si>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</si>
  <si>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</si>
  <si>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</si>
  <si>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</si>
  <si>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</si>
  <si>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</si>
  <si>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</si>
  <si>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</si>
  <si>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</si>
  <si>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</si>
  <si>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</si>
  <si>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</si>
  <si>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</si>
  <si>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</si>
  <si>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</si>
  <si>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</si>
  <si>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</si>
  <si>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</si>
  <si>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</si>
  <si>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</si>
  <si>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</si>
  <si>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</si>
  <si>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</si>
  <si>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</si>
  <si>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</si>
  <si>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</si>
  <si>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</si>
  <si>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</si>
  <si>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</si>
  <si>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</si>
  <si>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</si>
  <si>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</si>
  <si>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</si>
  <si>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</si>
  <si>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</si>
  <si>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</si>
  <si>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</si>
  <si>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</si>
  <si>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</si>
  <si>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</si>
  <si>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</si>
  <si>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</si>
  <si>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</si>
  <si>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</si>
  <si>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</si>
  <si>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</si>
  <si>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</si>
  <si>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</si>
  <si>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</si>
  <si>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</si>
  <si>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</si>
  <si>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</si>
  <si>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</si>
  <si>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</si>
  <si>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</si>
  <si>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</si>
  <si>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</si>
  <si>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</si>
  <si>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</si>
  <si>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</si>
  <si>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</si>
  <si>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</si>
  <si>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</si>
  <si>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</si>
  <si>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</si>
  <si>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</si>
  <si>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</si>
  <si>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</si>
  <si>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</si>
  <si>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</si>
  <si>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</si>
  <si>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</si>
  <si>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</si>
  <si>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</si>
  <si>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</si>
  <si>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</si>
  <si>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</si>
  <si>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</si>
  <si>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</si>
  <si>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</si>
  <si>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</si>
  <si>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</si>
  <si>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</si>
  <si>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</si>
  <si>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</si>
  <si>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</si>
  <si>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</si>
  <si>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</si>
  <si>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</si>
  <si>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</si>
  <si>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</si>
  <si>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</si>
  <si>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</si>
  <si>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</si>
  <si>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</si>
  <si>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</si>
  <si>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</si>
  <si>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</si>
  <si>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</si>
  <si>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</si>
  <si>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</si>
  <si>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</si>
  <si>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</si>
  <si>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</si>
  <si>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</si>
  <si>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</si>
  <si>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</si>
  <si>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</si>
  <si>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</si>
  <si>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</si>
  <si>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</si>
  <si>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</si>
  <si>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</si>
  <si>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</si>
  <si>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</si>
  <si>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</si>
  <si>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</si>
  <si>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</si>
  <si>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</si>
  <si>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</si>
  <si>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</si>
  <si>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</si>
  <si>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</si>
  <si>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</si>
  <si>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</si>
  <si>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</si>
  <si>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</si>
  <si>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</si>
  <si>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</si>
  <si>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</si>
  <si>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</si>
  <si>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</si>
  <si>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</si>
  <si>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</si>
  <si>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</si>
  <si>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</si>
  <si>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</si>
  <si>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</si>
  <si>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</si>
  <si>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</si>
  <si>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</si>
  <si>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</si>
  <si>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</si>
  <si>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</si>
  <si>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</si>
  <si>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</si>
  <si>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</si>
  <si>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</si>
  <si>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</si>
  <si>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</si>
  <si>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</si>
  <si>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</si>
  <si>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</si>
  <si>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</si>
  <si>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</si>
  <si>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</si>
  <si>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</si>
  <si>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</si>
  <si>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</si>
  <si>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</si>
  <si>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</si>
  <si>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</si>
  <si>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</si>
  <si>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</si>
  <si>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</si>
  <si>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</si>
  <si>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</si>
  <si>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</si>
  <si>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</si>
  <si>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</si>
  <si>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</si>
  <si>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</si>
  <si>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</si>
  <si>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</si>
  <si>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</si>
  <si>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</si>
  <si>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</si>
  <si>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</si>
  <si>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</si>
  <si>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</si>
  <si>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</si>
  <si>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</si>
  <si>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</si>
  <si>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</si>
  <si>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</si>
  <si>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</si>
  <si>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</si>
  <si>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</si>
  <si>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</si>
  <si>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</si>
  <si>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</si>
  <si>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</si>
  <si>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</si>
  <si>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</si>
  <si>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</si>
  <si>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</si>
  <si>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</si>
  <si>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</si>
  <si>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</si>
  <si>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</si>
  <si>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</si>
  <si>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</si>
  <si>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</si>
  <si>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</si>
  <si>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</si>
  <si>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</si>
  <si>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</si>
  <si>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</si>
  <si>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</si>
  <si>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</si>
  <si>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</si>
  <si>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</si>
  <si>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</si>
  <si>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</si>
  <si>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</si>
  <si>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</si>
  <si>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</si>
  <si>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</si>
  <si>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</si>
  <si>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</si>
  <si>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</si>
  <si>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</si>
  <si>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</si>
  <si>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</si>
  <si>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</si>
  <si>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</si>
  <si>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</si>
  <si>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</si>
  <si>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</si>
  <si>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</si>
  <si>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</si>
  <si>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</si>
  <si>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</si>
  <si>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</si>
  <si>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</si>
  <si>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</si>
  <si>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</si>
  <si>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</si>
  <si>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</si>
  <si>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</si>
  <si>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</si>
  <si>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</si>
  <si>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</si>
  <si>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</si>
  <si>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</si>
  <si>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</si>
  <si>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</si>
  <si>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</si>
  <si>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</si>
  <si>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</si>
  <si>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</si>
  <si>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</si>
  <si>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</si>
  <si>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</si>
  <si>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</si>
  <si>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</si>
  <si>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</si>
  <si>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</si>
  <si>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</si>
  <si>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</si>
  <si>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</si>
  <si>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</si>
  <si>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</si>
  <si>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</si>
  <si>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</si>
  <si>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</si>
  <si>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</si>
  <si>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</si>
  <si>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</si>
  <si>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</si>
  <si>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</si>
  <si>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</si>
  <si>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</si>
  <si>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</si>
  <si>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</si>
  <si>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</si>
  <si>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</si>
  <si>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</si>
  <si>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</si>
  <si>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</si>
  <si>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</si>
  <si>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</si>
  <si>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</si>
  <si>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</si>
  <si>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</si>
  <si>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</si>
  <si>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</si>
  <si>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</si>
  <si>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</si>
  <si>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</si>
  <si>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</si>
  <si>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</si>
  <si>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</si>
  <si>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</si>
  <si>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</si>
  <si>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</si>
  <si>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</si>
  <si>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</si>
  <si>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</si>
  <si>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</si>
  <si>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</si>
  <si>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</si>
  <si>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</si>
  <si>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</si>
  <si>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</si>
  <si>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</si>
  <si>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</si>
  <si>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</si>
  <si>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</si>
  <si>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</si>
  <si>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</si>
  <si>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</si>
  <si>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</si>
  <si>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</si>
  <si>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</si>
  <si>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</si>
  <si>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</si>
  <si>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</si>
  <si>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</si>
  <si>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</si>
  <si>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</si>
  <si>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</si>
  <si>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</si>
  <si>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</si>
  <si>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</si>
  <si>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</si>
  <si>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</si>
  <si>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</si>
  <si>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</si>
  <si>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</si>
  <si>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</si>
  <si>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</si>
  <si>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</si>
  <si>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</si>
  <si>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</si>
  <si>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</si>
  <si>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</si>
  <si>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</si>
  <si>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</si>
  <si>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</si>
  <si>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</si>
  <si>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</si>
  <si>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</si>
  <si>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</si>
  <si>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</si>
  <si>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</si>
  <si>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</si>
  <si>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</si>
  <si>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</si>
  <si>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</si>
  <si>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</si>
  <si>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</si>
  <si>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</si>
  <si>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</si>
  <si>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</si>
  <si>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</si>
  <si>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</si>
  <si>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</si>
  <si>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</si>
  <si>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</si>
  <si>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</si>
  <si>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</si>
  <si>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</si>
  <si>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</si>
  <si>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</si>
  <si>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</si>
  <si>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</si>
  <si>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</si>
  <si>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</si>
  <si>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</si>
  <si>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</si>
  <si>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</si>
  <si>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</si>
  <si>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</si>
  <si>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</si>
  <si>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</si>
  <si>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</si>
  <si>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</si>
  <si>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</si>
  <si>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</si>
  <si>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</si>
  <si>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</si>
  <si>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</si>
  <si>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</si>
  <si>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</si>
  <si>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</si>
  <si>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</si>
  <si>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</si>
  <si>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</si>
  <si>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</si>
  <si>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</si>
  <si>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</si>
  <si>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</si>
  <si>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</si>
  <si>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</si>
  <si>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</si>
  <si>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</si>
  <si>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</si>
  <si>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</si>
  <si>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</si>
  <si>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</si>
  <si>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</si>
  <si>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</si>
  <si>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</si>
  <si>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</si>
  <si>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</si>
  <si>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</si>
  <si>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</si>
  <si>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</si>
  <si>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</si>
  <si>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</si>
  <si>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</si>
  <si>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</si>
  <si>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</si>
  <si>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</si>
  <si>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</si>
  <si>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</si>
  <si>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</si>
  <si>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</si>
  <si>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</si>
  <si>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</si>
  <si>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</si>
  <si>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</si>
  <si>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</si>
  <si>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</si>
  <si>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</si>
  <si>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</si>
  <si>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</si>
  <si>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</si>
  <si>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</si>
  <si>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</si>
  <si>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</si>
  <si>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</si>
  <si>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</si>
  <si>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</si>
  <si>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</si>
  <si>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</si>
  <si>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</si>
  <si>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</si>
  <si>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</si>
  <si>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</si>
  <si>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</si>
  <si>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</si>
  <si>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</si>
  <si>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</si>
  <si>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</si>
  <si>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</si>
  <si>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</si>
  <si>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</si>
  <si>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</si>
  <si>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</si>
  <si>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</si>
  <si>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</si>
  <si>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</si>
  <si>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</si>
  <si>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</si>
  <si>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</si>
  <si>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</si>
  <si>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</si>
  <si>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</si>
  <si>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</si>
  <si>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</si>
  <si>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</si>
  <si>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</si>
  <si>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</si>
  <si>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</si>
  <si>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</si>
  <si>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</si>
  <si>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</si>
  <si>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</si>
  <si>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</si>
  <si>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</si>
  <si>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</si>
  <si>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</si>
  <si>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</si>
  <si>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</si>
  <si>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</si>
  <si>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</si>
  <si>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</si>
  <si>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</si>
  <si>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</si>
  <si>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</si>
  <si>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</si>
  <si>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</si>
  <si>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</si>
  <si>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</si>
  <si>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</si>
  <si>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</si>
  <si>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</si>
  <si>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</si>
  <si>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</si>
  <si>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</si>
  <si>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</si>
  <si>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</si>
  <si>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</si>
  <si>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</si>
  <si>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</si>
  <si>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</si>
  <si>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</si>
  <si>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</si>
  <si>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</si>
  <si>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</si>
  <si>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</si>
  <si>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</si>
  <si>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</si>
  <si>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</si>
  <si>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</si>
  <si>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</si>
  <si>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</si>
  <si>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</si>
  <si>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</si>
  <si>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</si>
  <si>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</si>
  <si>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</si>
  <si>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</si>
  <si>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</si>
  <si>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</si>
  <si>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</si>
  <si>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</si>
  <si>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</si>
  <si>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</si>
  <si>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</si>
  <si>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</si>
  <si>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</si>
  <si>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</si>
  <si>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</si>
  <si>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</si>
  <si>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</si>
  <si>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</si>
  <si>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</si>
  <si>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</si>
  <si>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</si>
  <si>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</si>
  <si>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</si>
  <si>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</si>
  <si>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</si>
  <si>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</si>
  <si>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</si>
  <si>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</si>
  <si>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</si>
  <si>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</si>
  <si>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</si>
  <si>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</si>
  <si>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</si>
  <si>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</si>
  <si>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</si>
  <si>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</si>
  <si>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</si>
  <si>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</si>
  <si>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</si>
  <si>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</si>
  <si>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</si>
  <si>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</si>
  <si>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</si>
  <si>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</si>
  <si>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</si>
  <si>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</si>
  <si>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</si>
  <si>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</si>
  <si>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</si>
  <si>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</si>
  <si>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</si>
  <si>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</si>
  <si>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</si>
  <si>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</si>
  <si>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</si>
  <si>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</si>
  <si>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</si>
  <si>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</si>
  <si>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</si>
  <si>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</si>
  <si>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</si>
  <si>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</si>
  <si>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</si>
  <si>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</si>
  <si>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</si>
  <si>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</si>
  <si>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</si>
  <si>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</si>
  <si>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</si>
  <si>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</si>
  <si>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</si>
  <si>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</si>
  <si>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</si>
  <si>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</si>
  <si>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</si>
  <si>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</si>
  <si>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</si>
  <si>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</si>
  <si>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</si>
  <si>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</si>
  <si>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</si>
  <si>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</si>
  <si>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</si>
  <si>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</si>
  <si>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</si>
  <si>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</si>
  <si>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</si>
  <si>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</si>
  <si>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</si>
  <si>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</si>
  <si>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</si>
  <si>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</si>
  <si>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</si>
  <si>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</si>
  <si>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</si>
  <si>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</si>
  <si>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</si>
  <si>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</si>
  <si>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</si>
  <si>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</si>
  <si>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</si>
  <si>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</si>
  <si>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</si>
  <si>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</si>
  <si>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</si>
  <si>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</si>
  <si>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</si>
  <si>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</si>
  <si>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</si>
  <si>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</si>
  <si>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</si>
  <si>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</si>
  <si>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</si>
  <si>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</si>
  <si>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</si>
  <si>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</si>
  <si>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</si>
  <si>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</si>
  <si>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</si>
  <si>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</si>
  <si>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</si>
  <si>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</si>
  <si>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</si>
  <si>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</si>
  <si>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</si>
  <si>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</si>
  <si>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</si>
  <si>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</si>
  <si>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</si>
  <si>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</si>
  <si>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</si>
  <si>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</si>
  <si>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</si>
  <si>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</si>
  <si>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</si>
  <si>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</si>
  <si>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</si>
  <si>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</si>
  <si>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</si>
  <si>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</si>
  <si>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</si>
  <si>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</si>
  <si>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</si>
  <si>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</si>
  <si>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</si>
  <si>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</si>
  <si>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</si>
  <si>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</si>
  <si>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</si>
  <si>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</si>
  <si>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</si>
  <si>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</si>
  <si>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</si>
  <si>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</si>
  <si>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</si>
  <si>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</si>
  <si>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</si>
  <si>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</si>
  <si>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</si>
  <si>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</si>
  <si>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</si>
  <si>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</si>
  <si>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</si>
  <si>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</si>
  <si>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</si>
  <si>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</si>
  <si>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</si>
  <si>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</si>
  <si>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</si>
  <si>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</si>
  <si>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</si>
  <si>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</si>
  <si>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</si>
  <si>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</si>
  <si>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</si>
  <si>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</si>
  <si>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</si>
  <si>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</si>
  <si>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</si>
  <si>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</si>
  <si>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</si>
  <si>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</si>
  <si>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</si>
  <si>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</si>
  <si>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</si>
  <si>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</si>
  <si>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</si>
  <si>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</si>
  <si>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</si>
  <si>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</si>
  <si>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</si>
  <si>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</si>
  <si>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</si>
  <si>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</si>
  <si>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</si>
  <si>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</si>
  <si>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</si>
  <si>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</si>
  <si>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</si>
  <si>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</si>
  <si>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</si>
  <si>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</si>
  <si>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</si>
  <si>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</si>
  <si>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</si>
  <si>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</si>
  <si>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</si>
  <si>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</si>
  <si>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</si>
  <si>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</si>
  <si>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</si>
  <si>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</si>
  <si>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</si>
  <si>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</si>
  <si>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</si>
  <si>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</si>
  <si>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</si>
  <si>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</si>
  <si>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</si>
  <si>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</si>
  <si>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</si>
  <si>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</si>
  <si>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</si>
  <si>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</si>
  <si>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</si>
  <si>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</si>
  <si>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</si>
  <si>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</si>
  <si>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</si>
  <si>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</si>
  <si>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</si>
  <si>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</si>
  <si>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</si>
  <si>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</si>
  <si>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</si>
  <si>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</si>
  <si>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</si>
  <si>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</si>
  <si>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</si>
  <si>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</si>
  <si>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</si>
  <si>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</si>
  <si>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</si>
  <si>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</si>
  <si>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</si>
  <si>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</si>
  <si>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</si>
  <si>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</si>
  <si>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</si>
  <si>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</si>
  <si>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</si>
  <si>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</si>
  <si>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</si>
  <si>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</si>
  <si>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</si>
  <si>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</si>
  <si>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</si>
  <si>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</si>
  <si>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</si>
  <si>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</si>
  <si>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</si>
  <si>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</si>
  <si>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</si>
  <si>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</si>
  <si>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</si>
  <si>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</si>
  <si>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</si>
  <si>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</si>
  <si>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</si>
  <si>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</si>
  <si>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</si>
  <si>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</si>
  <si>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</si>
  <si>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</si>
  <si>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</si>
  <si>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</si>
  <si>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</si>
  <si>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</si>
  <si>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</si>
  <si>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</si>
  <si>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</si>
  <si>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</si>
  <si>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</si>
  <si>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</si>
  <si>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</si>
  <si>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</si>
  <si>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</si>
  <si>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</si>
  <si>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</si>
  <si>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</si>
  <si>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</si>
  <si>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</si>
  <si>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</si>
  <si>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</si>
  <si>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</si>
  <si>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</si>
  <si>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</si>
  <si>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</si>
  <si>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</si>
  <si>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</si>
  <si>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</si>
  <si>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</si>
  <si>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</si>
  <si>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</si>
  <si>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</si>
  <si>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</si>
  <si>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</si>
  <si>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</si>
  <si>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</si>
  <si>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</si>
  <si>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</si>
  <si>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</si>
  <si>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</si>
  <si>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</si>
  <si>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</si>
  <si>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</si>
  <si>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</si>
  <si>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</si>
  <si>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</si>
  <si>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</si>
  <si>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</si>
  <si>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</si>
  <si>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</si>
  <si>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</si>
  <si>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</si>
  <si>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</si>
  <si>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</si>
  <si>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</si>
  <si>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</si>
  <si>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</si>
  <si>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</si>
  <si>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</si>
  <si>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</si>
  <si>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</si>
  <si>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</si>
  <si>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</si>
  <si>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</si>
  <si>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</si>
  <si>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</si>
  <si>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</si>
  <si>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</si>
  <si>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</si>
  <si>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</si>
  <si>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</si>
  <si>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</si>
  <si>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</si>
  <si>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</si>
  <si>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</si>
  <si>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</si>
  <si>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</si>
  <si>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</si>
  <si>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</si>
  <si>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</si>
  <si>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</si>
  <si>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</si>
  <si>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</si>
  <si>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</si>
  <si>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</si>
  <si>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</si>
  <si>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</si>
  <si>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</si>
  <si>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</si>
  <si>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</si>
  <si>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</si>
  <si>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</si>
  <si>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</si>
  <si>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</si>
  <si>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</si>
  <si>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</si>
  <si>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</si>
  <si>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</si>
  <si>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</si>
  <si>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</si>
  <si>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</si>
  <si>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</si>
  <si>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</si>
  <si>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</si>
  <si>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</si>
  <si>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</si>
  <si>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</si>
  <si>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</si>
  <si>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</si>
  <si>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</si>
  <si>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</si>
  <si>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</si>
  <si>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</si>
  <si>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</si>
  <si>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</si>
  <si>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</si>
  <si>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</si>
  <si>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</si>
  <si>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</si>
  <si>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</si>
  <si>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</si>
  <si>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</si>
  <si>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</si>
  <si>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</si>
  <si>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</si>
  <si>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</si>
  <si>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</si>
  <si>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</si>
  <si>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</si>
  <si>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</si>
  <si>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</si>
  <si>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</si>
  <si>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</si>
  <si>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</si>
  <si>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</si>
  <si>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</si>
  <si>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</si>
  <si>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</si>
  <si>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</si>
  <si>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</si>
  <si>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</si>
  <si>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</si>
  <si>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</si>
  <si>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</si>
  <si>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</si>
  <si>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</si>
  <si>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</si>
  <si>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</si>
  <si>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</si>
  <si>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</si>
  <si>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</si>
  <si>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</si>
  <si>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</si>
  <si>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</si>
  <si>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</si>
  <si>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</si>
  <si>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</si>
  <si>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</si>
  <si>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</si>
  <si>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</si>
  <si>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</si>
  <si>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</si>
  <si>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</si>
  <si>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</si>
  <si>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</si>
  <si>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</si>
  <si>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</si>
  <si>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</si>
  <si>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</si>
  <si>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</si>
  <si>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</si>
  <si>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</si>
  <si>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</si>
  <si>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</si>
  <si>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</si>
  <si>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</si>
  <si>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</si>
  <si>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</si>
  <si>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</si>
  <si>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</si>
  <si>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</si>
  <si>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</si>
  <si>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</si>
  <si>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</si>
  <si>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</si>
  <si>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</si>
  <si>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</si>
  <si>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</si>
  <si>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</si>
  <si>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</si>
  <si>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</si>
  <si>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</si>
  <si>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</si>
  <si>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</si>
  <si>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</si>
  <si>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</si>
  <si>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</si>
  <si>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</si>
  <si>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</si>
  <si>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</si>
  <si>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</si>
  <si>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</si>
  <si>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</si>
  <si>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</si>
  <si>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</si>
  <si>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</si>
  <si>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</si>
  <si>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</si>
  <si>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</si>
  <si>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</si>
  <si>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</si>
  <si>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</si>
  <si>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</si>
  <si>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</si>
  <si>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</si>
  <si>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</si>
  <si>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</si>
  <si>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</si>
  <si>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</si>
  <si>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</si>
  <si>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</si>
  <si>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</si>
  <si>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</si>
  <si>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</si>
  <si>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</si>
  <si>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</si>
  <si>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</si>
  <si>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</si>
  <si>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</si>
  <si>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</si>
  <si>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</si>
  <si>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</si>
  <si>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</si>
  <si>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</si>
  <si>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</si>
  <si>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</si>
  <si>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</si>
  <si>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</si>
  <si>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</si>
  <si>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</si>
  <si>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</si>
  <si>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</si>
  <si>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</si>
  <si>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</si>
  <si>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</si>
  <si>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</si>
  <si>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</si>
  <si>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</si>
  <si>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</si>
  <si>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</si>
  <si>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</si>
  <si>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</si>
  <si>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</si>
  <si>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</si>
  <si>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</si>
  <si>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</si>
  <si>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</si>
  <si>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</si>
  <si>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</si>
  <si>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</si>
  <si>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</si>
  <si>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</si>
  <si>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</si>
  <si>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</si>
  <si>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</si>
  <si>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</si>
  <si>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</si>
  <si>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</si>
  <si>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</si>
  <si>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</si>
  <si>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</si>
  <si>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</si>
  <si>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</si>
  <si>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</si>
  <si>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</si>
  <si>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</si>
  <si>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</si>
  <si>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</si>
  <si>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</si>
  <si>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</si>
  <si>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</si>
  <si>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</si>
  <si>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</si>
  <si>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</si>
  <si>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</si>
  <si>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</si>
  <si>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</si>
  <si>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</si>
  <si>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</si>
  <si>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</si>
  <si>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</si>
  <si>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</si>
  <si>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</si>
  <si>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</si>
  <si>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</si>
  <si>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</si>
  <si>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</si>
  <si>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</si>
  <si>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</si>
  <si>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</si>
  <si>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</si>
  <si>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</si>
  <si>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</si>
  <si>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</si>
  <si>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</si>
  <si>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</si>
  <si>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</si>
  <si>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</si>
  <si>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</si>
  <si>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</si>
  <si>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</si>
  <si>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</si>
  <si>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</si>
  <si>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</si>
  <si>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</si>
  <si>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</si>
  <si>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</si>
  <si>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</si>
  <si>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</si>
  <si>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</si>
  <si>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</si>
  <si>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</si>
  <si>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</si>
  <si>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</si>
  <si>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</si>
  <si>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</si>
  <si>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</si>
  <si>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</si>
  <si>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</si>
  <si>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</si>
  <si>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</si>
  <si>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</si>
  <si>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</si>
  <si>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</si>
  <si>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</si>
  <si>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</si>
  <si>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</si>
  <si>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</si>
  <si>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</si>
  <si>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</si>
  <si>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</si>
  <si>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</si>
  <si>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</si>
  <si>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</si>
  <si>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</si>
  <si>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</si>
  <si>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</si>
  <si>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</si>
  <si>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</si>
  <si>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</si>
  <si>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</si>
  <si>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</si>
  <si>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</si>
  <si>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</si>
  <si>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</si>
  <si>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</si>
  <si>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</si>
  <si>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</si>
  <si>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</si>
  <si>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</si>
  <si>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</si>
  <si>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</si>
  <si>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</si>
  <si>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</si>
  <si>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</si>
  <si>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</si>
  <si>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</si>
  <si>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</si>
  <si>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</si>
  <si>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</si>
  <si>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</si>
  <si>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</si>
  <si>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</si>
  <si>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</si>
  <si>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</si>
  <si>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</si>
  <si>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</si>
  <si>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</si>
  <si>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</si>
  <si>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</si>
  <si>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</si>
  <si>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</si>
  <si>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</si>
  <si>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</si>
  <si>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</si>
  <si>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</si>
  <si>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</si>
  <si>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</si>
  <si>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</si>
  <si>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</si>
  <si>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</si>
  <si>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</si>
  <si>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</si>
  <si>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</si>
  <si>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</si>
  <si>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</si>
  <si>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</si>
  <si>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</si>
  <si>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</si>
  <si>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</si>
  <si>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</si>
  <si>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</si>
  <si>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</si>
  <si>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</si>
  <si>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</si>
  <si>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</si>
  <si>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</si>
  <si>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</si>
  <si>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</si>
  <si>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</si>
  <si>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</si>
  <si>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</si>
  <si>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</si>
  <si>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</si>
  <si>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</si>
  <si>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</si>
  <si>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</si>
  <si>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</si>
  <si>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</si>
  <si>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</si>
  <si>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</si>
  <si>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</si>
  <si>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</si>
  <si>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</si>
  <si>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</si>
  <si>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</si>
  <si>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</si>
  <si>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</si>
  <si>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</si>
  <si>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</si>
  <si>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</si>
  <si>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</si>
  <si>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</si>
  <si>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</si>
  <si>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</si>
  <si>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</si>
  <si>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</si>
  <si>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</si>
  <si>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</si>
  <si>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</si>
  <si>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</si>
  <si>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</si>
  <si>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</si>
  <si>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</si>
  <si>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</si>
  <si>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</si>
  <si>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</si>
  <si>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</si>
  <si>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</si>
  <si>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</si>
  <si>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</si>
  <si>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</si>
  <si>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</si>
  <si>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</si>
  <si>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</si>
  <si>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</si>
  <si>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</si>
  <si>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</si>
  <si>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</si>
  <si>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</si>
  <si>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</si>
  <si>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</si>
  <si>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</si>
  <si>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</si>
  <si>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</si>
  <si>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</si>
  <si>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</si>
  <si>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</si>
  <si>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</si>
  <si>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</si>
  <si>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</si>
  <si>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</si>
  <si>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</si>
  <si>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</si>
  <si>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</si>
  <si>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</si>
  <si>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</si>
  <si>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</si>
  <si>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</si>
  <si>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</si>
  <si>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</si>
  <si>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</si>
  <si>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</si>
  <si>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</si>
  <si>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</si>
  <si>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</si>
  <si>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</si>
  <si>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</si>
  <si>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</si>
  <si>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</si>
  <si>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</si>
  <si>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</si>
  <si>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</si>
  <si>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</si>
  <si>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</si>
  <si>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</si>
  <si>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</si>
  <si>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</si>
  <si>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</si>
  <si>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</si>
  <si>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</si>
  <si>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</si>
  <si>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</si>
  <si>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</si>
  <si>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</si>
  <si>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</si>
  <si>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</si>
  <si>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</si>
  <si>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</si>
  <si>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</si>
  <si>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</si>
  <si>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</si>
  <si>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</si>
  <si>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</si>
  <si>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</si>
  <si>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</si>
  <si>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</si>
  <si>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</si>
  <si>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</si>
  <si>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</si>
  <si>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</si>
  <si>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</si>
  <si>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</si>
  <si>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</si>
  <si>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</si>
  <si>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</si>
  <si>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</si>
  <si>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</si>
  <si>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</si>
  <si>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</si>
  <si>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</si>
  <si>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</si>
  <si>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</si>
  <si>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</si>
  <si>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</si>
  <si>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</si>
  <si>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</si>
  <si>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</si>
  <si>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</si>
  <si>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</si>
  <si>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</si>
  <si>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</si>
  <si>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</si>
  <si>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</si>
  <si>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</si>
  <si>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</si>
  <si>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</si>
  <si>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</si>
  <si>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</si>
  <si>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</si>
  <si>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</si>
  <si>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</si>
  <si>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</si>
  <si>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</si>
  <si>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</si>
  <si>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</si>
  <si>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</si>
  <si>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</si>
  <si>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</si>
  <si>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</si>
  <si>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</si>
  <si>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</si>
  <si>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</si>
  <si>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</si>
  <si>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</si>
  <si>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</si>
  <si>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</si>
  <si>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</si>
  <si>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</si>
  <si>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</si>
  <si>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</si>
  <si>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</si>
  <si>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</si>
  <si>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</si>
  <si>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</si>
  <si>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</si>
  <si>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</si>
  <si>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</si>
  <si>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</si>
  <si>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</si>
  <si>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</si>
  <si>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</si>
  <si>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</si>
  <si>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</si>
  <si>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</si>
  <si>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</si>
  <si>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</si>
  <si>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</si>
  <si>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</si>
  <si>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</si>
  <si>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</si>
  <si>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</si>
  <si>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</si>
  <si>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</si>
  <si>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</si>
  <si>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</si>
  <si>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</si>
  <si>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</si>
  <si>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</si>
  <si>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</si>
  <si>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</si>
  <si>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</si>
  <si>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</si>
  <si>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</si>
  <si>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</si>
  <si>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</si>
  <si>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</si>
  <si>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</si>
  <si>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</si>
  <si>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</si>
  <si>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</si>
  <si>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</si>
  <si>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</si>
  <si>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</si>
  <si>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</si>
  <si>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</si>
  <si>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</si>
  <si>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</si>
  <si>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</si>
  <si>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</si>
  <si>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</si>
  <si>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</si>
  <si>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</si>
  <si>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</si>
  <si>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</si>
  <si>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</si>
  <si>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</si>
  <si>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</si>
  <si>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</si>
  <si>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</si>
  <si>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</si>
  <si>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</si>
  <si>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</si>
  <si>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</si>
  <si>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</si>
  <si>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</si>
  <si>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</si>
  <si>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</si>
  <si>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</si>
  <si>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</si>
  <si>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</si>
  <si>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</si>
  <si>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</si>
  <si>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</si>
  <si>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</si>
  <si>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</si>
  <si>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</si>
  <si>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</si>
  <si>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</si>
  <si>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</si>
  <si>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</si>
  <si>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</si>
  <si>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</si>
  <si>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</si>
  <si>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</si>
  <si>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</si>
  <si>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</si>
  <si>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</si>
  <si>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</si>
  <si>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</si>
  <si>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</si>
  <si>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</si>
  <si>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</si>
  <si>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</si>
  <si>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</si>
  <si>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</si>
  <si>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</si>
  <si>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</si>
  <si>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</si>
  <si>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</si>
  <si>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</si>
  <si>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</si>
  <si>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</si>
  <si>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</si>
  <si>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</si>
  <si>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</si>
  <si>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</si>
  <si>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</si>
  <si>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</si>
  <si>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</si>
  <si>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</si>
  <si>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</si>
  <si>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</si>
  <si>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</si>
  <si>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</si>
  <si>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</si>
  <si>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</si>
  <si>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</si>
  <si>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</si>
  <si>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</si>
  <si>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</si>
  <si>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</si>
  <si>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</si>
  <si>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</si>
  <si>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</si>
  <si>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</si>
  <si>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</si>
  <si>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</si>
  <si>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</si>
  <si>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</si>
  <si>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</si>
  <si>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</si>
  <si>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</si>
  <si>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</si>
  <si>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</si>
  <si>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</si>
  <si>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</si>
  <si>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</si>
  <si>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</si>
  <si>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</si>
  <si>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</si>
  <si>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</si>
  <si>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</si>
  <si>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</si>
  <si>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</si>
  <si>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</si>
  <si>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</si>
  <si>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</si>
  <si>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</si>
  <si>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</si>
  <si>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</si>
  <si>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</si>
  <si>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</si>
  <si>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</si>
  <si>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</si>
  <si>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</si>
  <si>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</si>
  <si>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</si>
  <si>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</si>
  <si>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</si>
  <si>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</si>
  <si>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</si>
  <si>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</si>
  <si>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</si>
  <si>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</si>
  <si>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</si>
  <si>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</si>
  <si>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</si>
  <si>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</si>
  <si>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</si>
  <si>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</si>
  <si>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</si>
  <si>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</si>
  <si>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</si>
  <si>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</si>
  <si>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</si>
  <si>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</si>
  <si>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</si>
  <si>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</si>
  <si>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</si>
  <si>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</si>
  <si>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</si>
  <si>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</si>
  <si>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</si>
  <si>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</si>
  <si>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</si>
  <si>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</si>
  <si>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</si>
  <si>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</si>
  <si>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</si>
  <si>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</si>
  <si>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</si>
  <si>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</si>
  <si>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</si>
  <si>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</si>
  <si>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</si>
  <si>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</si>
  <si>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</si>
  <si>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</si>
  <si>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</si>
  <si>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</si>
  <si>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</si>
  <si>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</si>
  <si>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</si>
  <si>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</si>
  <si>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</si>
  <si>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</si>
  <si>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</si>
  <si>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</si>
  <si>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</si>
  <si>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</si>
  <si>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</si>
  <si>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</si>
  <si>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</si>
  <si>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</si>
  <si>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</si>
  <si>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</si>
  <si>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</si>
  <si>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</si>
  <si>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</si>
  <si>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</si>
  <si>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</si>
  <si>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</si>
  <si>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</si>
  <si>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</si>
  <si>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</si>
  <si>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</si>
  <si>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</si>
  <si>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</si>
  <si>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</si>
  <si>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</si>
  <si>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</si>
  <si>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</si>
  <si>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</si>
  <si>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</si>
  <si>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</si>
  <si>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</si>
  <si>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</si>
  <si>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</si>
  <si>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</si>
  <si>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</si>
  <si>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</si>
  <si>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</si>
  <si>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</si>
  <si>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</si>
  <si>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</si>
  <si>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</si>
  <si>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</si>
  <si>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</si>
  <si>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</si>
  <si>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</si>
  <si>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</si>
  <si>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</si>
  <si>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</si>
  <si>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</si>
  <si>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</si>
  <si>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</si>
  <si>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</si>
  <si>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</si>
  <si>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</si>
  <si>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</si>
  <si>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</si>
  <si>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</si>
  <si>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</si>
  <si>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</si>
  <si>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</si>
  <si>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</si>
  <si>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</si>
  <si>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</si>
  <si>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</si>
  <si>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</si>
  <si>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</si>
  <si>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</si>
  <si>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</si>
  <si>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</si>
  <si>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</si>
  <si>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</si>
  <si>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</si>
  <si>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</si>
  <si>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</si>
  <si>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</si>
  <si>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</si>
  <si>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</si>
  <si>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</si>
  <si>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</si>
  <si>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</si>
  <si>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</si>
  <si>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</si>
  <si>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</si>
  <si>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</si>
  <si>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</si>
  <si>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</si>
  <si>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</si>
  <si>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</si>
  <si>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</si>
  <si>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</si>
  <si>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</si>
  <si>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</si>
  <si>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</si>
  <si>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</si>
  <si>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</si>
  <si>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</si>
  <si>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</si>
  <si>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</si>
  <si>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</si>
  <si>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</si>
  <si>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</si>
  <si>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</si>
  <si>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</si>
  <si>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</si>
  <si>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</si>
  <si>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</si>
  <si>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</si>
  <si>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</si>
  <si>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</si>
  <si>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</si>
  <si>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</si>
  <si>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</si>
  <si>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</si>
  <si>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</si>
  <si>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</si>
  <si>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</si>
  <si>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</si>
  <si>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</si>
  <si>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</si>
  <si>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</si>
  <si>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</si>
  <si>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</si>
  <si>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</si>
  <si>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</si>
  <si>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</si>
  <si>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</si>
  <si>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</si>
  <si>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</si>
  <si>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</si>
  <si>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</si>
  <si>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</si>
  <si>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</si>
  <si>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</si>
  <si>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</si>
  <si>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</si>
  <si>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</si>
  <si>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</si>
  <si>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</si>
  <si>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</si>
  <si>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</si>
  <si>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</si>
  <si>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</si>
  <si>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</si>
  <si>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</si>
  <si>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</si>
  <si>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</si>
  <si>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</si>
  <si>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</si>
  <si>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</si>
  <si>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</si>
  <si>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</si>
  <si>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</si>
  <si>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</si>
  <si>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</si>
  <si>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</si>
  <si>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</si>
  <si>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</si>
  <si>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</si>
  <si>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</si>
  <si>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</si>
  <si>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</si>
  <si>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</si>
  <si>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</si>
  <si>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</si>
  <si>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</si>
  <si>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</si>
  <si>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</si>
  <si>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</si>
  <si>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</si>
  <si>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</si>
  <si>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</si>
  <si>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</si>
  <si>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</si>
  <si>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</si>
  <si>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</si>
  <si>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</si>
  <si>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</si>
  <si>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</si>
  <si>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</si>
  <si>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</si>
  <si>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</si>
  <si>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</si>
  <si>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</si>
  <si>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</si>
  <si>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</si>
  <si>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</si>
  <si>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</si>
  <si>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</si>
  <si>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</si>
  <si>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</si>
  <si>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</si>
  <si>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</si>
  <si>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</si>
  <si>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</si>
  <si>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</si>
  <si>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</si>
  <si>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</si>
  <si>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</si>
  <si>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</si>
  <si>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</si>
  <si>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</si>
  <si>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</si>
  <si>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</si>
  <si>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</si>
  <si>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</si>
  <si>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</si>
  <si>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</si>
  <si>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</si>
  <si>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</si>
  <si>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</si>
  <si>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</si>
  <si>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</si>
  <si>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</si>
  <si>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</si>
  <si>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</si>
  <si>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</si>
  <si>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</si>
  <si>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</si>
  <si>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</si>
  <si>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</si>
  <si>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</si>
  <si>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</si>
  <si>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</si>
  <si>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</si>
  <si>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</si>
  <si>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</si>
  <si>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</si>
  <si>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</si>
  <si>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</si>
  <si>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</si>
  <si>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</si>
  <si>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</si>
  <si>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</si>
  <si>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</si>
  <si>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</si>
  <si>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</si>
  <si>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</si>
  <si>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</si>
  <si>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</si>
  <si>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</si>
  <si>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</si>
  <si>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</si>
  <si>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</si>
  <si>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</si>
  <si>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</si>
  <si>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</si>
  <si>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</si>
  <si>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</si>
  <si>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</si>
  <si>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</si>
  <si>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</si>
  <si>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</si>
  <si>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</si>
  <si>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</si>
  <si>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</si>
  <si>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</si>
  <si>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</si>
  <si>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</si>
  <si>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</si>
  <si>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</si>
  <si>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</si>
  <si>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</si>
  <si>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</si>
  <si>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</si>
  <si>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</si>
  <si>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</si>
  <si>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</si>
  <si>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</si>
  <si>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</si>
  <si>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</si>
  <si>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</si>
  <si>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</si>
  <si>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</si>
  <si>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</si>
  <si>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</si>
  <si>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</si>
  <si>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</si>
  <si>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</si>
  <si>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</si>
  <si>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</si>
  <si>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</si>
  <si>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</si>
  <si>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</si>
  <si>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</si>
  <si>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</si>
  <si>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</si>
  <si>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</si>
  <si>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</si>
  <si>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</si>
  <si>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</si>
  <si>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</si>
  <si>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</si>
  <si>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</si>
  <si>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</si>
  <si>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</si>
  <si>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</si>
  <si>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</si>
  <si>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</si>
  <si>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</si>
  <si>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</si>
  <si>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</si>
  <si>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</si>
  <si>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</si>
  <si>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</si>
  <si>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</si>
  <si>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</si>
  <si>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</si>
  <si>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</si>
  <si>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</si>
  <si>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</si>
  <si>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</si>
  <si>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</si>
  <si>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</si>
  <si>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</si>
  <si>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</si>
  <si>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</si>
  <si>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</si>
  <si>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</si>
  <si>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</si>
  <si>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</si>
  <si>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</si>
  <si>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</si>
  <si>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</si>
  <si>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</si>
  <si>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</si>
  <si>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</si>
  <si>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</si>
  <si>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</si>
  <si>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</si>
  <si>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</si>
  <si>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</si>
  <si>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</si>
  <si>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</si>
  <si>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</si>
  <si>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</si>
  <si>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</si>
  <si>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</si>
  <si>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</si>
  <si>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</si>
  <si>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</si>
  <si>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</si>
  <si>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</si>
  <si>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</si>
  <si>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</si>
  <si>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</si>
  <si>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</si>
  <si>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</si>
  <si>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</si>
  <si>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</si>
  <si>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</si>
  <si>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</si>
  <si>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</si>
  <si>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</si>
  <si>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</si>
  <si>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</si>
  <si>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</si>
  <si>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</si>
  <si>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</si>
  <si>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</si>
  <si>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</si>
  <si>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</si>
  <si>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</si>
  <si>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</si>
  <si>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</si>
  <si>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</si>
  <si>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</si>
  <si>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</si>
  <si>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</si>
  <si>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</si>
  <si>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</si>
  <si>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</si>
  <si>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</si>
  <si>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</si>
  <si>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</si>
  <si>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</si>
  <si>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</si>
  <si>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</si>
  <si>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</si>
  <si>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</si>
  <si>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</si>
  <si>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</si>
  <si>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</si>
  <si>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</si>
  <si>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</si>
  <si>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</si>
  <si>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</si>
  <si>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</si>
  <si>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</si>
  <si>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</si>
  <si>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</si>
  <si>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</si>
  <si>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</si>
  <si>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</si>
  <si>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</si>
  <si>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</si>
  <si>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</si>
  <si>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</si>
  <si>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</si>
  <si>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</si>
  <si>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</si>
  <si>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</si>
  <si>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</si>
  <si>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</si>
  <si>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</si>
  <si>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</si>
  <si>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</si>
  <si>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</si>
  <si>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</si>
  <si>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</si>
  <si>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</si>
  <si>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</si>
  <si>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</si>
  <si>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</si>
  <si>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</si>
  <si>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</si>
  <si>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</si>
  <si>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</si>
  <si>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</si>
  <si>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</si>
  <si>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</si>
  <si>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</si>
  <si>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</si>
  <si>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</si>
  <si>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</si>
  <si>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</si>
  <si>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</si>
  <si>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</si>
  <si>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</si>
  <si>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</si>
  <si>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</si>
  <si>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</si>
  <si>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</si>
  <si>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</si>
  <si>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</si>
  <si>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</si>
  <si>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</si>
  <si>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</si>
  <si>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</si>
  <si>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</si>
  <si>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</si>
  <si>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</si>
  <si>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</si>
  <si>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</si>
  <si>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</si>
  <si>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</si>
  <si>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</si>
  <si>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</si>
  <si>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</si>
  <si>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</si>
  <si>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</si>
  <si>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</si>
  <si>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</si>
  <si>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</si>
  <si>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</si>
  <si>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</si>
  <si>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</si>
  <si>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</si>
  <si>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</si>
  <si>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</si>
  <si>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</si>
  <si>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</si>
  <si>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</si>
  <si>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</si>
  <si>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</si>
  <si>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</si>
  <si>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</si>
  <si>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</si>
  <si>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</si>
  <si>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</si>
  <si>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</si>
  <si>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</si>
  <si>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</si>
  <si>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</si>
  <si>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</si>
  <si>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</si>
  <si>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</si>
  <si>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</si>
  <si>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</si>
  <si>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</si>
  <si>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</si>
  <si>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</si>
  <si>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</si>
  <si>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</si>
  <si>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</si>
  <si>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</si>
  <si>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</si>
  <si>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</si>
  <si>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</si>
  <si>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</si>
  <si>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</si>
  <si>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</si>
  <si>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</si>
  <si>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</si>
  <si>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</si>
  <si>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</si>
  <si>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</si>
  <si>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</si>
  <si>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</si>
  <si>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</si>
  <si>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</si>
  <si>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</si>
  <si>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</si>
  <si>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</si>
  <si>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</si>
  <si>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</si>
  <si>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</si>
  <si>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</si>
  <si>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</si>
  <si>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</si>
  <si>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</si>
  <si>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</si>
  <si>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</si>
  <si>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</si>
  <si>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</si>
  <si>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</si>
  <si>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</si>
  <si>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</si>
  <si>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</si>
  <si>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</si>
  <si>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</si>
  <si>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</si>
  <si>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</si>
  <si>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</si>
  <si>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</si>
  <si>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</si>
  <si>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</si>
  <si>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</si>
  <si>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</si>
  <si>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</si>
  <si>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</si>
  <si>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</si>
  <si>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</si>
  <si>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</si>
  <si>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</si>
  <si>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</si>
  <si>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</si>
  <si>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</si>
  <si>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</si>
  <si>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</si>
  <si>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</si>
  <si>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</si>
  <si>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</si>
  <si>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</si>
  <si>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</si>
  <si>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</si>
  <si>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</si>
  <si>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</si>
  <si>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</si>
  <si>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</si>
  <si>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</si>
  <si>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</si>
  <si>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</si>
  <si>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</si>
  <si>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</si>
  <si>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</si>
  <si>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</si>
  <si>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</si>
  <si>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</si>
  <si>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</si>
  <si>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</si>
  <si>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</si>
  <si>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</si>
  <si>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</si>
  <si>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</si>
  <si>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</si>
  <si>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</si>
  <si>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</si>
  <si>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</si>
  <si>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</si>
  <si>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</si>
  <si>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</si>
  <si>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</si>
  <si>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</si>
  <si>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</si>
  <si>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</si>
  <si>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</si>
  <si>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</si>
  <si>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</si>
  <si>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</si>
  <si>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</si>
  <si>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</si>
  <si>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</si>
  <si>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</si>
  <si>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</si>
  <si>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</si>
  <si>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</si>
  <si>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</si>
  <si>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</si>
  <si>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</si>
  <si>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</si>
  <si>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</si>
  <si>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</si>
  <si>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</si>
  <si>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</si>
  <si>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</si>
  <si>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</si>
  <si>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</si>
  <si>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</si>
  <si>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</si>
  <si>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</si>
  <si>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</si>
  <si>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</si>
  <si>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</si>
  <si>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</si>
  <si>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</si>
  <si>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</si>
  <si>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</si>
  <si>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</si>
  <si>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</si>
  <si>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</si>
  <si>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</si>
  <si>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</si>
  <si>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</si>
  <si>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</si>
  <si>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</si>
  <si>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</si>
  <si>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</si>
  <si>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</si>
  <si>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</si>
  <si>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</si>
  <si>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</si>
  <si>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</si>
  <si>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</si>
  <si>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</si>
  <si>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</si>
  <si>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</si>
  <si>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</si>
  <si>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</si>
  <si>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</si>
  <si>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</si>
  <si>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</si>
  <si>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</si>
  <si>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</si>
  <si>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</si>
  <si>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</si>
  <si>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</si>
  <si>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</si>
  <si>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</si>
  <si>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</si>
  <si>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</si>
  <si>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</si>
  <si>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</si>
  <si>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</si>
  <si>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</si>
  <si>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</si>
  <si>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</si>
  <si>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</si>
  <si>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</si>
  <si>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</si>
  <si>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</si>
  <si>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</si>
  <si>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</si>
  <si>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</si>
  <si>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</si>
  <si>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</si>
  <si>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</si>
  <si>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</si>
  <si>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</si>
  <si>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</si>
  <si>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</si>
  <si>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</si>
  <si>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</si>
  <si>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</si>
  <si>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</si>
  <si>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</si>
  <si>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</si>
  <si>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</si>
  <si>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</si>
  <si>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</si>
  <si>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</si>
  <si>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</si>
  <si>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</si>
  <si>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</si>
  <si>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</si>
  <si>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</si>
  <si>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</si>
  <si>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</si>
  <si>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</si>
  <si>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</si>
  <si>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</si>
  <si>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</si>
  <si>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</si>
  <si>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</si>
  <si>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</si>
  <si>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</si>
  <si>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</si>
  <si>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</si>
  <si>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</si>
  <si>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</si>
  <si>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</si>
  <si>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</si>
  <si>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</si>
  <si>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</si>
  <si>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</si>
  <si>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</si>
  <si>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</si>
  <si>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</si>
  <si>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</si>
  <si>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</si>
  <si>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</si>
  <si>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</si>
  <si>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</si>
  <si>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</si>
  <si>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</si>
  <si>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</si>
  <si>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</si>
  <si>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</si>
  <si>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</si>
  <si>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</si>
  <si>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</si>
  <si>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</si>
  <si>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</si>
  <si>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</si>
  <si>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</si>
  <si>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</si>
  <si>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</si>
  <si>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</si>
  <si>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</si>
  <si>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</si>
  <si>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</si>
  <si>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</si>
  <si>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</si>
  <si>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</si>
  <si>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</si>
  <si>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</si>
  <si>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</si>
  <si>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</si>
  <si>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</si>
  <si>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</si>
  <si>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</si>
  <si>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</si>
  <si>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</si>
  <si>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</si>
  <si>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</si>
  <si>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</si>
  <si>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</si>
  <si>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</si>
  <si>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</si>
  <si>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</si>
  <si>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</si>
  <si>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</si>
  <si>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</si>
  <si>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</si>
  <si>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</si>
  <si>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</si>
  <si>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</si>
  <si>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</si>
  <si>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</si>
  <si>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</si>
  <si>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</si>
  <si>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</si>
  <si>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</si>
  <si>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</si>
  <si>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</si>
  <si>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</si>
  <si>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</si>
  <si>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</si>
  <si>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</si>
  <si>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</si>
  <si>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</si>
  <si>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</si>
  <si>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</si>
  <si>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</si>
  <si>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</si>
  <si>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</si>
  <si>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</si>
  <si>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</si>
  <si>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</si>
  <si>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</si>
  <si>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</si>
  <si>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</si>
  <si>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</si>
  <si>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</si>
  <si>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</si>
  <si>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</si>
  <si>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</si>
  <si>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</si>
  <si>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</si>
  <si>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</si>
  <si>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</si>
  <si>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</si>
  <si>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</si>
  <si>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</si>
  <si>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</si>
  <si>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</si>
  <si>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</si>
  <si>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</si>
  <si>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</si>
  <si>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</si>
  <si>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</si>
  <si>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</si>
  <si>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</si>
  <si>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</si>
  <si>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</si>
  <si>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</si>
  <si>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</si>
  <si>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</si>
  <si>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</si>
  <si>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</si>
  <si>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</si>
  <si>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</si>
  <si>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</si>
  <si>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</si>
  <si>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</si>
  <si>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</si>
  <si>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</si>
  <si>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</si>
  <si>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</si>
  <si>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</si>
  <si>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</si>
  <si>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</si>
  <si>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</si>
  <si>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</si>
  <si>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</si>
  <si>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</si>
  <si>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</si>
  <si>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</si>
  <si>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</si>
  <si>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</si>
  <si>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</si>
  <si>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</si>
  <si>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</si>
  <si>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</si>
  <si>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</si>
  <si>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</si>
  <si>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</si>
  <si>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</si>
  <si>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</si>
  <si>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</si>
  <si>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</si>
  <si>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</si>
  <si>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</si>
  <si>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</si>
  <si>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</si>
  <si>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</si>
  <si>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</si>
  <si>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</si>
  <si>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</si>
  <si>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</si>
  <si>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</si>
  <si>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</si>
  <si>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</si>
  <si>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</si>
  <si>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</si>
  <si>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</si>
  <si>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</si>
  <si>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</si>
  <si>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</si>
  <si>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</si>
  <si>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</si>
  <si>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</si>
  <si>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</si>
  <si>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</si>
  <si>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</si>
  <si>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</si>
  <si>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</si>
  <si>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</si>
  <si>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</si>
  <si>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</si>
  <si>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</si>
  <si>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</si>
  <si>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</si>
  <si>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</si>
  <si>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</si>
  <si>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</si>
  <si>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</si>
  <si>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</si>
  <si>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</si>
  <si>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</si>
  <si>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</si>
  <si>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</si>
  <si>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</si>
  <si>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</si>
  <si>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</si>
  <si>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</si>
  <si>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</si>
  <si>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</si>
  <si>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</si>
  <si>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</si>
  <si>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</si>
  <si>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</si>
  <si>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</si>
  <si>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</si>
  <si>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</si>
  <si>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</si>
  <si>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</si>
  <si>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</si>
  <si>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</si>
  <si>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</si>
  <si>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</si>
  <si>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</si>
  <si>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</si>
  <si>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</si>
  <si>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</si>
  <si>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</si>
  <si>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</si>
  <si>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</si>
  <si>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</si>
  <si>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</si>
  <si>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</si>
  <si>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</si>
  <si>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</si>
  <si>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</si>
  <si>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</si>
  <si>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</si>
  <si>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</si>
  <si>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</si>
  <si>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</si>
  <si>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</si>
  <si>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</si>
  <si>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</si>
  <si>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</si>
  <si>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</si>
  <si>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</si>
  <si>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</si>
  <si>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</si>
  <si>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</si>
  <si>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</si>
  <si>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</si>
  <si>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</si>
  <si>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</si>
  <si>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</si>
  <si>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</si>
  <si>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</si>
  <si>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</si>
  <si>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</si>
  <si>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</si>
  <si>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</si>
  <si>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</si>
  <si>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</si>
  <si>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</si>
  <si>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</si>
  <si>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</si>
  <si>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</si>
  <si>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</si>
  <si>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</si>
  <si>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</si>
  <si>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</si>
  <si>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</si>
  <si>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</si>
  <si>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</si>
  <si>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</si>
  <si>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</si>
  <si>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</si>
  <si>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</si>
  <si>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</si>
  <si>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</si>
  <si>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</si>
  <si>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</si>
  <si>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</si>
  <si>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</si>
  <si>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</si>
  <si>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</si>
  <si>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</si>
  <si>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</si>
  <si>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</si>
  <si>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</si>
  <si>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</si>
  <si>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</si>
  <si>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</si>
  <si>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</si>
  <si>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</si>
  <si>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</si>
  <si>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</si>
  <si>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</si>
  <si>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</si>
  <si>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</si>
  <si>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</si>
  <si>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</si>
  <si>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</si>
  <si>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</si>
  <si>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</si>
  <si>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</si>
  <si>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</si>
  <si>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</si>
  <si>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</si>
  <si>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</si>
  <si>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</si>
  <si>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</si>
  <si>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</si>
  <si>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</si>
  <si>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</si>
  <si>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</si>
  <si>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</si>
  <si>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</si>
  <si>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</si>
  <si>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</si>
  <si>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</si>
  <si>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</si>
  <si>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</si>
  <si>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</si>
  <si>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</si>
  <si>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</si>
  <si>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</si>
  <si>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</si>
  <si>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</si>
  <si>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</si>
  <si>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</si>
  <si>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</si>
  <si>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</si>
  <si>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</si>
  <si>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</si>
  <si>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</si>
  <si>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</si>
  <si>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</si>
  <si>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</si>
  <si>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</si>
  <si>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</si>
  <si>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</si>
  <si>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</si>
  <si>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</si>
  <si>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</si>
  <si>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</si>
  <si>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</si>
  <si>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</si>
  <si>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</si>
  <si>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</si>
  <si>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自然人</t>
  </si>
  <si>
    <t>商业</t>
  </si>
  <si>
    <t>估价对象1（结果表）</t>
  </si>
  <si>
    <t>批发零售用地</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</si>
  <si>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</si>
  <si>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</si>
  <si>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</si>
  <si>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</si>
  <si>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</si>
  <si>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</si>
  <si>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</si>
  <si>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</si>
  <si>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</si>
  <si>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</si>
  <si>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</si>
  <si>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</si>
  <si>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</si>
  <si>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</si>
  <si>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</si>
  <si>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</si>
  <si>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</si>
  <si>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</si>
  <si>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</si>
  <si>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</si>
  <si>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</si>
  <si>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</si>
  <si>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</si>
  <si>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</si>
  <si>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</si>
  <si>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</si>
  <si>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</si>
  <si>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</si>
  <si>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</si>
  <si>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较好</t>
    <phoneticPr fontId="25" type="noConversion"/>
  </si>
  <si>
    <t>1层</t>
  </si>
  <si>
    <r>
      <rPr>
        <sz val="10"/>
        <color indexed="8"/>
        <rFont val="宋体"/>
        <family val="3"/>
        <charset val="134"/>
      </rPr>
      <t>地下</t>
    </r>
    <r>
      <rPr>
        <sz val="10"/>
        <color indexed="8"/>
        <rFont val="Arial"/>
        <family val="2"/>
      </rPr>
      <t>1</t>
    </r>
    <phoneticPr fontId="20" type="noConversion"/>
  </si>
  <si>
    <r>
      <rPr>
        <sz val="10"/>
        <color indexed="8"/>
        <rFont val="宋体"/>
        <family val="3"/>
        <charset val="134"/>
      </rPr>
      <t>地下</t>
    </r>
    <r>
      <rPr>
        <sz val="10"/>
        <color indexed="8"/>
        <rFont val="Arial"/>
        <family val="2"/>
      </rPr>
      <t>1</t>
    </r>
    <phoneticPr fontId="20" type="noConversion"/>
  </si>
  <si>
    <t>地下1</t>
  </si>
  <si>
    <t>售价</t>
    <phoneticPr fontId="146" type="noConversion"/>
  </si>
  <si>
    <t>租金</t>
    <phoneticPr fontId="146" type="noConversion"/>
  </si>
  <si>
    <t>珠江帝景</t>
    <phoneticPr fontId="25" type="noConversion"/>
  </si>
  <si>
    <t>超高</t>
  </si>
  <si>
    <t>超高</t>
    <phoneticPr fontId="25" type="noConversion"/>
  </si>
  <si>
    <r>
      <t>4.8</t>
    </r>
    <r>
      <rPr>
        <sz val="11"/>
        <rFont val="宋体"/>
        <family val="3"/>
        <charset val="134"/>
      </rPr>
      <t>米</t>
    </r>
    <phoneticPr fontId="25" type="noConversion"/>
  </si>
  <si>
    <r>
      <t>6</t>
    </r>
    <r>
      <rPr>
        <sz val="11"/>
        <rFont val="宋体"/>
        <family val="3"/>
        <charset val="134"/>
      </rPr>
      <t>米</t>
    </r>
    <phoneticPr fontId="25" type="noConversion"/>
  </si>
  <si>
    <t>平乐园</t>
    <phoneticPr fontId="25" type="noConversion"/>
  </si>
  <si>
    <t>SOHO现代城</t>
    <phoneticPr fontId="25" type="noConversion"/>
  </si>
  <si>
    <t>较好</t>
    <phoneticPr fontId="25" type="noConversion"/>
  </si>
  <si>
    <t>双面临街</t>
  </si>
  <si>
    <r>
      <t>04</t>
    </r>
    <r>
      <rPr>
        <sz val="11"/>
        <rFont val="宋体"/>
        <family val="3"/>
        <charset val="134"/>
      </rPr>
      <t>年</t>
    </r>
    <phoneticPr fontId="25" type="noConversion"/>
  </si>
  <si>
    <r>
      <t>13</t>
    </r>
    <r>
      <rPr>
        <sz val="11"/>
        <rFont val="宋体"/>
        <family val="3"/>
        <charset val="134"/>
      </rPr>
      <t>年</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</si>
</sst>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31" xfId="1" applyNumberFormat="1" applyFont="1" applyFill="1" applyBorder="1" applyAlignment="1" applyProtection="1">
      <alignment horizontal="left" vertical="center"/>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184" fontId="56" fillId="9" borderId="1" xfId="0" applyNumberFormat="1" applyFont="1" applyFill="1" applyBorder="1" applyAlignment="1" applyProtection="1">
      <alignment horizontal="left" vertical="center" shrinkToFit="1"/>
      <protection locked="0"/>
    </xf>
    <xf numFmtId="0" fontId="39" fillId="9" borderId="6" xfId="0" applyFont="1" applyFill="1" applyBorder="1" applyAlignment="1" applyProtection="1">
      <alignment horizontal="left" vertical="center"/>
      <protection locked="0"/>
    </xf>
    <xf numFmtId="0" fontId="53" fillId="21" borderId="0" xfId="0" applyFont="1" applyFill="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379753</xdr:colOff>
      <xdr:row>27</xdr:row>
      <xdr:rowOff>85136</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9980953" cy="4714286"/>
        </a:xfrm>
        <a:prstGeom prst="rect">
          <a:avLst/>
        </a:prstGeom>
      </xdr:spPr>
    </xdr:pic>
    <xdr:clientData/>
  </xdr:twoCellAnchor>
  <xdr:twoCellAnchor editAs="oneCell">
    <xdr:from>
      <xdr:col>0</xdr:col>
      <xdr:colOff>0</xdr:colOff>
      <xdr:row>29</xdr:row>
      <xdr:rowOff>0</xdr:rowOff>
    </xdr:from>
    <xdr:to>
      <xdr:col>12</xdr:col>
      <xdr:colOff>360877</xdr:colOff>
      <xdr:row>39</xdr:row>
      <xdr:rowOff>37881</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a:stretch>
          <a:fillRect/>
        </a:stretch>
      </xdr:blipFill>
      <xdr:spPr>
        <a:xfrm>
          <a:off x="0" y="4972050"/>
          <a:ext cx="8590477" cy="1752381"/>
        </a:xfrm>
        <a:prstGeom prst="rect">
          <a:avLst/>
        </a:prstGeom>
      </xdr:spPr>
    </xdr:pic>
    <xdr:clientData/>
  </xdr:twoCellAnchor>
  <xdr:twoCellAnchor editAs="oneCell">
    <xdr:from>
      <xdr:col>0</xdr:col>
      <xdr:colOff>0</xdr:colOff>
      <xdr:row>40</xdr:row>
      <xdr:rowOff>0</xdr:rowOff>
    </xdr:from>
    <xdr:to>
      <xdr:col>12</xdr:col>
      <xdr:colOff>341829</xdr:colOff>
      <xdr:row>50</xdr:row>
      <xdr:rowOff>9310</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3"/>
        <a:stretch>
          <a:fillRect/>
        </a:stretch>
      </xdr:blipFill>
      <xdr:spPr>
        <a:xfrm>
          <a:off x="0" y="6858000"/>
          <a:ext cx="8571429" cy="1723810"/>
        </a:xfrm>
        <a:prstGeom prst="rect">
          <a:avLst/>
        </a:prstGeom>
      </xdr:spPr>
    </xdr:pic>
    <xdr:clientData/>
  </xdr:twoCellAnchor>
  <xdr:twoCellAnchor editAs="oneCell">
    <xdr:from>
      <xdr:col>0</xdr:col>
      <xdr:colOff>19050</xdr:colOff>
      <xdr:row>50</xdr:row>
      <xdr:rowOff>161925</xdr:rowOff>
    </xdr:from>
    <xdr:to>
      <xdr:col>12</xdr:col>
      <xdr:colOff>170403</xdr:colOff>
      <xdr:row>60</xdr:row>
      <xdr:rowOff>75997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4"/>
        <a:stretch>
          <a:fillRect/>
        </a:stretch>
      </xdr:blipFill>
      <xdr:spPr>
        <a:xfrm>
          <a:off x="19050" y="8734425"/>
          <a:ext cx="8380953" cy="1628572"/>
        </a:xfrm>
        <a:prstGeom prst="rect">
          <a:avLst/>
        </a:prstGeom>
      </xdr:spPr>
    </xdr:pic>
    <xdr:clientData/>
  </xdr:twoCellAnchor>
  <xdr:twoCellAnchor editAs="oneCell">
    <xdr:from>
      <xdr:col>0</xdr:col>
      <xdr:colOff>0</xdr:colOff>
      <xdr:row>61</xdr:row>
      <xdr:rowOff>0</xdr:rowOff>
    </xdr:from>
    <xdr:to>
      <xdr:col>12</xdr:col>
      <xdr:colOff>265639</xdr:colOff>
      <xdr:row>70</xdr:row>
      <xdr:rowOff>75998</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5"/>
        <a:stretch>
          <a:fillRect/>
        </a:stretch>
      </xdr:blipFill>
      <xdr:spPr>
        <a:xfrm>
          <a:off x="0" y="10458450"/>
          <a:ext cx="8495239" cy="1619048"/>
        </a:xfrm>
        <a:prstGeom prst="rect">
          <a:avLst/>
        </a:prstGeom>
      </xdr:spPr>
    </xdr:pic>
    <xdr:clientData/>
  </xdr:twoCellAnchor>
  <xdr:twoCellAnchor editAs="oneCell">
    <xdr:from>
      <xdr:col>0</xdr:col>
      <xdr:colOff>0</xdr:colOff>
      <xdr:row>71</xdr:row>
      <xdr:rowOff>0</xdr:rowOff>
    </xdr:from>
    <xdr:to>
      <xdr:col>12</xdr:col>
      <xdr:colOff>256115</xdr:colOff>
      <xdr:row>90</xdr:row>
      <xdr:rowOff>75784</xdr:rowOff>
    </xdr:to>
    <xdr:pic>
      <xdr:nvPicPr>
        <xdr:cNvPr id="10" name="图片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6"/>
        <a:stretch>
          <a:fillRect/>
        </a:stretch>
      </xdr:blipFill>
      <xdr:spPr>
        <a:xfrm>
          <a:off x="0" y="12172950"/>
          <a:ext cx="8485715" cy="3333334"/>
        </a:xfrm>
        <a:prstGeom prst="rect">
          <a:avLst/>
        </a:prstGeom>
      </xdr:spPr>
    </xdr:pic>
    <xdr:clientData/>
  </xdr:twoCellAnchor>
  <xdr:twoCellAnchor editAs="oneCell">
    <xdr:from>
      <xdr:col>0</xdr:col>
      <xdr:colOff>0</xdr:colOff>
      <xdr:row>91</xdr:row>
      <xdr:rowOff>0</xdr:rowOff>
    </xdr:from>
    <xdr:to>
      <xdr:col>12</xdr:col>
      <xdr:colOff>122782</xdr:colOff>
      <xdr:row>101</xdr:row>
      <xdr:rowOff>37881</xdr:rowOff>
    </xdr:to>
    <xdr:pic>
      <xdr:nvPicPr>
        <xdr:cNvPr id="11" name="图片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7"/>
        <a:stretch>
          <a:fillRect/>
        </a:stretch>
      </xdr:blipFill>
      <xdr:spPr>
        <a:xfrm>
          <a:off x="0" y="15601950"/>
          <a:ext cx="8352382" cy="1752381"/>
        </a:xfrm>
        <a:prstGeom prst="rect">
          <a:avLst/>
        </a:prstGeom>
      </xdr:spPr>
    </xdr:pic>
    <xdr:clientData/>
  </xdr:twoCellAnchor>
  <xdr:twoCellAnchor editAs="oneCell">
    <xdr:from>
      <xdr:col>0</xdr:col>
      <xdr:colOff>0</xdr:colOff>
      <xdr:row>102</xdr:row>
      <xdr:rowOff>0</xdr:rowOff>
    </xdr:from>
    <xdr:to>
      <xdr:col>5</xdr:col>
      <xdr:colOff>123381</xdr:colOff>
      <xdr:row>120</xdr:row>
      <xdr:rowOff>132948</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8"/>
        <a:stretch>
          <a:fillRect/>
        </a:stretch>
      </xdr:blipFill>
      <xdr:spPr>
        <a:xfrm>
          <a:off x="0" y="17487900"/>
          <a:ext cx="3552381" cy="3219048"/>
        </a:xfrm>
        <a:prstGeom prst="rect">
          <a:avLst/>
        </a:prstGeom>
      </xdr:spPr>
    </xdr:pic>
    <xdr:clientData/>
  </xdr:twoCellAnchor>
  <xdr:twoCellAnchor editAs="oneCell">
    <xdr:from>
      <xdr:col>0</xdr:col>
      <xdr:colOff>1</xdr:colOff>
      <xdr:row>122</xdr:row>
      <xdr:rowOff>0</xdr:rowOff>
    </xdr:from>
    <xdr:to>
      <xdr:col>11</xdr:col>
      <xdr:colOff>467775</xdr:colOff>
      <xdr:row>146</xdr:row>
      <xdr:rowOff>28575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9"/>
        <a:stretch>
          <a:fillRect/>
        </a:stretch>
      </xdr:blipFill>
      <xdr:spPr>
        <a:xfrm>
          <a:off x="1" y="20916900"/>
          <a:ext cx="8011574" cy="4143375"/>
        </a:xfrm>
        <a:prstGeom prst="rect">
          <a:avLst/>
        </a:prstGeom>
      </xdr:spPr>
    </xdr:pic>
    <xdr:clientData/>
  </xdr:twoCellAnchor>
  <xdr:twoCellAnchor editAs="oneCell">
    <xdr:from>
      <xdr:col>0</xdr:col>
      <xdr:colOff>0</xdr:colOff>
      <xdr:row>148</xdr:row>
      <xdr:rowOff>0</xdr:rowOff>
    </xdr:from>
    <xdr:to>
      <xdr:col>11</xdr:col>
      <xdr:colOff>653979</xdr:colOff>
      <xdr:row>173</xdr:row>
      <xdr:rowOff>27943</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10"/>
        <a:stretch>
          <a:fillRect/>
        </a:stretch>
      </xdr:blipFill>
      <xdr:spPr>
        <a:xfrm>
          <a:off x="0" y="25374600"/>
          <a:ext cx="8197779" cy="4314193"/>
        </a:xfrm>
        <a:prstGeom prst="rect">
          <a:avLst/>
        </a:prstGeom>
      </xdr:spPr>
    </xdr:pic>
    <xdr:clientData/>
  </xdr:twoCellAnchor>
  <xdr:twoCellAnchor editAs="oneCell">
    <xdr:from>
      <xdr:col>0</xdr:col>
      <xdr:colOff>0</xdr:colOff>
      <xdr:row>175</xdr:row>
      <xdr:rowOff>19049</xdr:rowOff>
    </xdr:from>
    <xdr:to>
      <xdr:col>11</xdr:col>
      <xdr:colOff>656151</xdr:colOff>
      <xdr:row>199</xdr:row>
      <xdr:rowOff>170824</xdr:rowOff>
    </xdr:to>
    <xdr:pic>
      <xdr:nvPicPr>
        <xdr:cNvPr id="12" name="图片 11">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11"/>
        <a:stretch>
          <a:fillRect/>
        </a:stretch>
      </xdr:blipFill>
      <xdr:spPr>
        <a:xfrm>
          <a:off x="0" y="30022799"/>
          <a:ext cx="8199951" cy="4266575"/>
        </a:xfrm>
        <a:prstGeom prst="rect">
          <a:avLst/>
        </a:prstGeom>
      </xdr:spPr>
    </xdr:pic>
    <xdr:clientData/>
  </xdr:twoCellAnchor>
  <xdr:twoCellAnchor editAs="oneCell">
    <xdr:from>
      <xdr:col>0</xdr:col>
      <xdr:colOff>0</xdr:colOff>
      <xdr:row>201</xdr:row>
      <xdr:rowOff>0</xdr:rowOff>
    </xdr:from>
    <xdr:to>
      <xdr:col>8</xdr:col>
      <xdr:colOff>418362</xdr:colOff>
      <xdr:row>227</xdr:row>
      <xdr:rowOff>170872</xdr:rowOff>
    </xdr:to>
    <xdr:pic>
      <xdr:nvPicPr>
        <xdr:cNvPr id="13" name="图片 12">
          <a:extLst>
            <a:ext uri="{FF2B5EF4-FFF2-40B4-BE49-F238E27FC236}">
              <a16:creationId xmlns:a16="http://schemas.microsoft.com/office/drawing/2014/main" id="{00000000-0008-0000-2600-00000D000000}"/>
            </a:ext>
          </a:extLst>
        </xdr:cNvPr>
        <xdr:cNvPicPr>
          <a:picLocks noChangeAspect="1"/>
        </xdr:cNvPicPr>
      </xdr:nvPicPr>
      <xdr:blipFill>
        <a:blip xmlns:r="http://schemas.openxmlformats.org/officeDocument/2006/relationships" r:embed="rId12"/>
        <a:stretch>
          <a:fillRect/>
        </a:stretch>
      </xdr:blipFill>
      <xdr:spPr>
        <a:xfrm>
          <a:off x="0" y="34461450"/>
          <a:ext cx="5904762" cy="4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估价对象为北京市房地产，为XX所有。根据《》[]，估价对象建筑面积为362.84平方米。根据《》[]，估价对象（分摊）出让国有建设用地使用权面积为平方米。估价对象用途为。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2021年12月24日</v>
      </c>
    </row>
    <row r="10" spans="1:2">
      <c r="A10" s="1178" t="s">
        <v>1047</v>
      </c>
      <c r="B10" s="1165" t="str">
        <f>'预评函-1'!A13</f>
        <v>本次估价的“房地产价值”是指在正常市场情况下，在价值时点2021年12月24日，估价对象规划用途为，假定未设立法定优先受偿款下的房地产市场价值。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本次评估采用的主估价方法为基准地价系数修正法和基准地价系数修正法。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362.84</v>
      </c>
    </row>
    <row r="19" spans="1:2">
      <c r="A19" s="1178" t="s">
        <v>1056</v>
      </c>
      <c r="B19" s="1165">
        <f>'预评函-2（1）'!D7</f>
        <v>1429</v>
      </c>
    </row>
    <row r="20" spans="1:2">
      <c r="A20" s="1178" t="s">
        <v>1094</v>
      </c>
      <c r="B20" s="1165" t="str">
        <f>'预评函-2（1）'!C7</f>
        <v>总价（万元）</v>
      </c>
    </row>
    <row r="21" spans="1:2">
      <c r="A21" s="1178" t="s">
        <v>1057</v>
      </c>
      <c r="B21" s="1165">
        <f>'预评函-2（1）'!D9</f>
        <v>39384</v>
      </c>
    </row>
    <row r="22" spans="1:2">
      <c r="A22" s="1178" t="s">
        <v>1058</v>
      </c>
      <c r="B22" s="1165" t="str">
        <f>'预评函-2（1）'!D8</f>
        <v>壹仟肆佰贰拾玖万元整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1429</v>
      </c>
    </row>
    <row r="30" spans="1:2">
      <c r="A30" s="1178" t="s">
        <v>1064</v>
      </c>
      <c r="B30" s="1165" t="str">
        <f>'预评函-2（1）'!D16</f>
        <v>壹仟肆佰贰拾玖万元整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f>'预评函-3'!A4</f>
        <v>0</v>
      </c>
    </row>
    <row r="53" spans="1:2">
      <c r="A53" s="1178" t="s">
        <v>1086</v>
      </c>
      <c r="B53" s="1165">
        <f>'预评函-3'!B4</f>
        <v>0</v>
      </c>
    </row>
    <row r="54" spans="1:2">
      <c r="A54" s="1178" t="s">
        <v>1087</v>
      </c>
      <c r="B54" s="1169">
        <f>'预评函-3'!A5</f>
        <v>0</v>
      </c>
    </row>
    <row r="55" spans="1:2" s="1175" customFormat="1" ht="15.75" thickBot="1">
      <c r="A55" s="1179" t="s">
        <v>1088</v>
      </c>
      <c r="B55" s="1167">
        <f>'预评函-3'!B5</f>
        <v>0</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'预评函-2（1）'!D38</f>
        <v>39384</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E2" sqref="E2"/>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6"/>
  </cols>
  <sheetData>
    <row r="1" spans="1:17" ht="13.5" thickBot="1">
      <c r="A1" s="2557" t="s">
        <v>1470</v>
      </c>
      <c r="B1" s="2558" t="str">
        <f>IF(B6="北京市","北京市",C6)&amp;IF(E12="房屋所有权证",B29,E29)&amp;D5&amp;"预评估"</f>
        <v>北京市房地产抵押价值预评估</v>
      </c>
      <c r="C1" s="822"/>
      <c r="D1" s="822"/>
      <c r="E1" s="822"/>
      <c r="F1" s="1393" t="s">
        <v>1471</v>
      </c>
      <c r="G1" s="1159"/>
      <c r="I1" s="2884" t="str">
        <f>IF(B6="北京市","北京市",C6)&amp;IF(E12="房屋所有权证",B29,E29)&amp;"房地产"</f>
        <v>北京市房地产</v>
      </c>
      <c r="J1" s="799"/>
      <c r="K1" s="2886"/>
      <c r="L1" s="2886"/>
      <c r="M1" s="2886"/>
      <c r="N1" s="799"/>
      <c r="O1" s="799"/>
      <c r="P1" s="799"/>
      <c r="Q1" s="799"/>
    </row>
    <row r="2" spans="1:17" ht="13.5" thickTop="1">
      <c r="A2" s="1394" t="s">
        <v>1472</v>
      </c>
      <c r="B2" s="2559"/>
      <c r="C2" s="2856" t="s">
        <v>1473</v>
      </c>
      <c r="D2" s="2559">
        <v>44554</v>
      </c>
      <c r="E2" s="823"/>
      <c r="F2" s="823"/>
      <c r="G2" s="1160"/>
      <c r="H2" s="2868"/>
    </row>
    <row r="3" spans="1:17" ht="13.5" thickBot="1">
      <c r="A3" s="2560" t="s">
        <v>1474</v>
      </c>
      <c r="B3" s="2561"/>
      <c r="C3" s="2562">
        <f>SUMIF(注册房地产估价师,B3,估价师及机构信息!B3:B16)</f>
        <v>0</v>
      </c>
      <c r="D3" s="2561"/>
      <c r="E3" s="2563">
        <f>SUMIF(注册房地产估价师,D3,估价师及机构信息!B3:B16)</f>
        <v>0</v>
      </c>
      <c r="F3" s="824"/>
      <c r="G3" s="1161"/>
      <c r="H3" s="2868"/>
    </row>
    <row r="4" spans="1:17" ht="13.5" customHeight="1" thickTop="1">
      <c r="A4" s="1394" t="s">
        <v>1475</v>
      </c>
      <c r="B4" s="1395" t="s">
        <v>2661</v>
      </c>
      <c r="C4" s="2857" t="s">
        <v>1476</v>
      </c>
      <c r="D4" s="1396" t="s">
        <v>2983</v>
      </c>
      <c r="E4" s="823"/>
      <c r="F4" s="823"/>
      <c r="G4" s="1160"/>
    </row>
    <row r="5" spans="1:17">
      <c r="A5" s="1397" t="s">
        <v>1477</v>
      </c>
      <c r="B5" s="1398" t="s">
        <v>2662</v>
      </c>
      <c r="C5" s="2858" t="s">
        <v>1478</v>
      </c>
      <c r="D5" s="1400" t="s">
        <v>2984</v>
      </c>
      <c r="E5" s="2859" t="s">
        <v>1479</v>
      </c>
      <c r="F5" s="1400" t="s">
        <v>2984</v>
      </c>
      <c r="G5" s="1401"/>
      <c r="I5" s="2884" t="str">
        <f>IF(C16="否","截至估价时点，估价对象抵押权未见登记。","截至价值时点，估价对象已设定抵押。")</f>
        <v>截至价值时点，估价对象已设定抵押。</v>
      </c>
      <c r="J5" s="799"/>
      <c r="K5" s="2886"/>
      <c r="L5" s="2886"/>
      <c r="M5" s="2886"/>
      <c r="N5" s="799"/>
      <c r="O5" s="799"/>
      <c r="P5" s="799"/>
      <c r="Q5" s="799"/>
    </row>
    <row r="6" spans="1:17">
      <c r="A6" s="2860" t="s">
        <v>1480</v>
      </c>
      <c r="B6" s="2564" t="s">
        <v>2979</v>
      </c>
      <c r="C6" s="2565" t="s">
        <v>2663</v>
      </c>
      <c r="D6" s="2566" t="s">
        <v>1481</v>
      </c>
      <c r="E6" s="810"/>
      <c r="F6" s="810"/>
      <c r="G6" s="829"/>
      <c r="I6" s="799" t="str">
        <f>IF(COUNTIF(B5,"*上海银行*"),"上海银行","")</f>
        <v/>
      </c>
      <c r="J6" s="799"/>
      <c r="K6" s="2886"/>
      <c r="L6" s="2886"/>
      <c r="M6" s="2886"/>
      <c r="N6" s="799"/>
      <c r="O6" s="799"/>
      <c r="P6" s="799"/>
      <c r="Q6" s="799"/>
    </row>
    <row r="7" spans="1:17" ht="13.5" thickBot="1">
      <c r="A7" s="2861" t="s">
        <v>1482</v>
      </c>
      <c r="B7" s="2567" t="s">
        <v>3046</v>
      </c>
      <c r="C7" s="1492" t="str">
        <f>IF(B7="自然人","姓名","名称")</f>
        <v>姓名</v>
      </c>
      <c r="D7" s="1405" t="s">
        <v>2662</v>
      </c>
      <c r="E7" s="824"/>
      <c r="F7" s="824"/>
      <c r="G7" s="1161"/>
    </row>
    <row r="8" spans="1:17" ht="13.5" thickTop="1">
      <c r="A8" s="3393" t="s">
        <v>1483</v>
      </c>
      <c r="B8" s="1406" t="s">
        <v>1484</v>
      </c>
      <c r="C8" s="3406"/>
      <c r="D8" s="3407"/>
      <c r="E8" s="2568" t="s">
        <v>1485</v>
      </c>
      <c r="F8" s="2569" t="s">
        <v>1486</v>
      </c>
      <c r="G8" s="2570" t="str">
        <f>C6</f>
        <v>XX</v>
      </c>
    </row>
    <row r="9" spans="1:17" ht="25.5">
      <c r="A9" s="3393"/>
      <c r="B9" s="259" t="s">
        <v>1487</v>
      </c>
      <c r="C9" s="1398"/>
      <c r="D9" s="1407" t="s">
        <v>2980</v>
      </c>
      <c r="E9" s="2862" t="s">
        <v>1488</v>
      </c>
      <c r="F9" s="2571" t="s">
        <v>87</v>
      </c>
      <c r="G9" s="2572"/>
    </row>
    <row r="10" spans="1:17" ht="13.5" thickBot="1">
      <c r="A10" s="3393"/>
      <c r="B10" s="259" t="s">
        <v>1489</v>
      </c>
      <c r="C10" s="3408"/>
      <c r="D10" s="3409"/>
      <c r="E10" s="2863" t="s">
        <v>1490</v>
      </c>
      <c r="F10" s="2573" t="s">
        <v>292</v>
      </c>
      <c r="G10" s="2574"/>
    </row>
    <row r="11" spans="1:17" ht="13.5" thickBot="1">
      <c r="A11" s="3393"/>
      <c r="B11" s="1409" t="s">
        <v>1491</v>
      </c>
      <c r="C11" s="3410"/>
      <c r="D11" s="3411"/>
      <c r="E11" s="810"/>
      <c r="F11" s="810"/>
      <c r="G11" s="829"/>
    </row>
    <row r="12" spans="1:17" ht="13.5" thickBot="1">
      <c r="A12" s="3397" t="s">
        <v>2770</v>
      </c>
      <c r="B12" s="2864" t="s">
        <v>1492</v>
      </c>
      <c r="C12" s="807">
        <v>362.84</v>
      </c>
      <c r="D12" s="1410" t="s">
        <v>1493</v>
      </c>
      <c r="E12" s="1411"/>
      <c r="F12" s="1412"/>
      <c r="G12" s="829"/>
    </row>
    <row r="13" spans="1:17" ht="21" customHeight="1" thickBot="1">
      <c r="A13" s="3398"/>
      <c r="B13" s="2865" t="s">
        <v>1494</v>
      </c>
      <c r="C13" s="808"/>
      <c r="D13" s="1413" t="s">
        <v>1495</v>
      </c>
      <c r="E13" s="1414"/>
      <c r="F13" s="810"/>
      <c r="G13" s="829"/>
      <c r="I13" s="3416" t="s">
        <v>1496</v>
      </c>
      <c r="J13" s="2885" t="str">
        <f>"根据估价对象"&amp;IF(B19="——",B18&amp;C18,B18&amp;C18&amp;"、"&amp;B19&amp;C19)&amp;"，"&amp;IF(C16="是","截至价值时点，估价对象已设定抵押。","截至价值时点，估价对象抵押权未见登记。")</f>
        <v>根据估价对象、，截至价值时点，估价对象已设定抵押。</v>
      </c>
      <c r="K13" s="2886"/>
      <c r="L13" s="2886"/>
      <c r="M13" s="2886"/>
      <c r="N13" s="799"/>
      <c r="O13" s="799"/>
      <c r="P13" s="799"/>
      <c r="Q13" s="799"/>
    </row>
    <row r="14" spans="1:17" ht="13.5" thickBot="1">
      <c r="A14" s="2575"/>
      <c r="B14" s="2879" t="s">
        <v>2771</v>
      </c>
      <c r="C14" s="2576"/>
      <c r="D14" s="810"/>
      <c r="E14" s="810"/>
      <c r="F14" s="810"/>
      <c r="G14" s="829"/>
      <c r="I14" s="3416"/>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799"/>
      <c r="O14" s="799"/>
      <c r="P14" s="799"/>
      <c r="Q14" s="799"/>
    </row>
    <row r="15" spans="1:17" ht="13.5" thickBot="1">
      <c r="A15" s="2577"/>
      <c r="B15" s="2866" t="s">
        <v>1497</v>
      </c>
      <c r="C15" s="825">
        <v>2.5</v>
      </c>
      <c r="D15" s="824"/>
      <c r="E15" s="824"/>
      <c r="F15" s="824"/>
      <c r="G15" s="1161"/>
      <c r="I15" s="3416"/>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799"/>
      <c r="O15" s="799"/>
      <c r="P15" s="799"/>
      <c r="Q15" s="799"/>
    </row>
    <row r="16" spans="1:17" ht="27" thickTop="1" thickBot="1">
      <c r="A16" s="2575" t="s">
        <v>1498</v>
      </c>
      <c r="B16" s="1415" t="s">
        <v>1499</v>
      </c>
      <c r="C16" s="2578" t="s">
        <v>2981</v>
      </c>
      <c r="D16" s="1408" t="s">
        <v>1500</v>
      </c>
      <c r="E16" s="2579" t="s">
        <v>2982</v>
      </c>
      <c r="F16" s="1416" t="str">
        <f>IF(AND(C16="是",E16="否"),"是否提供他项权证或相关说明","")</f>
        <v>是否提供他项权证或相关说明</v>
      </c>
      <c r="G16" s="2579"/>
      <c r="J16" s="2868"/>
    </row>
    <row r="17" spans="1:66" ht="13.5" customHeight="1">
      <c r="A17" s="1422" t="s">
        <v>1501</v>
      </c>
      <c r="B17" s="3412" t="s">
        <v>1502</v>
      </c>
      <c r="C17" s="3413"/>
      <c r="D17" s="3414" t="s">
        <v>1503</v>
      </c>
      <c r="E17" s="3415"/>
      <c r="F17" s="1417" t="s">
        <v>1504</v>
      </c>
      <c r="G17" s="1418"/>
      <c r="J17" s="2868"/>
    </row>
    <row r="18" spans="1:66" ht="24">
      <c r="A18" s="1422"/>
      <c r="B18" s="2580"/>
      <c r="C18" s="1401"/>
      <c r="D18" s="1419" t="s">
        <v>1505</v>
      </c>
      <c r="E18" s="1420"/>
      <c r="F18" s="1421"/>
      <c r="G18" s="1284"/>
      <c r="H18" s="2868"/>
      <c r="J18" s="2868"/>
    </row>
    <row r="19" spans="1:66" ht="21.75" customHeight="1" thickBot="1">
      <c r="A19" s="1422"/>
      <c r="B19" s="2581"/>
      <c r="C19" s="1414"/>
      <c r="D19" s="1422"/>
      <c r="E19" s="810"/>
      <c r="F19" s="810"/>
      <c r="G19" s="1284"/>
    </row>
    <row r="20" spans="1:66">
      <c r="A20" s="1418" t="s">
        <v>1506</v>
      </c>
      <c r="B20" s="2582" t="s">
        <v>1507</v>
      </c>
      <c r="C20" s="2583"/>
      <c r="D20" s="2584" t="s">
        <v>1507</v>
      </c>
      <c r="E20" s="2583"/>
      <c r="F20" s="810"/>
      <c r="G20" s="1284"/>
    </row>
    <row r="21" spans="1:66">
      <c r="A21" s="1284"/>
      <c r="B21" s="2585" t="s">
        <v>1508</v>
      </c>
      <c r="C21" s="2851"/>
      <c r="D21" s="1422" t="s">
        <v>1508</v>
      </c>
      <c r="E21" s="2586"/>
      <c r="F21" s="810"/>
      <c r="G21" s="1284"/>
    </row>
    <row r="22" spans="1:66">
      <c r="A22" s="1284"/>
      <c r="B22" s="810" t="s">
        <v>1509</v>
      </c>
      <c r="C22" s="2587"/>
      <c r="D22" s="810" t="s">
        <v>1509</v>
      </c>
      <c r="E22" s="2586"/>
      <c r="F22" s="810"/>
      <c r="G22" s="1284"/>
    </row>
    <row r="23" spans="1:66" s="2850" customFormat="1" ht="16.5" thickBot="1">
      <c r="A23" s="1285"/>
      <c r="B23" s="828" t="s">
        <v>1510</v>
      </c>
      <c r="C23" s="808"/>
      <c r="D23" s="828" t="s">
        <v>1511</v>
      </c>
      <c r="E23" s="2588"/>
      <c r="F23" s="828"/>
      <c r="G23" s="1285"/>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25" t="s">
        <v>2769</v>
      </c>
      <c r="B24" s="3425"/>
      <c r="C24" s="3425"/>
      <c r="D24" s="3425"/>
      <c r="E24" s="3425"/>
      <c r="F24" s="3425"/>
      <c r="G24" s="3425"/>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7" t="s">
        <v>1512</v>
      </c>
      <c r="B25" s="810"/>
      <c r="C25" s="810"/>
      <c r="D25" s="810"/>
      <c r="E25" s="810"/>
      <c r="F25" s="810"/>
      <c r="G25" s="1285"/>
      <c r="K25" s="2869"/>
    </row>
    <row r="26" spans="1:66" s="835" customFormat="1" ht="13.5" thickBot="1">
      <c r="A26" s="2589"/>
      <c r="B26" s="806" t="s">
        <v>1513</v>
      </c>
      <c r="C26" s="2589"/>
      <c r="D26" s="806"/>
      <c r="E26" s="2590" t="s">
        <v>1514</v>
      </c>
      <c r="F26" s="2589"/>
      <c r="G26" s="2591"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5" customFormat="1" ht="13.5" thickBot="1">
      <c r="A27" s="2589"/>
      <c r="B27" s="2592"/>
      <c r="C27" s="2589"/>
      <c r="D27" s="806"/>
      <c r="E27" s="2592"/>
      <c r="F27" s="2589"/>
      <c r="G27" s="2593"/>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2" t="s">
        <v>1516</v>
      </c>
      <c r="B28" s="800"/>
      <c r="C28" s="3400" t="s">
        <v>1516</v>
      </c>
      <c r="D28" s="3401"/>
      <c r="E28" s="800"/>
      <c r="F28" s="802" t="s">
        <v>1516</v>
      </c>
      <c r="G28" s="800"/>
      <c r="K28" s="2869"/>
    </row>
    <row r="29" spans="1:66">
      <c r="A29" s="803" t="s">
        <v>1517</v>
      </c>
      <c r="B29" s="797"/>
      <c r="C29" s="3402" t="s">
        <v>1518</v>
      </c>
      <c r="D29" s="3403"/>
      <c r="E29" s="797"/>
      <c r="F29" s="803" t="s">
        <v>1518</v>
      </c>
      <c r="G29" s="797"/>
      <c r="K29" s="2869"/>
    </row>
    <row r="30" spans="1:66">
      <c r="A30" s="803" t="s">
        <v>1519</v>
      </c>
      <c r="B30" s="797"/>
      <c r="C30" s="3402" t="s">
        <v>1519</v>
      </c>
      <c r="D30" s="3403"/>
      <c r="E30" s="797"/>
      <c r="F30" s="803" t="s">
        <v>1520</v>
      </c>
      <c r="G30" s="797"/>
      <c r="K30" s="2869"/>
    </row>
    <row r="31" spans="1:66">
      <c r="A31" s="803" t="s">
        <v>1521</v>
      </c>
      <c r="B31" s="797"/>
      <c r="C31" s="3422" t="s">
        <v>1522</v>
      </c>
      <c r="D31" s="810"/>
      <c r="E31" s="2594" t="str">
        <f>E32&amp;" "&amp;E33&amp;" "&amp;E34&amp;" "&amp;E35</f>
        <v xml:space="preserve">   </v>
      </c>
      <c r="F31" s="803" t="s">
        <v>1523</v>
      </c>
      <c r="G31" s="797"/>
    </row>
    <row r="32" spans="1:66">
      <c r="A32" s="803" t="s">
        <v>1524</v>
      </c>
      <c r="B32" s="797"/>
      <c r="C32" s="3423"/>
      <c r="D32" s="259" t="s">
        <v>1525</v>
      </c>
      <c r="E32" s="797"/>
      <c r="F32" s="803" t="s">
        <v>1526</v>
      </c>
      <c r="G32" s="797"/>
    </row>
    <row r="33" spans="1:7" ht="24.75" thickBot="1">
      <c r="A33" s="804" t="s">
        <v>1527</v>
      </c>
      <c r="B33" s="801"/>
      <c r="C33" s="3423"/>
      <c r="D33" s="259" t="s">
        <v>1528</v>
      </c>
      <c r="E33" s="797"/>
      <c r="F33" s="803" t="s">
        <v>1529</v>
      </c>
      <c r="G33" s="797"/>
    </row>
    <row r="34" spans="1:7">
      <c r="A34" s="802" t="s">
        <v>1530</v>
      </c>
      <c r="B34" s="800"/>
      <c r="C34" s="3423"/>
      <c r="D34" s="259" t="s">
        <v>1531</v>
      </c>
      <c r="E34" s="797"/>
      <c r="F34" s="803" t="s">
        <v>1532</v>
      </c>
      <c r="G34" s="797"/>
    </row>
    <row r="35" spans="1:7" ht="13.5" thickBot="1">
      <c r="A35" s="803" t="s">
        <v>1533</v>
      </c>
      <c r="B35" s="797"/>
      <c r="C35" s="3424"/>
      <c r="D35" s="259" t="s">
        <v>1534</v>
      </c>
      <c r="E35" s="797"/>
      <c r="F35" s="804" t="s">
        <v>1535</v>
      </c>
      <c r="G35" s="2595"/>
    </row>
    <row r="36" spans="1:7">
      <c r="A36" s="803" t="s">
        <v>1492</v>
      </c>
      <c r="B36" s="797"/>
      <c r="C36" s="3402" t="s">
        <v>1536</v>
      </c>
      <c r="D36" s="3403"/>
      <c r="E36" s="797"/>
      <c r="F36" s="2596" t="s">
        <v>1537</v>
      </c>
      <c r="G36" s="800"/>
    </row>
    <row r="37" spans="1:7" ht="13.5" thickBot="1">
      <c r="A37" s="803" t="s">
        <v>1538</v>
      </c>
      <c r="B37" s="797"/>
      <c r="C37" s="3404" t="s">
        <v>1539</v>
      </c>
      <c r="D37" s="3405"/>
      <c r="E37" s="801"/>
      <c r="F37" s="1430" t="s">
        <v>1540</v>
      </c>
      <c r="G37" s="797"/>
    </row>
    <row r="38" spans="1:7" ht="13.5" thickBot="1">
      <c r="A38" s="803" t="s">
        <v>1541</v>
      </c>
      <c r="B38" s="797"/>
      <c r="C38" s="3394" t="s">
        <v>1542</v>
      </c>
      <c r="D38" s="1410" t="s">
        <v>1526</v>
      </c>
      <c r="E38" s="800"/>
      <c r="F38" s="804" t="s">
        <v>1543</v>
      </c>
      <c r="G38" s="801"/>
    </row>
    <row r="39" spans="1:7">
      <c r="A39" s="803" t="s">
        <v>1544</v>
      </c>
      <c r="B39" s="797"/>
      <c r="C39" s="3395"/>
      <c r="D39" s="259" t="s">
        <v>1533</v>
      </c>
      <c r="E39" s="797"/>
      <c r="F39" s="802" t="s">
        <v>1545</v>
      </c>
      <c r="G39" s="800"/>
    </row>
    <row r="40" spans="1:7">
      <c r="A40" s="803" t="s">
        <v>1546</v>
      </c>
      <c r="B40" s="797"/>
      <c r="C40" s="3395" t="s">
        <v>1547</v>
      </c>
      <c r="D40" s="259" t="s">
        <v>1492</v>
      </c>
      <c r="E40" s="797"/>
      <c r="F40" s="803" t="s">
        <v>1548</v>
      </c>
      <c r="G40" s="797"/>
    </row>
    <row r="41" spans="1:7" ht="24.75" customHeight="1" thickBot="1">
      <c r="A41" s="804" t="s">
        <v>1549</v>
      </c>
      <c r="B41" s="801"/>
      <c r="C41" s="3396"/>
      <c r="D41" s="1413" t="s">
        <v>1494</v>
      </c>
      <c r="E41" s="801"/>
      <c r="F41" s="804" t="s">
        <v>1550</v>
      </c>
      <c r="G41" s="801"/>
    </row>
    <row r="42" spans="1:7">
      <c r="A42" s="805" t="s">
        <v>1551</v>
      </c>
      <c r="B42" s="2597"/>
      <c r="C42" s="3417" t="s">
        <v>1551</v>
      </c>
      <c r="D42" s="3418"/>
      <c r="E42" s="2597"/>
      <c r="F42" s="802" t="s">
        <v>1552</v>
      </c>
      <c r="G42" s="2597"/>
    </row>
    <row r="43" spans="1:7">
      <c r="A43" s="820" t="s">
        <v>1553</v>
      </c>
      <c r="B43" s="2598"/>
      <c r="C43" s="1422"/>
      <c r="D43" s="2585"/>
      <c r="E43" s="2598"/>
      <c r="F43" s="820"/>
      <c r="G43" s="2598"/>
    </row>
    <row r="44" spans="1:7">
      <c r="A44" s="820" t="s">
        <v>1507</v>
      </c>
      <c r="B44" s="821"/>
      <c r="C44" s="1422"/>
      <c r="D44" s="1488" t="s">
        <v>1507</v>
      </c>
      <c r="E44" s="821"/>
      <c r="F44" s="820" t="s">
        <v>1507</v>
      </c>
      <c r="G44" s="821"/>
    </row>
    <row r="45" spans="1:7">
      <c r="A45" s="820" t="s">
        <v>1508</v>
      </c>
      <c r="B45" s="821"/>
      <c r="C45" s="1422"/>
      <c r="D45" s="2585" t="s">
        <v>1508</v>
      </c>
      <c r="E45" s="821"/>
      <c r="F45" s="820" t="s">
        <v>1508</v>
      </c>
      <c r="G45" s="821"/>
    </row>
    <row r="46" spans="1:7">
      <c r="A46" s="820" t="s">
        <v>1509</v>
      </c>
      <c r="B46" s="821"/>
      <c r="C46" s="1422"/>
      <c r="D46" s="2585" t="s">
        <v>1509</v>
      </c>
      <c r="E46" s="821"/>
      <c r="F46" s="820" t="s">
        <v>1509</v>
      </c>
      <c r="G46" s="821"/>
    </row>
    <row r="47" spans="1:7">
      <c r="A47" s="820" t="s">
        <v>1510</v>
      </c>
      <c r="B47" s="821"/>
      <c r="C47" s="1422"/>
      <c r="D47" s="2585" t="s">
        <v>1510</v>
      </c>
      <c r="E47" s="821"/>
      <c r="F47" s="820" t="s">
        <v>1510</v>
      </c>
      <c r="G47" s="821"/>
    </row>
    <row r="48" spans="1:7">
      <c r="A48" s="820"/>
      <c r="B48" s="821"/>
      <c r="C48" s="1422"/>
      <c r="D48" s="2585"/>
      <c r="E48" s="821"/>
      <c r="F48" s="820"/>
      <c r="G48" s="821"/>
    </row>
    <row r="49" spans="1:66" ht="13.5" thickBot="1">
      <c r="A49" s="804" t="s">
        <v>1554</v>
      </c>
      <c r="B49" s="801"/>
      <c r="C49" s="3419" t="s">
        <v>1554</v>
      </c>
      <c r="D49" s="3420"/>
      <c r="E49" s="819"/>
      <c r="F49" s="804" t="s">
        <v>1555</v>
      </c>
      <c r="G49" s="801"/>
    </row>
    <row r="50" spans="1:66">
      <c r="A50" s="803" t="s">
        <v>1556</v>
      </c>
      <c r="B50" s="818"/>
      <c r="C50" s="3394" t="s">
        <v>1557</v>
      </c>
      <c r="D50" s="3421"/>
      <c r="E50" s="2599"/>
      <c r="F50" s="836"/>
      <c r="G50" s="837"/>
    </row>
    <row r="51" spans="1:66" ht="13.5" thickBot="1">
      <c r="A51" s="803" t="s">
        <v>1558</v>
      </c>
      <c r="B51" s="818"/>
      <c r="C51" s="3396" t="s">
        <v>1559</v>
      </c>
      <c r="D51" s="3399"/>
      <c r="E51" s="801"/>
      <c r="F51" s="810"/>
      <c r="G51" s="829"/>
    </row>
    <row r="52" spans="1:66">
      <c r="A52" s="803" t="s">
        <v>1537</v>
      </c>
      <c r="B52" s="797"/>
      <c r="C52" s="810"/>
      <c r="D52" s="810"/>
      <c r="E52" s="810"/>
      <c r="F52" s="810"/>
      <c r="G52" s="829"/>
    </row>
    <row r="53" spans="1:66" ht="24.75" thickBot="1">
      <c r="A53" s="804" t="s">
        <v>1560</v>
      </c>
      <c r="B53" s="2595"/>
      <c r="C53" s="828"/>
      <c r="D53" s="828"/>
      <c r="E53" s="828"/>
      <c r="F53" s="828"/>
      <c r="G53" s="830"/>
    </row>
    <row r="57" spans="1:66" s="809"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09"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09"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09"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09"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09"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09"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6" t="s">
        <v>0</v>
      </c>
      <c r="B1" s="3426" t="s">
        <v>2</v>
      </c>
      <c r="C1" s="3426" t="s">
        <v>3</v>
      </c>
      <c r="D1" s="3427" t="s">
        <v>67</v>
      </c>
      <c r="E1" s="3427" t="s">
        <v>68</v>
      </c>
      <c r="F1" s="3427"/>
      <c r="G1" s="3427"/>
      <c r="H1" s="3427"/>
      <c r="I1" s="3427"/>
      <c r="J1" s="3427"/>
      <c r="K1" s="3427"/>
      <c r="L1" s="3427"/>
      <c r="M1" s="3427"/>
    </row>
    <row r="2" spans="1:13" ht="27" customHeight="1">
      <c r="A2" s="3426"/>
      <c r="B2" s="3426"/>
      <c r="C2" s="3426"/>
      <c r="D2" s="3427"/>
      <c r="E2" s="3427" t="s">
        <v>51</v>
      </c>
      <c r="F2" s="3427" t="s">
        <v>52</v>
      </c>
      <c r="G2" s="3427"/>
      <c r="H2" s="3427"/>
      <c r="I2" s="3427"/>
      <c r="J2" s="3427" t="s">
        <v>53</v>
      </c>
      <c r="K2" s="3427"/>
      <c r="L2" s="3427"/>
      <c r="M2" s="3427"/>
    </row>
    <row r="3" spans="1:13" ht="28.5">
      <c r="A3" s="3426"/>
      <c r="B3" s="3426"/>
      <c r="C3" s="3426"/>
      <c r="D3" s="3427"/>
      <c r="E3" s="34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7" t="s">
        <v>69</v>
      </c>
      <c r="B9" s="3427"/>
      <c r="C9" s="34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654" customWidth="1"/>
    <col min="2" max="2" width="16.75" style="2601" customWidth="1"/>
    <col min="3" max="3" width="18.25" style="2640" customWidth="1"/>
    <col min="4" max="4" width="34.125" style="2655" customWidth="1"/>
    <col min="5" max="5" width="17.625" style="2655" customWidth="1"/>
    <col min="6" max="6" width="15.5" style="2600"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601"/>
  </cols>
  <sheetData>
    <row r="1" spans="1:41" ht="19.5" thickBot="1">
      <c r="A1" s="2887" t="s">
        <v>1561</v>
      </c>
      <c r="B1" s="945"/>
      <c r="D1" s="2600"/>
      <c r="E1" s="2600"/>
    </row>
    <row r="2" spans="1:41" s="2604" customFormat="1" ht="15.75" thickBot="1">
      <c r="A2" s="2888" t="s">
        <v>1562</v>
      </c>
      <c r="B2" s="2889">
        <f>项目基本情况!D2</f>
        <v>44554</v>
      </c>
      <c r="C2" s="1652"/>
      <c r="D2" s="3428" t="s">
        <v>1563</v>
      </c>
      <c r="E2" s="2602"/>
      <c r="F2" s="2603"/>
      <c r="G2" s="2934"/>
      <c r="H2" s="2934"/>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3029</v>
      </c>
      <c r="C3" s="1652"/>
      <c r="D3" s="3429"/>
      <c r="E3" s="2606" t="s">
        <v>2981</v>
      </c>
      <c r="F3" s="2603"/>
      <c r="G3" s="2934"/>
      <c r="H3" s="2934"/>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2985</v>
      </c>
      <c r="C4" s="1652"/>
      <c r="D4" s="3429"/>
      <c r="E4" s="2606"/>
      <c r="F4" s="2603"/>
      <c r="G4" s="2934"/>
      <c r="H4" s="2934"/>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362.84</v>
      </c>
      <c r="C5" s="1652"/>
      <c r="D5" s="2890" t="s">
        <v>1567</v>
      </c>
      <c r="E5" s="2609">
        <f>B5/2</f>
        <v>181.42</v>
      </c>
      <c r="F5" s="2603"/>
      <c r="G5" s="2934"/>
      <c r="H5" s="2934"/>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0" t="s">
        <v>1569</v>
      </c>
      <c r="E6" s="2609"/>
      <c r="F6" s="2603"/>
      <c r="G6" s="2934"/>
      <c r="H6" s="2934"/>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6"/>
      <c r="D7" s="2937"/>
      <c r="E7" s="2937"/>
      <c r="F7" s="2934"/>
      <c r="G7" s="2934"/>
      <c r="H7" s="2934"/>
    </row>
    <row r="8" spans="1:41" s="1652" customFormat="1" ht="15" hidden="1">
      <c r="A8" s="2936"/>
      <c r="D8" s="2937"/>
      <c r="E8" s="2937"/>
      <c r="F8" s="2934"/>
      <c r="G8" s="2934"/>
      <c r="H8" s="2934"/>
    </row>
    <row r="9" spans="1:41" s="1652" customFormat="1" ht="15" hidden="1" thickBot="1">
      <c r="C9" s="3056"/>
      <c r="D9" s="2934"/>
      <c r="E9" s="2934"/>
      <c r="F9" s="2934"/>
      <c r="G9" s="2934"/>
      <c r="H9" s="2934"/>
    </row>
    <row r="10" spans="1:41" s="2604" customFormat="1" ht="15" thickBot="1">
      <c r="A10" s="2891" t="s">
        <v>1570</v>
      </c>
      <c r="B10" s="2613" t="s">
        <v>3047</v>
      </c>
      <c r="C10" s="1652"/>
      <c r="D10" s="2888" t="s">
        <v>1571</v>
      </c>
      <c r="E10" s="2892" t="s">
        <v>1572</v>
      </c>
      <c r="F10" s="3057" t="s">
        <v>2780</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3" t="s">
        <v>1573</v>
      </c>
      <c r="B11" s="2615">
        <v>40</v>
      </c>
      <c r="C11" s="1652"/>
      <c r="D11" s="2894" t="s">
        <v>1574</v>
      </c>
      <c r="E11" s="2616"/>
      <c r="F11" s="1279" t="s">
        <v>1575</v>
      </c>
      <c r="G11" s="1652"/>
      <c r="H11" s="1652"/>
      <c r="I11" s="1652"/>
      <c r="J11" s="1652"/>
      <c r="K11" s="1652"/>
      <c r="L11" s="2676"/>
      <c r="M11" s="2676"/>
      <c r="N11" s="2676"/>
      <c r="O11" s="2676"/>
      <c r="P11" s="2676"/>
      <c r="Q11" s="2676"/>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5" t="s">
        <v>1576</v>
      </c>
      <c r="B12" s="3739">
        <v>55871</v>
      </c>
      <c r="C12" s="1652"/>
      <c r="D12" s="2895" t="s">
        <v>1577</v>
      </c>
      <c r="E12" s="2618">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6" t="s">
        <v>1578</v>
      </c>
      <c r="B13" s="2897">
        <f>IF(B12="",B11-(YEAR($B$2)-B27+B24),ROUNDDOWN(MIN((B12-$B$2)/365,B11),2))</f>
        <v>31</v>
      </c>
      <c r="C13" s="2932"/>
      <c r="D13" s="2898" t="s">
        <v>1579</v>
      </c>
      <c r="E13" s="2619">
        <f>成本法!C10</f>
        <v>72568</v>
      </c>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5" t="s">
        <v>1581</v>
      </c>
      <c r="B14" s="2899">
        <f>IF(ISERROR(ROUND(POWER(1+B15,B11-B13)*(POWER(1+B15,B13)-1)/(POWER(1+B15,B11)-1),3)),0,ROUND(POWER(1+B15,B11-B13)*(POWER(1+B15,B13)-1)/(POWER(1+B15,B11)-1),3))</f>
        <v>0.90900000000000003</v>
      </c>
      <c r="C14" s="1652"/>
      <c r="D14" s="2900" t="s">
        <v>1582</v>
      </c>
      <c r="E14" s="2620">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5" t="s">
        <v>1583</v>
      </c>
      <c r="B15" s="2621">
        <v>0.05</v>
      </c>
      <c r="C15" s="2530" t="s">
        <v>2781</v>
      </c>
      <c r="D15" s="2895" t="s">
        <v>1584</v>
      </c>
      <c r="E15" s="2901">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5" t="s">
        <v>1585</v>
      </c>
      <c r="B16" s="2621">
        <v>5.5E-2</v>
      </c>
      <c r="C16" s="2530" t="s">
        <v>2782</v>
      </c>
      <c r="D16" s="2902" t="s">
        <v>1586</v>
      </c>
      <c r="E16" s="2622">
        <v>0</v>
      </c>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2" t="s">
        <v>2779</v>
      </c>
      <c r="B17" s="3055">
        <v>7.4999999999999997E-2</v>
      </c>
      <c r="C17" s="2530" t="s">
        <v>2783</v>
      </c>
      <c r="D17" s="2891" t="s">
        <v>1588</v>
      </c>
      <c r="E17" s="3338">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3" t="s">
        <v>1587</v>
      </c>
      <c r="B18" s="3063"/>
      <c r="C18" s="1652"/>
      <c r="D18" s="2904" t="str">
        <f>IF(B26=0,"建安总额","在建建安")</f>
        <v>建安总额</v>
      </c>
      <c r="E18" s="2905">
        <f>ROUND(B5*E17*IF(B26=0,1,E20),0)</f>
        <v>1269940</v>
      </c>
      <c r="F18" s="2623">
        <f>ROUND(E5*E17*IF(B26=0,1,E20),0)</f>
        <v>634970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78"/>
      <c r="B19" s="1278"/>
      <c r="C19" s="1652"/>
      <c r="D19" s="2904" t="str">
        <f>IF(B26=0,"——","续建建安")</f>
        <v>——</v>
      </c>
      <c r="E19" s="2905" t="str">
        <f>IF(B26=0,"——",ROUND(B5*E17*(1-E20),0))</f>
        <v>——</v>
      </c>
      <c r="F19" s="2623"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6" t="s">
        <v>1589</v>
      </c>
      <c r="B20" s="1278"/>
      <c r="C20" s="1652"/>
      <c r="D20" s="2908" t="str">
        <f>IF(B26=0,"成新率","工程进度")</f>
        <v>成新率</v>
      </c>
      <c r="E20" s="2625">
        <f>F20</f>
        <v>0.87</v>
      </c>
      <c r="F20" s="945">
        <f>ROUND(1-(2021-2013)/60,2)</f>
        <v>0.87</v>
      </c>
      <c r="G20" s="1652">
        <v>0.9</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7" t="s">
        <v>1590</v>
      </c>
      <c r="B21" s="2624">
        <v>0</v>
      </c>
      <c r="C21" s="1652"/>
      <c r="D21" s="2895" t="s">
        <v>1592</v>
      </c>
      <c r="E21" s="2627">
        <v>0.03</v>
      </c>
      <c r="F21" s="2638" t="s">
        <v>2789</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09" t="s">
        <v>1591</v>
      </c>
      <c r="B22" s="2626">
        <v>2</v>
      </c>
      <c r="C22" s="1652"/>
      <c r="D22" s="2895" t="s">
        <v>1594</v>
      </c>
      <c r="E22" s="2630"/>
      <c r="F22" s="2638" t="s">
        <v>2787</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0" t="s">
        <v>1593</v>
      </c>
      <c r="B23" s="2629">
        <v>2</v>
      </c>
      <c r="C23" s="1652"/>
      <c r="D23" s="2895" t="s">
        <v>1596</v>
      </c>
      <c r="E23" s="2618">
        <v>200</v>
      </c>
      <c r="F23" s="2638"/>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1" t="s">
        <v>1595</v>
      </c>
      <c r="B24" s="2912">
        <f>B21+B22</f>
        <v>2</v>
      </c>
      <c r="C24" s="1652"/>
      <c r="D24" s="2902" t="s">
        <v>1598</v>
      </c>
      <c r="E24" s="2631">
        <v>1.4999999999999999E-2</v>
      </c>
      <c r="F24" s="2638" t="s">
        <v>2790</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3" t="s">
        <v>1597</v>
      </c>
      <c r="B25" s="2914">
        <f>B21+B23</f>
        <v>2</v>
      </c>
      <c r="C25" s="1652"/>
      <c r="D25" s="2894" t="s">
        <v>1600</v>
      </c>
      <c r="E25" s="2627">
        <v>0.02</v>
      </c>
      <c r="F25" s="2638" t="s">
        <v>2788</v>
      </c>
      <c r="I25" s="2933"/>
    </row>
    <row r="26" spans="1:41" ht="15" thickBot="1">
      <c r="A26" s="2911" t="s">
        <v>1599</v>
      </c>
      <c r="B26" s="2915">
        <f>B22-B23</f>
        <v>0</v>
      </c>
      <c r="D26" s="2895" t="s">
        <v>1602</v>
      </c>
      <c r="E26" s="2630">
        <v>0.02</v>
      </c>
      <c r="F26" s="2638" t="s">
        <v>2788</v>
      </c>
      <c r="G26" s="2934"/>
      <c r="H26" s="2934"/>
      <c r="I26" s="1652"/>
      <c r="J26" s="1652"/>
      <c r="K26" s="1652"/>
      <c r="L26" s="1652"/>
      <c r="M26" s="1652"/>
      <c r="N26" s="1652"/>
    </row>
    <row r="27" spans="1:41" ht="15.75" thickBot="1">
      <c r="A27" s="2916" t="s">
        <v>1601</v>
      </c>
      <c r="B27" s="2632">
        <v>2013</v>
      </c>
      <c r="C27" s="1652"/>
      <c r="D27" s="3122" t="s">
        <v>2987</v>
      </c>
      <c r="E27" s="2917">
        <f ca="1">IF(D27="利息：取LPR",存贷款利率!G1,存贷款利率!G1+F27)</f>
        <v>4.3499999999999997E-2</v>
      </c>
      <c r="F27" s="3123">
        <v>5.0000000000000001E-3</v>
      </c>
      <c r="G27" s="2934"/>
      <c r="H27" s="2934"/>
      <c r="K27" s="1652"/>
      <c r="N27" s="1652"/>
    </row>
    <row r="28" spans="1:41" ht="15" thickBot="1">
      <c r="A28" s="945"/>
      <c r="B28" s="945"/>
      <c r="D28" s="2898" t="s">
        <v>1604</v>
      </c>
      <c r="E28" s="2634">
        <v>0.2</v>
      </c>
      <c r="G28" s="2934"/>
      <c r="H28" s="2934"/>
      <c r="K28" s="1652"/>
      <c r="N28" s="1652"/>
    </row>
    <row r="29" spans="1:41" ht="14.25">
      <c r="A29" s="2918" t="s">
        <v>1603</v>
      </c>
      <c r="B29" s="2633" t="s">
        <v>2986</v>
      </c>
      <c r="D29" s="2900" t="s">
        <v>1605</v>
      </c>
      <c r="E29" s="2919">
        <f>E30+E31</f>
        <v>5.5000000000000007E-2</v>
      </c>
      <c r="F29" s="1277"/>
      <c r="G29" s="2934"/>
      <c r="H29" s="2934"/>
      <c r="K29" s="1652"/>
      <c r="N29" s="1652"/>
    </row>
    <row r="30" spans="1:41" ht="14.25">
      <c r="A30" s="2895" t="str">
        <f>IF(B29="租赁期内按合同租金","合同租金","市场租金")</f>
        <v>市场租金</v>
      </c>
      <c r="B30" s="3740">
        <f>12/2</f>
        <v>6</v>
      </c>
      <c r="C30" s="2640">
        <v>8</v>
      </c>
      <c r="D30" s="2902" t="s">
        <v>1607</v>
      </c>
      <c r="E30" s="2636">
        <v>0.05</v>
      </c>
      <c r="F30" s="2921">
        <f>IF(B2&lt;DATE(2016,5,1),0,E30)</f>
        <v>0.05</v>
      </c>
      <c r="G30" s="2934"/>
      <c r="H30" s="2934"/>
      <c r="K30" s="1652"/>
      <c r="N30" s="1652"/>
    </row>
    <row r="31" spans="1:41" ht="14.25">
      <c r="A31" s="2895" t="s">
        <v>1606</v>
      </c>
      <c r="B31" s="2920">
        <f ca="1">存贷款利率!I1</f>
        <v>1.4999999999999999E-2</v>
      </c>
      <c r="C31" s="2640">
        <v>4</v>
      </c>
      <c r="D31" s="2902" t="s">
        <v>1609</v>
      </c>
      <c r="E31" s="2922">
        <f>E30*(E32+E33+E34)+E35</f>
        <v>5.000000000000001E-3</v>
      </c>
      <c r="F31" s="1277"/>
      <c r="G31" s="2934"/>
      <c r="H31" s="2934"/>
      <c r="K31" s="1652"/>
      <c r="N31" s="1652"/>
    </row>
    <row r="32" spans="1:41" ht="14.25">
      <c r="A32" s="2895" t="s">
        <v>1608</v>
      </c>
      <c r="B32" s="2621">
        <v>0.03</v>
      </c>
      <c r="D32" s="2902" t="s">
        <v>1611</v>
      </c>
      <c r="E32" s="2637">
        <v>0.05</v>
      </c>
      <c r="F32" s="2638" t="s">
        <v>2674</v>
      </c>
      <c r="G32" s="2934"/>
      <c r="H32" s="2934"/>
      <c r="K32" s="1652"/>
      <c r="L32" s="1652"/>
      <c r="M32" s="1652"/>
      <c r="N32" s="1652"/>
    </row>
    <row r="33" spans="1:14" ht="14.25">
      <c r="A33" s="2895" t="s">
        <v>1610</v>
      </c>
      <c r="B33" s="2621">
        <v>0.1</v>
      </c>
      <c r="D33" s="2902" t="s">
        <v>1613</v>
      </c>
      <c r="E33" s="2636">
        <v>0.03</v>
      </c>
      <c r="F33" s="1276" t="s">
        <v>1614</v>
      </c>
      <c r="G33" s="2934"/>
      <c r="H33" s="2934"/>
      <c r="K33" s="1652"/>
      <c r="L33" s="1652"/>
      <c r="M33" s="1652"/>
      <c r="N33" s="1652"/>
    </row>
    <row r="34" spans="1:14" s="2640" customFormat="1" ht="14.25">
      <c r="A34" s="2895" t="s">
        <v>1612</v>
      </c>
      <c r="B34" s="2923">
        <f>收益法!J54</f>
        <v>31</v>
      </c>
      <c r="D34" s="2902" t="s">
        <v>1615</v>
      </c>
      <c r="E34" s="2636">
        <v>0.02</v>
      </c>
      <c r="F34" s="1276" t="s">
        <v>1616</v>
      </c>
      <c r="G34" s="2934"/>
      <c r="H34" s="2934"/>
      <c r="I34" s="1652"/>
      <c r="J34" s="1652"/>
      <c r="K34" s="1652"/>
      <c r="L34" s="1652"/>
      <c r="M34" s="1652"/>
      <c r="N34" s="1652"/>
    </row>
    <row r="35" spans="1:14" s="2640" customFormat="1" ht="15" thickBot="1">
      <c r="A35" s="2902" t="str">
        <f>IF(B29="租赁期内按合同租金","剩余租赁期","——")</f>
        <v>——</v>
      </c>
      <c r="B35" s="2639"/>
      <c r="D35" s="2898" t="s">
        <v>1618</v>
      </c>
      <c r="E35" s="2642"/>
      <c r="F35" s="1279" t="s">
        <v>1619</v>
      </c>
      <c r="G35" s="2934"/>
      <c r="H35" s="2934"/>
      <c r="I35" s="1652"/>
      <c r="J35" s="1652"/>
      <c r="K35" s="1652"/>
      <c r="L35" s="1652"/>
      <c r="M35" s="1652"/>
      <c r="N35" s="1652"/>
    </row>
    <row r="36" spans="1:14" s="2640" customFormat="1" ht="15">
      <c r="A36" s="2924" t="s">
        <v>1617</v>
      </c>
      <c r="B36" s="2925"/>
      <c r="D36" s="2926" t="s">
        <v>1620</v>
      </c>
      <c r="E36" s="2644">
        <v>0.03</v>
      </c>
      <c r="F36" s="1278" t="s">
        <v>1621</v>
      </c>
      <c r="G36" s="2934"/>
      <c r="H36" s="2934"/>
      <c r="I36" s="1652"/>
      <c r="J36" s="1652"/>
      <c r="K36" s="1652"/>
      <c r="L36" s="1652"/>
      <c r="M36" s="1652"/>
      <c r="N36" s="1652"/>
    </row>
    <row r="37" spans="1:14" s="2640" customFormat="1" ht="15" thickBot="1">
      <c r="A37" s="2900" t="str">
        <f>IF(B29="租赁期内按合同租金","租金","——")</f>
        <v>——</v>
      </c>
      <c r="B37" s="2643"/>
      <c r="D37" s="2902" t="s">
        <v>1622</v>
      </c>
      <c r="E37" s="2636">
        <v>5.0000000000000001E-4</v>
      </c>
      <c r="F37" s="1278" t="s">
        <v>1623</v>
      </c>
      <c r="G37" s="2934"/>
      <c r="H37" s="2934"/>
      <c r="I37" s="1652"/>
      <c r="J37" s="1652"/>
      <c r="K37" s="1652"/>
      <c r="L37" s="1652"/>
      <c r="M37" s="1652"/>
      <c r="N37" s="1652"/>
    </row>
    <row r="38" spans="1:14" s="2640" customFormat="1" ht="14.25">
      <c r="A38" s="2895" t="str">
        <f>IF(B29="租赁期内按合同租金","年租金增长率","——")</f>
        <v>——</v>
      </c>
      <c r="B38" s="2621"/>
      <c r="D38" s="2927" t="s">
        <v>1624</v>
      </c>
      <c r="E38" s="2928">
        <v>1.2E-2</v>
      </c>
      <c r="F38" s="1278"/>
      <c r="G38" s="2933"/>
      <c r="H38" s="2933"/>
      <c r="I38" s="2934"/>
      <c r="J38" s="1652"/>
      <c r="K38" s="1652"/>
      <c r="L38" s="1652"/>
      <c r="M38" s="1652"/>
      <c r="N38" s="1652"/>
    </row>
    <row r="39" spans="1:14" s="2640" customFormat="1" ht="15" thickBot="1">
      <c r="A39" s="2895" t="str">
        <f>IF(B29="租赁期内按合同租金","空置率","——")</f>
        <v>——</v>
      </c>
      <c r="B39" s="2621"/>
      <c r="D39" s="2898" t="s">
        <v>1625</v>
      </c>
      <c r="E39" s="2929">
        <v>0.12</v>
      </c>
      <c r="F39" s="1278"/>
      <c r="G39" s="2934"/>
      <c r="H39" s="2934"/>
      <c r="I39" s="1652"/>
      <c r="J39" s="1652"/>
      <c r="K39" s="1652"/>
      <c r="L39" s="1652"/>
      <c r="M39" s="1652"/>
      <c r="N39" s="1652"/>
    </row>
    <row r="40" spans="1:14" ht="14.25">
      <c r="A40" s="2895" t="str">
        <f>IF(B29="租赁期内按合同租金","成新率","——")</f>
        <v>——</v>
      </c>
      <c r="B40" s="2621"/>
      <c r="D40" s="2927" t="s">
        <v>1626</v>
      </c>
      <c r="E40" s="2931">
        <f>SUMIF(D42:D51,E41,E42:E51)</f>
        <v>0</v>
      </c>
      <c r="F40" s="1278"/>
      <c r="G40" s="2934"/>
      <c r="H40" s="2934"/>
      <c r="I40" s="1652"/>
      <c r="J40" s="1652"/>
      <c r="K40" s="1652"/>
      <c r="L40" s="1652"/>
      <c r="M40" s="1652"/>
      <c r="N40" s="1652"/>
    </row>
    <row r="41" spans="1:14" ht="15" thickBot="1">
      <c r="A41" s="2902" t="str">
        <f>IF(B29="租赁期内按合同租金","租赁期外收益期","——")</f>
        <v>——</v>
      </c>
      <c r="B41" s="2930" t="str">
        <f>IF(B29="租赁期内按合同租金",B34-B35,"——")</f>
        <v>——</v>
      </c>
      <c r="D41" s="2895" t="s">
        <v>1628</v>
      </c>
      <c r="E41" s="2646"/>
      <c r="F41" s="1278" t="s">
        <v>1629</v>
      </c>
      <c r="G41" s="1739" t="s">
        <v>1630</v>
      </c>
      <c r="H41" s="2934"/>
      <c r="I41" s="1652"/>
      <c r="J41" s="1652"/>
      <c r="K41" s="1652"/>
      <c r="L41" s="1652"/>
      <c r="M41" s="1652"/>
      <c r="N41" s="1652"/>
    </row>
    <row r="42" spans="1:14" ht="14.25">
      <c r="A42" s="2894" t="s">
        <v>1627</v>
      </c>
      <c r="B42" s="2645"/>
      <c r="D42" s="2648" t="s">
        <v>1632</v>
      </c>
      <c r="E42" s="2635"/>
      <c r="F42" s="1278">
        <v>30</v>
      </c>
      <c r="G42" s="2934"/>
      <c r="H42" s="2934"/>
      <c r="I42" s="1652"/>
      <c r="J42" s="1652"/>
      <c r="K42" s="1652"/>
      <c r="L42" s="1652"/>
      <c r="M42" s="1652"/>
      <c r="N42" s="1652"/>
    </row>
    <row r="43" spans="1:14" ht="14.25">
      <c r="A43" s="2895" t="s">
        <v>1631</v>
      </c>
      <c r="B43" s="2647">
        <v>365</v>
      </c>
      <c r="D43" s="2648" t="s">
        <v>1634</v>
      </c>
      <c r="E43" s="2635"/>
      <c r="F43" s="1278">
        <v>24</v>
      </c>
      <c r="G43" s="2934"/>
      <c r="H43" s="2934"/>
      <c r="I43" s="1652"/>
      <c r="J43" s="1652"/>
      <c r="K43" s="1652"/>
      <c r="L43" s="1652"/>
      <c r="M43" s="1652"/>
      <c r="N43" s="1652"/>
    </row>
    <row r="44" spans="1:14" ht="14.25">
      <c r="A44" s="2895" t="s">
        <v>1633</v>
      </c>
      <c r="B44" s="2635"/>
      <c r="D44" s="2648" t="s">
        <v>1636</v>
      </c>
      <c r="E44" s="2635"/>
      <c r="F44" s="1278">
        <v>18</v>
      </c>
      <c r="G44" s="2640"/>
      <c r="H44" s="2640"/>
      <c r="I44" s="2934"/>
      <c r="J44" s="1652"/>
      <c r="K44" s="1652"/>
      <c r="L44" s="1652"/>
      <c r="M44" s="1652"/>
      <c r="N44" s="1652"/>
    </row>
    <row r="45" spans="1:14" ht="14.25">
      <c r="A45" s="2895" t="s">
        <v>1635</v>
      </c>
      <c r="B45" s="2649">
        <v>1.4999999999999999E-2</v>
      </c>
      <c r="C45" s="2530" t="s">
        <v>2786</v>
      </c>
      <c r="D45" s="2648" t="s">
        <v>1638</v>
      </c>
      <c r="E45" s="2635"/>
      <c r="F45" s="1278">
        <v>12</v>
      </c>
      <c r="G45" s="2640"/>
      <c r="H45" s="2640"/>
      <c r="M45" s="1652"/>
      <c r="N45" s="1652"/>
    </row>
    <row r="46" spans="1:14" ht="14.25">
      <c r="A46" s="2895" t="s">
        <v>1637</v>
      </c>
      <c r="B46" s="2650">
        <v>1.5E-3</v>
      </c>
      <c r="C46" s="2530" t="s">
        <v>2784</v>
      </c>
      <c r="D46" s="2648" t="s">
        <v>1400</v>
      </c>
      <c r="E46" s="2635"/>
      <c r="F46" s="1278">
        <v>3</v>
      </c>
      <c r="G46" s="2640"/>
      <c r="H46" s="2640"/>
      <c r="M46" s="1652"/>
      <c r="N46" s="1652"/>
    </row>
    <row r="47" spans="1:14" ht="15" thickBot="1">
      <c r="A47" s="2898" t="s">
        <v>1639</v>
      </c>
      <c r="B47" s="2651">
        <v>0.01</v>
      </c>
      <c r="C47" s="2530" t="s">
        <v>2785</v>
      </c>
      <c r="D47" s="2648" t="s">
        <v>1640</v>
      </c>
      <c r="E47" s="2635"/>
      <c r="F47" s="1278">
        <v>1.5</v>
      </c>
      <c r="G47" s="2640"/>
      <c r="H47" s="2640"/>
      <c r="M47" s="1652"/>
      <c r="N47" s="1652"/>
    </row>
    <row r="48" spans="1:14" ht="14.25">
      <c r="A48" s="2640"/>
      <c r="B48" s="2640"/>
      <c r="D48" s="2648" t="s">
        <v>1641</v>
      </c>
      <c r="E48" s="2635"/>
      <c r="F48" s="1278"/>
      <c r="G48" s="2640"/>
      <c r="H48" s="2640"/>
      <c r="M48" s="1652"/>
      <c r="N48" s="1652"/>
    </row>
    <row r="49" spans="1:41" ht="14.25">
      <c r="A49" s="2640"/>
      <c r="B49" s="2640"/>
      <c r="D49" s="2648" t="s">
        <v>1642</v>
      </c>
      <c r="E49" s="2635"/>
      <c r="F49" s="1278"/>
      <c r="G49" s="2640"/>
      <c r="H49" s="2640"/>
      <c r="M49" s="1652"/>
      <c r="N49" s="1652"/>
    </row>
    <row r="50" spans="1:41" ht="14.25">
      <c r="A50" s="2640"/>
      <c r="B50" s="2640"/>
      <c r="D50" s="2648" t="s">
        <v>1643</v>
      </c>
      <c r="E50" s="2635"/>
      <c r="F50" s="1278"/>
      <c r="G50" s="2640"/>
      <c r="H50" s="2640"/>
      <c r="M50" s="1652"/>
      <c r="N50" s="1652"/>
    </row>
    <row r="51" spans="1:41" s="945" customFormat="1" ht="15" thickBot="1">
      <c r="A51" s="2640"/>
      <c r="B51" s="2640"/>
      <c r="C51" s="2640"/>
      <c r="D51" s="2652" t="s">
        <v>1644</v>
      </c>
      <c r="E51" s="2653"/>
      <c r="F51" s="1278"/>
      <c r="G51" s="2640"/>
      <c r="H51" s="2640"/>
      <c r="I51" s="2640"/>
      <c r="J51" s="2640"/>
      <c r="K51" s="2640"/>
      <c r="L51" s="2640"/>
      <c r="M51" s="1652"/>
      <c r="N51" s="1652"/>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2"/>
      <c r="J52" s="1652"/>
      <c r="K52" s="1652"/>
      <c r="L52" s="1652"/>
      <c r="M52" s="1652"/>
      <c r="N52" s="1652"/>
    </row>
    <row r="53" spans="1:41" s="2640" customFormat="1" ht="14.25">
      <c r="D53" s="2934"/>
      <c r="E53" s="2934"/>
      <c r="F53" s="2934"/>
      <c r="G53" s="2934"/>
      <c r="H53" s="2934"/>
      <c r="I53" s="1652"/>
      <c r="J53" s="1652"/>
      <c r="K53" s="1652"/>
      <c r="L53" s="1652"/>
      <c r="M53" s="1652"/>
      <c r="N53" s="1652"/>
    </row>
    <row r="54" spans="1:41" s="2640" customFormat="1" ht="14.25">
      <c r="D54" s="2934"/>
      <c r="E54" s="2934"/>
      <c r="F54" s="2934"/>
      <c r="G54" s="2934"/>
      <c r="H54" s="2934"/>
      <c r="I54" s="1652"/>
      <c r="J54" s="1652"/>
      <c r="K54" s="1652"/>
      <c r="L54" s="1652"/>
      <c r="M54" s="1652"/>
      <c r="N54" s="1652"/>
    </row>
    <row r="55" spans="1:41" s="2640" customFormat="1" ht="14.25">
      <c r="D55" s="2934"/>
      <c r="E55" s="2934"/>
      <c r="F55" s="2934"/>
      <c r="G55" s="2934"/>
      <c r="H55" s="2934"/>
      <c r="I55" s="1652"/>
      <c r="J55" s="1652"/>
      <c r="K55" s="1652"/>
      <c r="L55" s="1652"/>
      <c r="M55" s="1652"/>
      <c r="N55" s="1652"/>
    </row>
    <row r="56" spans="1:41" s="2640" customFormat="1" ht="14.25">
      <c r="D56" s="2934"/>
      <c r="E56" s="2934"/>
      <c r="F56" s="2934"/>
      <c r="G56" s="2934"/>
      <c r="H56" s="2934"/>
      <c r="I56" s="1652"/>
      <c r="J56" s="1652"/>
      <c r="K56" s="1652"/>
      <c r="L56" s="1652"/>
      <c r="M56" s="1652"/>
      <c r="N56" s="1652"/>
    </row>
    <row r="57" spans="1:41" s="2640" customFormat="1" ht="14.25">
      <c r="D57" s="2934"/>
      <c r="E57" s="2934"/>
      <c r="F57" s="2934"/>
      <c r="G57" s="2934"/>
      <c r="H57" s="2934"/>
      <c r="I57" s="1652"/>
      <c r="J57" s="1652"/>
      <c r="K57" s="1652"/>
      <c r="L57" s="1652"/>
      <c r="M57" s="1652"/>
      <c r="N57" s="1652"/>
    </row>
    <row r="58" spans="1:41" s="2640" customFormat="1" ht="14.25">
      <c r="D58" s="2934"/>
      <c r="E58" s="2934"/>
      <c r="F58" s="2934"/>
      <c r="G58" s="2934"/>
      <c r="H58" s="2934"/>
      <c r="I58" s="1652"/>
      <c r="J58" s="1652"/>
      <c r="K58" s="1652"/>
      <c r="L58" s="1652"/>
      <c r="M58" s="1652"/>
      <c r="N58" s="1652"/>
    </row>
    <row r="59" spans="1:41" s="2640" customFormat="1" ht="14.25">
      <c r="D59" s="2934"/>
      <c r="E59" s="2934"/>
      <c r="F59" s="2934"/>
      <c r="G59" s="2934"/>
      <c r="H59" s="2934"/>
      <c r="I59" s="1652"/>
      <c r="J59" s="1652"/>
      <c r="K59" s="1652"/>
      <c r="L59" s="1652"/>
      <c r="M59" s="2935"/>
      <c r="N59" s="1652"/>
    </row>
    <row r="60" spans="1:41" s="2640" customFormat="1" ht="14.25">
      <c r="D60" s="2934"/>
      <c r="E60" s="2934"/>
      <c r="F60" s="2934"/>
      <c r="G60" s="2934"/>
      <c r="H60" s="2934"/>
      <c r="I60" s="1652"/>
      <c r="J60" s="1652"/>
      <c r="K60" s="1652"/>
      <c r="L60" s="1652"/>
      <c r="M60" s="1652"/>
      <c r="N60" s="1652"/>
    </row>
    <row r="61" spans="1:41" s="2640" customFormat="1" ht="14.25">
      <c r="D61" s="2934"/>
      <c r="E61" s="2934"/>
      <c r="F61" s="2934"/>
      <c r="G61" s="2934"/>
      <c r="H61" s="2934"/>
      <c r="I61" s="1652"/>
      <c r="J61" s="1652"/>
      <c r="K61" s="1652"/>
      <c r="L61" s="1652"/>
      <c r="M61" s="1652"/>
      <c r="N61" s="1652"/>
    </row>
    <row r="62" spans="1:41" s="2640" customFormat="1" ht="14.25">
      <c r="D62" s="2934"/>
      <c r="E62" s="2934"/>
      <c r="F62" s="2934"/>
      <c r="G62" s="2934"/>
      <c r="H62" s="2934"/>
      <c r="I62" s="1652"/>
      <c r="J62" s="1652"/>
      <c r="K62" s="1652"/>
      <c r="L62" s="1652"/>
      <c r="M62" s="1652"/>
      <c r="N62" s="1652"/>
    </row>
    <row r="63" spans="1:41" s="2640" customFormat="1" ht="14.25">
      <c r="D63" s="2934"/>
      <c r="E63" s="2934"/>
      <c r="F63" s="2934"/>
      <c r="G63" s="2934"/>
      <c r="H63" s="2934"/>
      <c r="I63" s="1652"/>
      <c r="J63" s="1652"/>
      <c r="K63" s="1652"/>
      <c r="L63" s="1652"/>
      <c r="M63" s="1652"/>
      <c r="N63" s="1652"/>
    </row>
    <row r="64" spans="1:41" s="2640" customFormat="1" ht="14.25">
      <c r="D64" s="2934"/>
      <c r="E64" s="2934"/>
      <c r="F64" s="2934"/>
      <c r="G64" s="2934"/>
      <c r="H64" s="2934"/>
      <c r="I64" s="1652"/>
      <c r="J64" s="1652"/>
      <c r="K64" s="1652"/>
      <c r="L64" s="1652"/>
      <c r="M64" s="1652"/>
      <c r="N64" s="1652"/>
    </row>
    <row r="65" spans="1:14" s="2640" customFormat="1" ht="14.25">
      <c r="D65" s="2934"/>
      <c r="E65" s="2934"/>
      <c r="F65" s="2934"/>
      <c r="G65" s="2934"/>
      <c r="H65" s="2934"/>
      <c r="I65" s="1652"/>
      <c r="J65" s="1652"/>
      <c r="K65" s="1652"/>
      <c r="L65" s="1652"/>
      <c r="M65" s="1652"/>
      <c r="N65" s="1652"/>
    </row>
    <row r="66" spans="1:14" s="2640" customFormat="1" ht="14.25">
      <c r="D66" s="2934"/>
      <c r="E66" s="2934"/>
      <c r="F66" s="2934"/>
      <c r="G66" s="2934"/>
      <c r="H66" s="2934"/>
      <c r="I66" s="1652"/>
      <c r="J66" s="1652"/>
      <c r="K66" s="1652"/>
      <c r="L66" s="1652"/>
      <c r="M66" s="1652"/>
      <c r="N66" s="1652"/>
    </row>
    <row r="67" spans="1:14" s="2640" customFormat="1" ht="14.25">
      <c r="A67" s="2938"/>
      <c r="D67" s="2934"/>
      <c r="E67" s="2934"/>
      <c r="F67" s="2934"/>
      <c r="G67" s="2934"/>
      <c r="H67" s="2934"/>
      <c r="I67" s="1652"/>
      <c r="J67" s="1652"/>
      <c r="K67" s="1652"/>
      <c r="L67" s="1652"/>
      <c r="M67" s="1652"/>
      <c r="N67" s="1652"/>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6" customWidth="1"/>
    <col min="4" max="4" width="2.625" style="2676" customWidth="1"/>
    <col min="5" max="5" width="5.875" style="2676" customWidth="1"/>
    <col min="6" max="6" width="27" style="2617"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4"/>
  </cols>
  <sheetData>
    <row r="1" spans="1:29" s="2661" customFormat="1" ht="19.5" thickBot="1">
      <c r="A1" s="3430" t="s">
        <v>1645</v>
      </c>
      <c r="B1" s="3431"/>
      <c r="C1" s="3431"/>
      <c r="D1" s="3431"/>
      <c r="E1" s="3431"/>
      <c r="F1" s="3431"/>
      <c r="G1" s="3431"/>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601" customFormat="1" ht="13.5" thickBot="1">
      <c r="A2" s="3064"/>
      <c r="B2" s="3065"/>
      <c r="C2" s="3066" t="s">
        <v>2791</v>
      </c>
      <c r="D2" s="3067"/>
      <c r="E2" s="3064"/>
      <c r="F2" s="3068"/>
      <c r="G2" s="3066" t="s">
        <v>2792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1" customFormat="1" ht="36">
      <c r="A3" s="3070" t="s">
        <v>2793</v>
      </c>
      <c r="B3" s="3071" t="s">
        <v>2794</v>
      </c>
      <c r="C3" s="3072" t="s">
        <v>2795</v>
      </c>
      <c r="D3" s="3073"/>
      <c r="E3" s="3074" t="s">
        <v>2793</v>
      </c>
      <c r="F3" s="3075" t="s">
        <v>2796</v>
      </c>
      <c r="G3" s="3076" t="s">
        <v>2797</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1" customFormat="1" ht="24.75">
      <c r="A4" s="3074"/>
      <c r="B4" s="3058" t="s">
        <v>2798</v>
      </c>
      <c r="C4" s="3077" t="s">
        <v>2799</v>
      </c>
      <c r="D4" s="3073"/>
      <c r="E4" s="3078"/>
      <c r="F4" s="3060" t="s">
        <v>2800</v>
      </c>
      <c r="G4" s="3079" t="s">
        <v>2801</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1" customFormat="1" ht="24.75">
      <c r="A5" s="3074"/>
      <c r="B5" s="3058" t="s">
        <v>2802</v>
      </c>
      <c r="C5" s="3077" t="s">
        <v>2803</v>
      </c>
      <c r="D5" s="3073"/>
      <c r="E5" s="3078"/>
      <c r="F5" s="3058" t="s">
        <v>2804</v>
      </c>
      <c r="G5" s="3079" t="s">
        <v>2805</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1" customFormat="1" ht="36">
      <c r="A6" s="3074"/>
      <c r="B6" s="3058" t="s">
        <v>2806</v>
      </c>
      <c r="C6" s="3079" t="s">
        <v>2801</v>
      </c>
      <c r="D6" s="3073"/>
      <c r="E6" s="3078"/>
      <c r="F6" s="3058" t="s">
        <v>2807</v>
      </c>
      <c r="G6" s="3079" t="s">
        <v>2808</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1" customFormat="1" ht="24.75" thickBot="1">
      <c r="A7" s="3074"/>
      <c r="B7" s="3058" t="s">
        <v>2804</v>
      </c>
      <c r="C7" s="3079" t="s">
        <v>2805</v>
      </c>
      <c r="D7" s="2947"/>
      <c r="E7" s="3080"/>
      <c r="F7" s="3081" t="s">
        <v>2809</v>
      </c>
      <c r="G7" s="3082" t="s">
        <v>2810</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1" customFormat="1" ht="12.75">
      <c r="A8" s="3074"/>
      <c r="B8" s="3058" t="s">
        <v>2807</v>
      </c>
      <c r="C8" s="3079" t="s">
        <v>2808</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1" customFormat="1" ht="24">
      <c r="A9" s="3074"/>
      <c r="B9" s="3058" t="s">
        <v>2811</v>
      </c>
      <c r="C9" s="3077" t="s">
        <v>2812</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3"/>
      <c r="B10" s="3062" t="s">
        <v>2813</v>
      </c>
      <c r="C10" s="3084"/>
      <c r="D10" s="3073"/>
      <c r="E10" s="3073"/>
      <c r="F10" s="2942"/>
      <c r="G10" s="2942"/>
      <c r="H10" s="1465"/>
      <c r="I10" s="3085"/>
      <c r="J10" s="3086"/>
      <c r="K10" s="1465"/>
      <c r="L10" s="3085"/>
      <c r="M10" s="3086"/>
      <c r="N10" s="1465"/>
      <c r="O10" s="3085"/>
      <c r="P10" s="3086"/>
      <c r="Q10" s="1465"/>
      <c r="R10" s="3085"/>
      <c r="S10" s="3069"/>
      <c r="T10" s="3069"/>
      <c r="U10" s="3069"/>
      <c r="V10" s="3069"/>
      <c r="W10" s="3069"/>
      <c r="X10" s="3069"/>
      <c r="Y10" s="3069"/>
      <c r="Z10" s="3069"/>
      <c r="AA10" s="3069"/>
      <c r="AB10" s="3069"/>
      <c r="AC10" s="3069"/>
    </row>
    <row r="11" spans="1:29" s="2640" customFormat="1" ht="12.75">
      <c r="A11" s="3087"/>
      <c r="B11" s="2947"/>
      <c r="C11" s="3073"/>
      <c r="D11" s="3073"/>
      <c r="E11" s="3073"/>
      <c r="F11" s="2947"/>
      <c r="G11" s="3088"/>
      <c r="H11" s="1465"/>
      <c r="I11" s="3085"/>
      <c r="J11" s="3086"/>
      <c r="K11" s="1465"/>
      <c r="L11" s="3085"/>
      <c r="M11" s="3086"/>
      <c r="N11" s="1465"/>
      <c r="O11" s="3085"/>
      <c r="P11" s="3086"/>
      <c r="Q11" s="1465"/>
      <c r="R11" s="3085"/>
      <c r="S11" s="3069"/>
      <c r="T11" s="3069"/>
      <c r="U11" s="3069"/>
      <c r="V11" s="3069"/>
      <c r="W11" s="3069"/>
      <c r="X11" s="3069"/>
      <c r="Y11" s="3069"/>
      <c r="Z11" s="3069"/>
      <c r="AA11" s="3069"/>
      <c r="AB11" s="3069"/>
      <c r="AC11" s="3069"/>
    </row>
    <row r="12" spans="1:29" s="2661" customFormat="1" ht="18">
      <c r="A12" s="2612"/>
      <c r="B12" s="2665"/>
      <c r="C12" s="2664"/>
      <c r="D12" s="2666"/>
      <c r="E12" s="2664"/>
      <c r="F12" s="2665"/>
      <c r="G12" s="1810"/>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601" customFormat="1" ht="13.5" thickBot="1">
      <c r="A14" s="3089"/>
      <c r="B14" s="3089"/>
      <c r="C14" s="3090" t="s">
        <v>2814</v>
      </c>
      <c r="D14" s="3073"/>
      <c r="E14" s="3091"/>
      <c r="F14" s="3091"/>
      <c r="G14" s="3066" t="s">
        <v>2815</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1" customFormat="1" ht="38.25">
      <c r="A15" s="3095" t="s">
        <v>2816</v>
      </c>
      <c r="B15" s="3096" t="s">
        <v>2794</v>
      </c>
      <c r="C15" s="3097" t="str">
        <f>C3</f>
        <v>估价对象周边居住用地比例、居住小区规模和社区发展完善程度，综合评价居住社区成熟度一般</v>
      </c>
      <c r="D15" s="3073"/>
      <c r="E15" s="3098" t="s">
        <v>2817</v>
      </c>
      <c r="F15" s="3096" t="s">
        <v>2818</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1" customFormat="1" ht="25.5">
      <c r="A16" s="3100"/>
      <c r="B16" s="2541" t="s">
        <v>2798</v>
      </c>
      <c r="C16" s="3101" t="str">
        <f>C4</f>
        <v>估价对象位于XX商圈，周边商业氛围成熟，人流量大，商业繁华度好</v>
      </c>
      <c r="D16" s="3073"/>
      <c r="E16" s="3102"/>
      <c r="F16" s="3059" t="s">
        <v>2800</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1" customFormat="1" ht="25.5">
      <c r="A17" s="3100"/>
      <c r="B17" s="2541" t="s">
        <v>2802</v>
      </c>
      <c r="C17" s="3101" t="str">
        <f>C5</f>
        <v>估价对象位于XX商圈，周边办公楼项目较多，入驻率高，办公集聚程度较好</v>
      </c>
      <c r="D17" s="2947"/>
      <c r="E17" s="3102"/>
      <c r="F17" s="3059" t="s">
        <v>2819</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1" customFormat="1" ht="38.25">
      <c r="A18" s="3100"/>
      <c r="B18" s="3059" t="s">
        <v>2806</v>
      </c>
      <c r="C18" s="3103" t="str">
        <f>C6</f>
        <v>估价对象周边道路状况、公共交通通达情况、停车便捷程度，综合评价交通便捷度较好</v>
      </c>
      <c r="D18" s="2947"/>
      <c r="E18" s="3102"/>
      <c r="F18" s="3059" t="s">
        <v>2809</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1" customFormat="1" ht="12.75">
      <c r="A19" s="3100"/>
      <c r="B19" s="3059" t="s">
        <v>2820</v>
      </c>
      <c r="C19" s="3104"/>
      <c r="D19" s="3073"/>
      <c r="E19" s="3102"/>
      <c r="F19" s="3058" t="s">
        <v>2804</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1" customFormat="1" ht="25.5">
      <c r="A20" s="3100"/>
      <c r="B20" s="3059" t="s">
        <v>2821</v>
      </c>
      <c r="C20" s="3101" t="str">
        <f>C9</f>
        <v>区域自然环境：；人文环境；综合评价环境状况一般</v>
      </c>
      <c r="D20" s="2947"/>
      <c r="E20" s="3102"/>
      <c r="F20" s="3058" t="s">
        <v>2807</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1" customFormat="1" ht="25.5">
      <c r="A21" s="3100"/>
      <c r="B21" s="3058" t="s">
        <v>2804</v>
      </c>
      <c r="C21" s="3103" t="str">
        <f>C7</f>
        <v>估价对象所在区域公共配套设施齐备情况</v>
      </c>
      <c r="D21" s="3073"/>
      <c r="E21" s="3102"/>
      <c r="F21" s="3059" t="s">
        <v>2822</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1" customFormat="1" ht="12.75">
      <c r="A22" s="3100"/>
      <c r="B22" s="3058" t="s">
        <v>2807</v>
      </c>
      <c r="C22" s="3103" t="str">
        <f>C8</f>
        <v>估价对象所在区域基础设施水平</v>
      </c>
      <c r="D22" s="3073"/>
      <c r="E22" s="3102"/>
      <c r="F22" s="3059" t="s">
        <v>2813</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2822</v>
      </c>
      <c r="C23" s="3105"/>
      <c r="D23" s="3092"/>
      <c r="E23" s="3107"/>
      <c r="F23" s="3061" t="s">
        <v>2823</v>
      </c>
      <c r="G23" s="3108"/>
      <c r="H23" s="3092"/>
      <c r="I23" s="3093"/>
      <c r="J23" s="3092"/>
      <c r="K23" s="3092"/>
      <c r="L23" s="3093"/>
      <c r="M23" s="3092"/>
      <c r="N23" s="3092"/>
      <c r="O23" s="3093"/>
      <c r="P23" s="3092"/>
      <c r="Q23" s="3092"/>
      <c r="R23" s="3094"/>
    </row>
    <row r="24" spans="1:29" s="3069" customFormat="1" ht="13.5" thickBot="1">
      <c r="A24" s="3109"/>
      <c r="B24" s="3061" t="s">
        <v>2824</v>
      </c>
      <c r="C24" s="3110">
        <f>C10</f>
        <v>0</v>
      </c>
      <c r="D24" s="3092"/>
      <c r="E24" s="3111"/>
      <c r="F24" s="3111"/>
      <c r="G24" s="3112"/>
      <c r="H24" s="3092"/>
      <c r="I24" s="3093"/>
      <c r="J24" s="3092"/>
      <c r="K24" s="3092"/>
      <c r="L24" s="3093"/>
      <c r="M24" s="3092"/>
      <c r="N24" s="3092"/>
      <c r="O24" s="3093"/>
      <c r="P24" s="3092"/>
      <c r="Q24" s="3092"/>
      <c r="R24" s="3094"/>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26" sqref="E26"/>
    </sheetView>
  </sheetViews>
  <sheetFormatPr defaultColWidth="14.625" defaultRowHeight="13.5"/>
  <cols>
    <col min="1" max="1" width="24.375" style="2550" customWidth="1"/>
    <col min="2" max="16384" width="14.625" style="2550"/>
  </cols>
  <sheetData>
    <row r="1" spans="1:9" ht="16.5">
      <c r="A1" s="2548" t="s">
        <v>1155</v>
      </c>
      <c r="B1" s="2548">
        <f>SUM(B14:B23)</f>
        <v>362.84</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44554</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1375</v>
      </c>
      <c r="C5" s="2548">
        <f ca="1">ROUND(B5*10000/$B$1,0)</f>
        <v>37895</v>
      </c>
      <c r="D5" s="2548" t="e">
        <f ca="1">ROUND(B5*10000/$B$2,0)</f>
        <v>#DIV/0!</v>
      </c>
      <c r="E5" s="1601"/>
      <c r="F5" s="2549"/>
      <c r="G5" s="2549"/>
    </row>
    <row r="6" spans="1:9" ht="16.5">
      <c r="A6" s="2548" t="s">
        <v>1163</v>
      </c>
      <c r="B6" s="2548">
        <f ca="1">SUM(G14:G23)</f>
        <v>1375</v>
      </c>
      <c r="C6" s="2548">
        <f t="shared" ref="C6:C8" ca="1" si="0">ROUND(B6*10000/$B$1,0)</f>
        <v>37895</v>
      </c>
      <c r="D6" s="2548" t="e">
        <f t="shared" ref="D6:D8" ca="1" si="1">ROUND(B6*10000/$B$2,0)</f>
        <v>#DIV/0!</v>
      </c>
      <c r="E6" s="1601"/>
      <c r="F6" s="2549"/>
      <c r="G6" s="2549"/>
    </row>
    <row r="7" spans="1:9" ht="16.5">
      <c r="A7" s="2548" t="s">
        <v>1164</v>
      </c>
      <c r="B7" s="2548">
        <f>SUM(H14:H23)</f>
        <v>0</v>
      </c>
      <c r="C7" s="2548">
        <f>ROUND(B7*10000/$B$1,0)</f>
        <v>0</v>
      </c>
      <c r="D7" s="2548" t="e">
        <f t="shared" si="1"/>
        <v>#DIV/0!</v>
      </c>
      <c r="E7" s="1601"/>
      <c r="F7" s="2549"/>
      <c r="G7" s="2549"/>
    </row>
    <row r="8" spans="1:9" ht="16.5">
      <c r="A8" s="2548" t="s">
        <v>1165</v>
      </c>
      <c r="B8" s="2548">
        <f>SUM(I14:I23)</f>
        <v>0</v>
      </c>
      <c r="C8" s="2548">
        <f t="shared" si="0"/>
        <v>0</v>
      </c>
      <c r="D8" s="2548" t="e">
        <f t="shared" si="1"/>
        <v>#DIV/0!</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2" t="s">
        <v>3048</v>
      </c>
      <c r="B14" s="2882">
        <f>'数据-取费表'!B5</f>
        <v>362.84</v>
      </c>
      <c r="C14" s="2882">
        <f>项目基本情况!C13</f>
        <v>0</v>
      </c>
      <c r="D14" s="2882">
        <f ca="1">IF('数据-取费表'!B3="万元",IF(A14="估价对象1（结果表）",结果表!H121,'结果表 (1修多)'!H125),IF(A14="估价对象1（结果表）",结果表!H121,'结果表 (1修多)'!H125)/10000)</f>
        <v>1375</v>
      </c>
      <c r="E14" s="2882">
        <f ca="1">ROUND(D14*10000/B14,0)</f>
        <v>37895</v>
      </c>
      <c r="F14" s="2882" t="e">
        <f ca="1">ROUND(D14*10000/C14,0)</f>
        <v>#DIV/0!</v>
      </c>
      <c r="G14" s="2882">
        <f ca="1">IF('数据-取费表'!B3="万元",IF(A14="估价对象1（结果表）",结果表!D125,'结果表 (1修多)'!D129),IF(A14="估价对象1（结果表）",结果表!D125,'结果表 (1修多)'!D129)/10000)</f>
        <v>1375</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ht="16.5">
      <c r="A15" s="2555" t="s">
        <v>1172</v>
      </c>
      <c r="B15" s="2556"/>
      <c r="C15" s="2556"/>
      <c r="D15" s="2556"/>
      <c r="E15" s="2882" t="e">
        <f t="shared" ref="E15:E23" si="2">ROUND(D15*10000/B15,0)</f>
        <v>#DIV/0!</v>
      </c>
      <c r="F15" s="2882" t="e">
        <f t="shared" ref="F15:F23" si="3">ROUND(D15*10000/C15,0)</f>
        <v>#DIV/0!</v>
      </c>
      <c r="G15" s="1272"/>
      <c r="H15" s="1272"/>
      <c r="I15" s="2556"/>
    </row>
    <row r="16" spans="1:9" ht="16.5">
      <c r="A16" s="2555" t="s">
        <v>1173</v>
      </c>
      <c r="B16" s="2556"/>
      <c r="C16" s="2556"/>
      <c r="D16" s="2556"/>
      <c r="E16" s="2882" t="e">
        <f t="shared" si="2"/>
        <v>#DIV/0!</v>
      </c>
      <c r="F16" s="2882" t="e">
        <f t="shared" si="3"/>
        <v>#DIV/0!</v>
      </c>
      <c r="G16" s="1272"/>
      <c r="H16" s="1272"/>
      <c r="I16" s="2556"/>
    </row>
    <row r="17" spans="1:9" ht="16.5">
      <c r="A17" s="2555" t="s">
        <v>1174</v>
      </c>
      <c r="B17" s="2556"/>
      <c r="C17" s="2556"/>
      <c r="D17" s="2556"/>
      <c r="E17" s="2882" t="e">
        <f t="shared" si="2"/>
        <v>#DIV/0!</v>
      </c>
      <c r="F17" s="2882" t="e">
        <f t="shared" si="3"/>
        <v>#DIV/0!</v>
      </c>
      <c r="G17" s="1272"/>
      <c r="H17" s="1272"/>
      <c r="I17" s="2556"/>
    </row>
    <row r="18" spans="1:9" ht="16.5">
      <c r="A18" s="2555" t="s">
        <v>1175</v>
      </c>
      <c r="B18" s="2556"/>
      <c r="C18" s="2556"/>
      <c r="D18" s="2556"/>
      <c r="E18" s="2882" t="e">
        <f t="shared" si="2"/>
        <v>#DIV/0!</v>
      </c>
      <c r="F18" s="2882" t="e">
        <f t="shared" si="3"/>
        <v>#DIV/0!</v>
      </c>
      <c r="G18" s="2556"/>
      <c r="H18" s="2556"/>
      <c r="I18" s="2556"/>
    </row>
    <row r="19" spans="1:9" ht="16.5">
      <c r="A19" s="2555" t="s">
        <v>1176</v>
      </c>
      <c r="B19" s="2556"/>
      <c r="C19" s="2556"/>
      <c r="D19" s="2556"/>
      <c r="E19" s="2882" t="e">
        <f t="shared" si="2"/>
        <v>#DIV/0!</v>
      </c>
      <c r="F19" s="2882" t="e">
        <f t="shared" si="3"/>
        <v>#DIV/0!</v>
      </c>
      <c r="G19" s="2556"/>
      <c r="H19" s="2556"/>
      <c r="I19" s="2556"/>
    </row>
    <row r="20" spans="1:9" ht="16.5">
      <c r="A20" s="2555" t="s">
        <v>1177</v>
      </c>
      <c r="B20" s="2556"/>
      <c r="C20" s="2556"/>
      <c r="D20" s="2556"/>
      <c r="E20" s="2882" t="e">
        <f t="shared" si="2"/>
        <v>#DIV/0!</v>
      </c>
      <c r="F20" s="2882" t="e">
        <f t="shared" si="3"/>
        <v>#DIV/0!</v>
      </c>
      <c r="G20" s="2556"/>
      <c r="H20" s="2556"/>
      <c r="I20" s="2556"/>
    </row>
    <row r="21" spans="1:9" ht="16.5">
      <c r="A21" s="2555" t="s">
        <v>1178</v>
      </c>
      <c r="B21" s="2556"/>
      <c r="C21" s="2556"/>
      <c r="D21" s="2556"/>
      <c r="E21" s="2882" t="e">
        <f t="shared" si="2"/>
        <v>#DIV/0!</v>
      </c>
      <c r="F21" s="2882" t="e">
        <f t="shared" si="3"/>
        <v>#DIV/0!</v>
      </c>
      <c r="G21" s="2556"/>
      <c r="H21" s="2556"/>
      <c r="I21" s="2556"/>
    </row>
    <row r="22" spans="1:9" ht="16.5">
      <c r="A22" s="2555" t="s">
        <v>1179</v>
      </c>
      <c r="B22" s="2556"/>
      <c r="C22" s="2556"/>
      <c r="D22" s="2556"/>
      <c r="E22" s="2882" t="e">
        <f t="shared" si="2"/>
        <v>#DIV/0!</v>
      </c>
      <c r="F22" s="2882" t="e">
        <f t="shared" si="3"/>
        <v>#DIV/0!</v>
      </c>
      <c r="G22" s="2556"/>
      <c r="H22" s="2556"/>
      <c r="I22" s="2556"/>
    </row>
    <row r="23" spans="1:9" ht="16.5">
      <c r="A23" s="2555" t="s">
        <v>1180</v>
      </c>
      <c r="B23" s="2556"/>
      <c r="C23" s="2556"/>
      <c r="D23" s="2556"/>
      <c r="E23" s="2883" t="e">
        <f t="shared" si="2"/>
        <v>#DIV/0!</v>
      </c>
      <c r="F23" s="2883"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8"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1824</v>
      </c>
      <c r="B1" s="1428"/>
      <c r="C1" s="1428"/>
      <c r="D1" s="1428"/>
      <c r="E1" s="1428"/>
      <c r="F1" s="1428"/>
      <c r="G1" s="1428"/>
      <c r="H1" s="1428"/>
      <c r="I1" s="1428"/>
    </row>
    <row r="2" spans="1:15" ht="21.75" customHeight="1">
      <c r="A2" s="3453" t="s">
        <v>1825</v>
      </c>
      <c r="B2" s="3453"/>
      <c r="C2" s="3453"/>
      <c r="D2" s="3453"/>
      <c r="E2" s="3453"/>
      <c r="F2" s="3453"/>
      <c r="G2" s="3453"/>
      <c r="H2" s="3453"/>
      <c r="I2" s="3453"/>
      <c r="J2" s="2840"/>
    </row>
    <row r="3" spans="1:15" ht="12.75">
      <c r="A3" s="3454" t="s">
        <v>1653</v>
      </c>
      <c r="B3" s="3455"/>
      <c r="C3" s="3455"/>
      <c r="D3" s="3455"/>
      <c r="E3" s="3455"/>
      <c r="F3" s="3455"/>
      <c r="G3" s="3455"/>
      <c r="H3" s="3455"/>
      <c r="I3" s="3455"/>
      <c r="J3" s="2810"/>
    </row>
    <row r="4" spans="1:15" ht="14.25">
      <c r="A4" s="2678" t="s">
        <v>1654</v>
      </c>
      <c r="B4" s="2678" t="s">
        <v>1655</v>
      </c>
      <c r="C4" s="2679" t="s">
        <v>3028</v>
      </c>
      <c r="D4" s="2679" t="s">
        <v>3028</v>
      </c>
      <c r="E4" s="3448" t="s">
        <v>1826</v>
      </c>
      <c r="F4" s="3446"/>
      <c r="G4" s="3446"/>
      <c r="H4" s="3446"/>
      <c r="I4" s="3449"/>
      <c r="J4" s="2811"/>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433" t="s">
        <v>1657</v>
      </c>
      <c r="B5" s="3433">
        <v>25</v>
      </c>
      <c r="C5" s="3434"/>
      <c r="D5" s="3436"/>
      <c r="E5" s="12" t="s">
        <v>1658</v>
      </c>
      <c r="F5" s="2056"/>
      <c r="G5" s="2056"/>
      <c r="H5" s="2056"/>
      <c r="I5" s="2051"/>
      <c r="J5" s="2811"/>
    </row>
    <row r="6" spans="1:15" ht="12.75">
      <c r="A6" s="3433"/>
      <c r="B6" s="3433"/>
      <c r="C6" s="3456"/>
      <c r="D6" s="3436"/>
      <c r="E6" s="12" t="s">
        <v>1659</v>
      </c>
      <c r="F6" s="2056"/>
      <c r="G6" s="2056"/>
      <c r="H6" s="2056"/>
      <c r="I6" s="2051"/>
      <c r="J6" s="2811"/>
    </row>
    <row r="7" spans="1:15" ht="12.75">
      <c r="A7" s="3433"/>
      <c r="B7" s="3433"/>
      <c r="C7" s="3435"/>
      <c r="D7" s="3436"/>
      <c r="E7" s="12" t="s">
        <v>1660</v>
      </c>
      <c r="F7" s="2056"/>
      <c r="G7" s="2056"/>
      <c r="H7" s="2056"/>
      <c r="I7" s="2051"/>
      <c r="J7" s="2811"/>
    </row>
    <row r="8" spans="1:15" ht="12.75">
      <c r="A8" s="3433" t="s">
        <v>1661</v>
      </c>
      <c r="B8" s="3433">
        <v>15</v>
      </c>
      <c r="C8" s="3434"/>
      <c r="D8" s="3436"/>
      <c r="E8" s="12" t="s">
        <v>1662</v>
      </c>
      <c r="F8" s="2056"/>
      <c r="G8" s="2056"/>
      <c r="H8" s="2056"/>
      <c r="I8" s="2051"/>
      <c r="J8" s="2811"/>
    </row>
    <row r="9" spans="1:15" ht="12.75">
      <c r="A9" s="3433"/>
      <c r="B9" s="3433"/>
      <c r="C9" s="3435"/>
      <c r="D9" s="3436"/>
      <c r="E9" s="12" t="s">
        <v>1663</v>
      </c>
      <c r="F9" s="2056"/>
      <c r="G9" s="2056"/>
      <c r="H9" s="2056"/>
      <c r="I9" s="2051"/>
      <c r="J9" s="2811"/>
    </row>
    <row r="10" spans="1:15" ht="12.75">
      <c r="A10" s="3433" t="s">
        <v>1664</v>
      </c>
      <c r="B10" s="3433">
        <v>15</v>
      </c>
      <c r="C10" s="3434"/>
      <c r="D10" s="3436"/>
      <c r="E10" s="12" t="s">
        <v>1665</v>
      </c>
      <c r="F10" s="2056"/>
      <c r="G10" s="2056"/>
      <c r="H10" s="2056"/>
      <c r="I10" s="2051"/>
      <c r="J10" s="2811"/>
    </row>
    <row r="11" spans="1:15" ht="12.75">
      <c r="A11" s="3433"/>
      <c r="B11" s="3433"/>
      <c r="C11" s="3435"/>
      <c r="D11" s="3436"/>
      <c r="E11" s="12" t="s">
        <v>1666</v>
      </c>
      <c r="F11" s="2056"/>
      <c r="G11" s="2056"/>
      <c r="H11" s="2056"/>
      <c r="I11" s="2051"/>
      <c r="J11" s="2811"/>
    </row>
    <row r="12" spans="1:15" ht="12.75">
      <c r="A12" s="3433" t="s">
        <v>1667</v>
      </c>
      <c r="B12" s="3433">
        <v>15</v>
      </c>
      <c r="C12" s="3434"/>
      <c r="D12" s="3436"/>
      <c r="E12" s="12" t="s">
        <v>1668</v>
      </c>
      <c r="F12" s="2056"/>
      <c r="G12" s="2056"/>
      <c r="H12" s="2056"/>
      <c r="I12" s="2051"/>
      <c r="J12" s="2811"/>
    </row>
    <row r="13" spans="1:15" ht="12.75">
      <c r="A13" s="3433"/>
      <c r="B13" s="3433"/>
      <c r="C13" s="3435"/>
      <c r="D13" s="3436"/>
      <c r="E13" s="12" t="s">
        <v>1669</v>
      </c>
      <c r="F13" s="2056"/>
      <c r="G13" s="2056"/>
      <c r="H13" s="2056"/>
      <c r="I13" s="2051"/>
      <c r="J13" s="2811"/>
    </row>
    <row r="14" spans="1:15" ht="12.75">
      <c r="A14" s="3433" t="s">
        <v>1670</v>
      </c>
      <c r="B14" s="3433">
        <v>30</v>
      </c>
      <c r="C14" s="3434">
        <v>1</v>
      </c>
      <c r="D14" s="3436">
        <v>1</v>
      </c>
      <c r="E14" s="12" t="s">
        <v>1671</v>
      </c>
      <c r="F14" s="2056"/>
      <c r="G14" s="2056"/>
      <c r="H14" s="2056"/>
      <c r="I14" s="2051"/>
      <c r="J14" s="2811"/>
    </row>
    <row r="15" spans="1:15" ht="12.75">
      <c r="A15" s="3433"/>
      <c r="B15" s="3433"/>
      <c r="C15" s="3456"/>
      <c r="D15" s="3436"/>
      <c r="E15" s="12" t="s">
        <v>1672</v>
      </c>
      <c r="F15" s="2056"/>
      <c r="G15" s="2056"/>
      <c r="H15" s="2056"/>
      <c r="I15" s="2051"/>
      <c r="J15" s="2811"/>
    </row>
    <row r="16" spans="1:15" ht="12.75">
      <c r="A16" s="3433"/>
      <c r="B16" s="3433"/>
      <c r="C16" s="3435"/>
      <c r="D16" s="3436"/>
      <c r="E16" s="12" t="s">
        <v>1673</v>
      </c>
      <c r="F16" s="2056"/>
      <c r="G16" s="2056"/>
      <c r="H16" s="2056"/>
      <c r="I16" s="2051"/>
      <c r="J16" s="2811"/>
    </row>
    <row r="17" spans="1:36" ht="15">
      <c r="A17" s="2680" t="s">
        <v>1674</v>
      </c>
      <c r="B17" s="2061"/>
      <c r="C17" s="2681">
        <f>SUM(C5:C16)</f>
        <v>1</v>
      </c>
      <c r="D17" s="2681">
        <f>SUM(D5:D16)</f>
        <v>1</v>
      </c>
      <c r="E17" s="2530"/>
      <c r="F17" s="2530"/>
      <c r="G17" s="2530"/>
      <c r="H17" s="2530"/>
      <c r="I17" s="2530"/>
      <c r="J17" s="2812"/>
    </row>
    <row r="18" spans="1:36" ht="32.450000000000003" customHeight="1" thickBot="1">
      <c r="A18" s="2682" t="s">
        <v>1675</v>
      </c>
      <c r="B18" s="2683"/>
      <c r="C18" s="2684">
        <f>ROUND(C17/SUM(C17:D17),2)</f>
        <v>0.5</v>
      </c>
      <c r="D18" s="2684">
        <f>1-C18</f>
        <v>0.5</v>
      </c>
      <c r="E18" s="3461" t="s">
        <v>2759</v>
      </c>
      <c r="F18" s="3462"/>
      <c r="G18" s="3462"/>
      <c r="H18" s="3462"/>
      <c r="I18" s="3462"/>
      <c r="J18" s="2812"/>
    </row>
    <row r="19" spans="1:36" ht="15">
      <c r="A19" s="2685" t="s">
        <v>1676</v>
      </c>
      <c r="B19" s="2686" t="s">
        <v>1677</v>
      </c>
      <c r="C19" s="2687">
        <f ca="1">SUMIF(INDIRECT("'"&amp;C4&amp;"'"&amp;"!A:A"),'结果表 (1修多)'!B19,INDIRECT("'"&amp;C4&amp;"'"&amp;"!B:B"))</f>
        <v>1429</v>
      </c>
      <c r="D19" s="2688">
        <f ca="1">SUMIF(INDIRECT("'"&amp;D4&amp;"'"&amp;"!A:A"),'结果表 (1修多)'!B19,INDIRECT("'"&amp;D4&amp;"'"&amp;"!B:B"))</f>
        <v>1429</v>
      </c>
      <c r="E19" s="2685" t="s">
        <v>1678</v>
      </c>
      <c r="F19" s="2686" t="s">
        <v>1677</v>
      </c>
      <c r="G19" s="2689">
        <f ca="1">ROUND(C19*$C$18+D19*$D$18,0)</f>
        <v>1429</v>
      </c>
      <c r="H19" s="2690" t="str">
        <f>'数据-取费表'!B3</f>
        <v>万元</v>
      </c>
      <c r="I19" s="2530"/>
      <c r="J19" s="2812"/>
    </row>
    <row r="20" spans="1:36" ht="15">
      <c r="A20" s="2691"/>
      <c r="B20" s="1661" t="s">
        <v>1679</v>
      </c>
      <c r="C20" s="1886">
        <f ca="1">SUMIF(INDIRECT("'"&amp;C4&amp;"'"&amp;"!A:A"),'结果表 (1修多)'!B20,INDIRECT("'"&amp;C4&amp;"'"&amp;"!B:B"))</f>
        <v>39384</v>
      </c>
      <c r="D20" s="1889">
        <f ca="1">SUMIF(INDIRECT("'"&amp;D4&amp;"'"&amp;"!A:A"),'结果表 (1修多)'!B20,INDIRECT("'"&amp;D4&amp;"'"&amp;"!B:B"))</f>
        <v>39384</v>
      </c>
      <c r="E20" s="2691"/>
      <c r="F20" s="1661" t="s">
        <v>1679</v>
      </c>
      <c r="G20" s="2060">
        <f ca="1">ROUND(C20*$C$18+D20*$D$18,0)</f>
        <v>39384</v>
      </c>
      <c r="H20" s="2692" t="s">
        <v>1680</v>
      </c>
      <c r="I20" s="2530"/>
      <c r="J20" s="2812"/>
    </row>
    <row r="21" spans="1:36" ht="15" customHeight="1" thickBot="1">
      <c r="A21" s="2693"/>
      <c r="B21" s="2694"/>
      <c r="C21" s="2694"/>
      <c r="D21" s="2695"/>
      <c r="E21" s="2693"/>
      <c r="F21" s="2694"/>
      <c r="G21" s="2696"/>
      <c r="H21" s="2697"/>
      <c r="I21" s="2530"/>
      <c r="J21" s="2812"/>
    </row>
    <row r="22" spans="1:36" ht="15" thickBot="1">
      <c r="A22" s="2698" t="s">
        <v>1681</v>
      </c>
      <c r="B22" s="2699"/>
      <c r="C22" s="2614"/>
      <c r="D22" s="2700">
        <f ca="1">IF(C19&lt;D19,D19/C19-1,C19/D19-1)</f>
        <v>0</v>
      </c>
      <c r="E22" s="945"/>
      <c r="F22" s="945"/>
      <c r="G22" s="945"/>
      <c r="H22" s="945"/>
      <c r="I22" s="945"/>
      <c r="J22" s="2812"/>
    </row>
    <row r="23" spans="1:36" ht="13.5" thickBot="1">
      <c r="A23" s="2530"/>
      <c r="B23" s="2530"/>
      <c r="C23" s="2530"/>
      <c r="D23" s="2530"/>
      <c r="E23" s="945"/>
      <c r="F23" s="945"/>
      <c r="G23" s="945"/>
      <c r="H23" s="945"/>
      <c r="I23" s="945"/>
      <c r="J23" s="2812"/>
    </row>
    <row r="24" spans="1:36" ht="21.75" customHeight="1">
      <c r="A24" s="3457" t="s">
        <v>1682</v>
      </c>
      <c r="B24" s="2686" t="s">
        <v>1677</v>
      </c>
      <c r="C24" s="2689">
        <f>D30</f>
        <v>0</v>
      </c>
      <c r="D24" s="2641"/>
      <c r="E24" s="945"/>
      <c r="F24" s="945"/>
      <c r="G24" s="945"/>
      <c r="H24" s="945"/>
      <c r="I24" s="945"/>
      <c r="J24" s="2812"/>
    </row>
    <row r="25" spans="1:36" ht="21.75" customHeight="1">
      <c r="A25" s="3458"/>
      <c r="B25" s="1661" t="s">
        <v>1679</v>
      </c>
      <c r="C25" s="2701">
        <f>IF(B30=0,0,C30)</f>
        <v>0</v>
      </c>
      <c r="D25" s="2702"/>
      <c r="E25" s="945"/>
      <c r="F25" s="945"/>
      <c r="G25" s="945"/>
      <c r="H25" s="945"/>
      <c r="I25" s="945"/>
      <c r="J25" s="2812"/>
    </row>
    <row r="26" spans="1:36" ht="13.5" customHeight="1">
      <c r="A26" s="2703" t="s">
        <v>1683</v>
      </c>
      <c r="B26" s="2704" t="s">
        <v>1684</v>
      </c>
      <c r="C26" s="2704" t="s">
        <v>1685</v>
      </c>
      <c r="D26" s="2705" t="s">
        <v>1686</v>
      </c>
      <c r="E26" s="945"/>
      <c r="F26" s="945"/>
      <c r="G26" s="945"/>
      <c r="H26" s="945"/>
      <c r="I26" s="945"/>
      <c r="J26" s="2812"/>
    </row>
    <row r="27" spans="1:36" ht="14.25">
      <c r="A27" s="2706" t="s">
        <v>1827</v>
      </c>
      <c r="B27" s="2704">
        <v>0</v>
      </c>
      <c r="C27" s="2704">
        <v>0</v>
      </c>
      <c r="D27" s="2705">
        <f>ROUND(C27*B27/10000,0)</f>
        <v>0</v>
      </c>
      <c r="E27" s="945"/>
      <c r="F27" s="945"/>
      <c r="G27" s="945"/>
      <c r="H27" s="945"/>
      <c r="I27" s="945"/>
      <c r="J27" s="2812"/>
    </row>
    <row r="28" spans="1:36" ht="14.25">
      <c r="A28" s="2703"/>
      <c r="B28" s="2704"/>
      <c r="C28" s="2704"/>
      <c r="D28" s="2705">
        <f>ROUND(C28*B28/10000,0)</f>
        <v>0</v>
      </c>
      <c r="E28" s="945"/>
      <c r="F28" s="945"/>
      <c r="G28" s="945"/>
      <c r="H28" s="945"/>
      <c r="I28" s="945"/>
      <c r="J28" s="2812"/>
    </row>
    <row r="29" spans="1:36" ht="14.25">
      <c r="A29" s="2703"/>
      <c r="B29" s="2704"/>
      <c r="C29" s="2704"/>
      <c r="D29" s="2705">
        <f t="shared" ref="D29" si="0">ROUND(C29*B29/10000,0)</f>
        <v>0</v>
      </c>
      <c r="E29" s="945"/>
      <c r="F29" s="945"/>
      <c r="G29" s="945"/>
      <c r="H29" s="945"/>
      <c r="I29" s="945"/>
      <c r="J29" s="2812"/>
    </row>
    <row r="30" spans="1:36" ht="15" thickBot="1">
      <c r="A30" s="2739" t="s">
        <v>1828</v>
      </c>
      <c r="B30" s="2740"/>
      <c r="C30" s="2740"/>
      <c r="D30" s="2740"/>
      <c r="E30" s="2707" t="s">
        <v>2763</v>
      </c>
      <c r="F30" s="2530"/>
      <c r="G30" s="2530"/>
      <c r="H30" s="2530"/>
      <c r="I30" s="2530"/>
      <c r="J30" s="2812"/>
    </row>
    <row r="31" spans="1:36" s="2805" customFormat="1" ht="27.6"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2" customFormat="1" ht="16.5" thickTop="1" thickBot="1">
      <c r="A32" s="3540" t="s">
        <v>1829</v>
      </c>
      <c r="B32" s="3540"/>
      <c r="C32" s="3540"/>
      <c r="D32" s="3540"/>
      <c r="E32" s="3540"/>
      <c r="F32" s="3540"/>
      <c r="G32" s="3540"/>
      <c r="H32" s="3540"/>
      <c r="I32" s="3540"/>
      <c r="J32" s="2841"/>
      <c r="K32" s="658"/>
      <c r="L32" s="658"/>
      <c r="M32" s="658"/>
      <c r="N32" s="658"/>
      <c r="O32" s="658"/>
      <c r="P32" s="658"/>
      <c r="Q32" s="658"/>
      <c r="R32" s="658"/>
      <c r="S32" s="658"/>
      <c r="T32" s="658"/>
      <c r="U32" s="658"/>
      <c r="V32" s="658"/>
      <c r="W32" s="658"/>
      <c r="X32" s="658"/>
      <c r="Y32" s="658"/>
      <c r="Z32" s="658"/>
      <c r="AA32" s="658"/>
      <c r="AB32" s="1275"/>
      <c r="AC32" s="1275"/>
      <c r="AD32" s="1275"/>
      <c r="AE32" s="1275"/>
      <c r="AF32" s="1275"/>
      <c r="AG32" s="1275"/>
      <c r="AH32" s="1275"/>
      <c r="AI32" s="1275"/>
      <c r="AJ32" s="1275"/>
    </row>
    <row r="33" spans="1:16" ht="15">
      <c r="A33" s="1478"/>
      <c r="B33" s="2741" t="s">
        <v>1830</v>
      </c>
      <c r="C33" s="2742">
        <f>典型户型修正!R27</f>
        <v>52517</v>
      </c>
      <c r="D33" s="2530" t="s">
        <v>1831</v>
      </c>
      <c r="E33" s="945"/>
      <c r="F33" s="945"/>
      <c r="G33" s="945"/>
      <c r="H33" s="945"/>
      <c r="I33" s="945"/>
      <c r="J33" s="2812"/>
    </row>
    <row r="34" spans="1:16" ht="15">
      <c r="A34" s="1479" t="s">
        <v>1832</v>
      </c>
      <c r="B34" s="2743" t="s">
        <v>1833</v>
      </c>
      <c r="C34" s="2744">
        <f>典型户型修正!B2</f>
        <v>1429</v>
      </c>
      <c r="D34" s="2745" t="str">
        <f>IF('数据-取费表'!B3="万元","万元","元")</f>
        <v>万元</v>
      </c>
      <c r="E34" s="945"/>
      <c r="F34" s="945"/>
      <c r="G34" s="945"/>
      <c r="H34" s="945"/>
      <c r="I34" s="945"/>
      <c r="J34" s="2812"/>
    </row>
    <row r="35" spans="1:16" ht="15.75" thickBot="1">
      <c r="A35" s="1480"/>
      <c r="B35" s="2746" t="s">
        <v>1834</v>
      </c>
      <c r="C35" s="2695">
        <f>典型户型修正!B3</f>
        <v>39384</v>
      </c>
      <c r="D35" s="2530" t="s">
        <v>1835</v>
      </c>
      <c r="E35" s="945"/>
      <c r="F35" s="945"/>
      <c r="G35" s="945"/>
      <c r="H35" s="945"/>
      <c r="I35" s="945"/>
      <c r="J35" s="2812"/>
    </row>
    <row r="36" spans="1:16" ht="15">
      <c r="A36" s="1481"/>
      <c r="B36" s="1435" t="s">
        <v>1836</v>
      </c>
      <c r="C36" s="2747">
        <f>IF('数据-取费表'!B3="万元",典型户型修正!V25,典型户型修正!U25)</f>
        <v>0</v>
      </c>
      <c r="D36" s="2530" t="str">
        <f>D34</f>
        <v>万元</v>
      </c>
      <c r="E36" s="945"/>
      <c r="F36" s="945"/>
      <c r="G36" s="945"/>
      <c r="H36" s="945"/>
      <c r="I36" s="945"/>
      <c r="J36" s="2812"/>
    </row>
    <row r="37" spans="1:16" ht="15.75" thickBot="1">
      <c r="A37" s="1434"/>
      <c r="B37" s="1436" t="s">
        <v>1837</v>
      </c>
      <c r="C37" s="2748">
        <f>IF('数据-取费表'!B3="万元",典型户型修正!Y25,典型户型修正!X25)</f>
        <v>0</v>
      </c>
      <c r="D37" s="2530" t="str">
        <f>D34</f>
        <v>万元</v>
      </c>
      <c r="E37" s="945"/>
      <c r="F37" s="945"/>
      <c r="G37" s="945"/>
      <c r="H37" s="945"/>
      <c r="I37" s="945"/>
      <c r="J37" s="2812"/>
    </row>
    <row r="38" spans="1:16" ht="15.75" thickBot="1">
      <c r="A38" s="3457" t="s">
        <v>1838</v>
      </c>
      <c r="B38" s="1435" t="s">
        <v>1839</v>
      </c>
      <c r="C38" s="2722"/>
      <c r="D38" s="2723"/>
      <c r="E38" s="1647"/>
      <c r="F38" s="1647"/>
      <c r="G38" s="945"/>
      <c r="H38" s="945"/>
      <c r="I38" s="945"/>
      <c r="J38" s="2812"/>
    </row>
    <row r="39" spans="1:16" ht="15.75" thickBot="1">
      <c r="A39" s="3459"/>
      <c r="B39" s="2061" t="s">
        <v>1840</v>
      </c>
      <c r="C39" s="2724"/>
      <c r="D39" s="1278"/>
      <c r="E39" s="1278"/>
      <c r="F39" s="1647"/>
      <c r="G39" s="1278"/>
      <c r="H39" s="1278"/>
      <c r="I39" s="1278"/>
      <c r="J39" s="2816"/>
    </row>
    <row r="40" spans="1:16" ht="15.75" thickBot="1">
      <c r="A40" s="3460"/>
      <c r="B40" s="1436" t="s">
        <v>1841</v>
      </c>
      <c r="C40" s="2725"/>
      <c r="D40" s="2726" t="s">
        <v>1842</v>
      </c>
      <c r="E40" s="1278"/>
      <c r="F40" s="1647"/>
      <c r="G40" s="1278"/>
      <c r="H40" s="1278"/>
      <c r="I40" s="1278"/>
      <c r="J40" s="2816"/>
    </row>
    <row r="41" spans="1:16" ht="15">
      <c r="A41" s="2691" t="s">
        <v>1843</v>
      </c>
      <c r="B41" s="2727" t="s">
        <v>1844</v>
      </c>
      <c r="C41" s="2728" t="s">
        <v>1845</v>
      </c>
      <c r="D41" s="2728" t="s">
        <v>1846</v>
      </c>
      <c r="E41" s="2729" t="s">
        <v>1847</v>
      </c>
      <c r="F41" s="1647"/>
      <c r="G41" s="1278"/>
      <c r="H41" s="1278"/>
      <c r="I41" s="1278"/>
      <c r="J41" s="2816"/>
    </row>
    <row r="42" spans="1:16" ht="14.25">
      <c r="A42" s="2730" t="s">
        <v>1848</v>
      </c>
      <c r="B42" s="2731"/>
      <c r="C42" s="2732"/>
      <c r="D42" s="2732"/>
      <c r="E42" s="2733"/>
      <c r="F42" s="1647"/>
      <c r="G42" s="1278"/>
      <c r="H42" s="1278"/>
      <c r="I42" s="1278"/>
      <c r="J42" s="2816"/>
    </row>
    <row r="43" spans="1:16" ht="14.25">
      <c r="A43" s="2730" t="s">
        <v>1849</v>
      </c>
      <c r="B43" s="2731"/>
      <c r="C43" s="2732"/>
      <c r="D43" s="2732"/>
      <c r="E43" s="2733"/>
      <c r="F43" s="1647"/>
      <c r="G43" s="1278"/>
      <c r="H43" s="1278"/>
      <c r="I43" s="1278"/>
      <c r="J43" s="2816"/>
    </row>
    <row r="44" spans="1:16" ht="15" thickBot="1">
      <c r="A44" s="2734"/>
      <c r="B44" s="2735"/>
      <c r="C44" s="2736"/>
      <c r="D44" s="2736"/>
      <c r="E44" s="2721"/>
      <c r="F44" s="1647"/>
      <c r="G44" s="1278"/>
      <c r="H44" s="1278"/>
      <c r="I44" s="1278"/>
      <c r="J44" s="2816"/>
    </row>
    <row r="45" spans="1:16" ht="12.75">
      <c r="A45" s="1448"/>
      <c r="B45" s="1448"/>
      <c r="C45" s="1448"/>
      <c r="D45" s="1448"/>
      <c r="E45" s="1448"/>
      <c r="F45" s="1404"/>
      <c r="G45" s="1404"/>
      <c r="H45" s="1404"/>
      <c r="I45" s="2737"/>
      <c r="J45" s="2817"/>
    </row>
    <row r="46" spans="1:16" ht="18.75">
      <c r="A46" s="1438" t="s">
        <v>1850</v>
      </c>
      <c r="B46" s="1439"/>
      <c r="C46" s="1439"/>
      <c r="D46" s="2749"/>
      <c r="E46" s="2749"/>
      <c r="F46" s="2749"/>
      <c r="G46" s="2749"/>
      <c r="H46" s="2749"/>
      <c r="I46" s="2806" t="s">
        <v>2758</v>
      </c>
      <c r="J46" s="2842"/>
      <c r="K46" s="1442" t="s">
        <v>1705</v>
      </c>
      <c r="L46" s="1443"/>
      <c r="M46" s="1443"/>
      <c r="N46" s="1443"/>
      <c r="O46" s="1443"/>
      <c r="P46" s="1443"/>
    </row>
    <row r="47" spans="1:16" ht="14.25" customHeight="1" thickBot="1">
      <c r="A47" s="3437" t="s">
        <v>1851</v>
      </c>
      <c r="B47" s="3438"/>
      <c r="C47" s="3439"/>
      <c r="D47" s="246">
        <f>ROUND(I104*F47,0)</f>
        <v>1429</v>
      </c>
      <c r="E47" s="1509" t="s">
        <v>1852</v>
      </c>
      <c r="F47" s="2528">
        <v>1</v>
      </c>
      <c r="G47" s="2529" t="s">
        <v>1853</v>
      </c>
      <c r="H47" s="945"/>
      <c r="I47" s="945"/>
      <c r="J47" s="2812"/>
      <c r="K47" s="3440" t="s">
        <v>1709</v>
      </c>
      <c r="L47" s="3440"/>
      <c r="M47" s="3440"/>
      <c r="N47" s="3440"/>
      <c r="O47" s="3440"/>
      <c r="P47" s="3440"/>
    </row>
    <row r="48" spans="1:16" ht="14.25" customHeight="1">
      <c r="A48" s="3441" t="s">
        <v>1710</v>
      </c>
      <c r="B48" s="3442"/>
      <c r="C48" s="3442"/>
      <c r="D48" s="3442"/>
      <c r="E48" s="3442"/>
      <c r="F48" s="3442"/>
      <c r="G48" s="3443"/>
      <c r="H48" s="2944"/>
      <c r="I48" s="945"/>
      <c r="J48" s="2812"/>
      <c r="K48" s="2480">
        <v>1</v>
      </c>
      <c r="L48" s="3444" t="s">
        <v>1711</v>
      </c>
      <c r="M48" s="3444"/>
      <c r="N48" s="3445"/>
      <c r="O48" s="3445"/>
      <c r="P48" s="3445"/>
    </row>
    <row r="49" spans="1:17" ht="12" customHeight="1">
      <c r="A49" s="38" t="s">
        <v>1712</v>
      </c>
      <c r="B49" s="39"/>
      <c r="C49" s="40"/>
      <c r="D49" s="1067" t="s">
        <v>1713</v>
      </c>
      <c r="E49" s="235" t="s">
        <v>1714</v>
      </c>
      <c r="F49" s="41" t="s">
        <v>1715</v>
      </c>
      <c r="G49" s="2531" t="s">
        <v>1716</v>
      </c>
      <c r="H49" s="2944"/>
      <c r="I49" s="945"/>
      <c r="J49" s="2812"/>
      <c r="K49" s="2480">
        <v>2</v>
      </c>
      <c r="L49" s="3444" t="s">
        <v>1717</v>
      </c>
      <c r="M49" s="3444"/>
      <c r="N49" s="3450">
        <f>'数据-取费表'!B2</f>
        <v>44554</v>
      </c>
      <c r="O49" s="3450"/>
      <c r="P49" s="3450"/>
    </row>
    <row r="50" spans="1:17" ht="25.5">
      <c r="A50" s="3451" t="s">
        <v>1718</v>
      </c>
      <c r="B50" s="3452"/>
      <c r="C50" s="3452"/>
      <c r="D50" s="12">
        <f>IF(H50="情况1",0,IF(H50="情况2",D54,IF(H50="情况3",D55,IF(H50="情况4",D56))))</f>
        <v>75</v>
      </c>
      <c r="E50" s="2059" t="str">
        <f>IF(H50="情况4","(销售额-原购置价)×税（费）率","销售额×税（费）率")</f>
        <v>销售额×税（费）率</v>
      </c>
      <c r="F50" s="2532">
        <f>IF(H50="情况1","免征",'数据-取费表'!E29)</f>
        <v>5.5000000000000007E-2</v>
      </c>
      <c r="G50" s="2533" t="s">
        <v>1719</v>
      </c>
      <c r="H50" s="2534" t="s">
        <v>1720</v>
      </c>
      <c r="I50" s="2944"/>
      <c r="J50" s="2819"/>
      <c r="K50" s="2480">
        <v>3</v>
      </c>
      <c r="L50" s="3444" t="s">
        <v>1721</v>
      </c>
      <c r="M50" s="3444"/>
      <c r="N50" s="3463">
        <f>I104</f>
        <v>1429</v>
      </c>
      <c r="O50" s="3463"/>
      <c r="P50" s="3463"/>
    </row>
    <row r="51" spans="1:17" ht="25.5" customHeight="1">
      <c r="A51" s="2058" t="s">
        <v>1722</v>
      </c>
      <c r="B51" s="3446" t="s">
        <v>1723</v>
      </c>
      <c r="C51" s="3446"/>
      <c r="D51" s="2535">
        <v>0</v>
      </c>
      <c r="E51" s="261" t="s">
        <v>1724</v>
      </c>
      <c r="F51" s="2536" t="s">
        <v>48</v>
      </c>
      <c r="G51" s="3464"/>
      <c r="H51" s="2537" t="s">
        <v>2683</v>
      </c>
      <c r="I51" s="2538"/>
      <c r="J51" s="2820"/>
      <c r="K51" s="2480">
        <v>4</v>
      </c>
      <c r="L51" s="3444" t="str">
        <f>IF(项目基本情况!F5="房地产抵押价值","房地产抵押价值","抵押担保权已注销时的房地产抵押价值")</f>
        <v>房地产抵押价值</v>
      </c>
      <c r="M51" s="3444"/>
      <c r="N51" s="3463">
        <f>IF(项目基本情况!F5="房地产抵押价值",I112,I114)</f>
        <v>1429</v>
      </c>
      <c r="O51" s="3463"/>
      <c r="P51" s="3463"/>
    </row>
    <row r="52" spans="1:17" ht="25.5" customHeight="1">
      <c r="A52" s="2048"/>
      <c r="B52" s="3446" t="s">
        <v>1725</v>
      </c>
      <c r="C52" s="3446"/>
      <c r="D52" s="2539"/>
      <c r="E52" s="269"/>
      <c r="F52" s="2536"/>
      <c r="G52" s="3465"/>
      <c r="H52" s="2540" t="s">
        <v>2684</v>
      </c>
      <c r="I52" s="2538"/>
      <c r="J52" s="2820"/>
      <c r="K52" s="3444" t="s">
        <v>1726</v>
      </c>
      <c r="L52" s="3444"/>
      <c r="M52" s="3444"/>
      <c r="N52" s="3444"/>
      <c r="O52" s="3444"/>
      <c r="P52" s="3444"/>
    </row>
    <row r="53" spans="1:17" ht="20.45" customHeight="1">
      <c r="A53" s="2541"/>
      <c r="B53" s="3446" t="s">
        <v>1727</v>
      </c>
      <c r="C53" s="3446"/>
      <c r="D53" s="1067"/>
      <c r="E53" s="264"/>
      <c r="F53" s="2536"/>
      <c r="G53" s="3466"/>
      <c r="H53" s="2540" t="s">
        <v>2685</v>
      </c>
      <c r="I53" s="2538"/>
      <c r="J53" s="2820"/>
      <c r="K53" s="2481" t="s">
        <v>1728</v>
      </c>
      <c r="L53" s="3444" t="s">
        <v>1729</v>
      </c>
      <c r="M53" s="3444"/>
      <c r="N53" s="2481" t="s">
        <v>1730</v>
      </c>
      <c r="O53" s="2481" t="s">
        <v>1731</v>
      </c>
      <c r="P53" s="2481" t="s">
        <v>1732</v>
      </c>
    </row>
    <row r="54" spans="1:17" ht="24" customHeight="1">
      <c r="A54" s="2049" t="s">
        <v>1733</v>
      </c>
      <c r="B54" s="3446" t="s">
        <v>1734</v>
      </c>
      <c r="C54" s="3446"/>
      <c r="D54" s="1067">
        <f>ROUND(D47*'数据-取费表'!E29/(1+'数据-取费表'!F30),0)</f>
        <v>75</v>
      </c>
      <c r="E54" s="2059" t="s">
        <v>1735</v>
      </c>
      <c r="F54" s="2542">
        <f>'数据-取费表'!E29</f>
        <v>5.5000000000000007E-2</v>
      </c>
      <c r="G54" s="2543"/>
      <c r="H54" s="945"/>
      <c r="I54" s="2945"/>
      <c r="J54" s="2820"/>
      <c r="K54" s="2480">
        <v>1</v>
      </c>
      <c r="L54" s="3447" t="s">
        <v>1736</v>
      </c>
      <c r="M54" s="3447"/>
      <c r="N54" s="2482">
        <f>D50</f>
        <v>75</v>
      </c>
      <c r="O54" s="2480" t="str">
        <f>E50</f>
        <v>销售额×税（费）率</v>
      </c>
      <c r="P54" s="2483">
        <f>F50</f>
        <v>5.5000000000000007E-2</v>
      </c>
    </row>
    <row r="55" spans="1:17" ht="12" customHeight="1">
      <c r="A55" s="2049" t="s">
        <v>1737</v>
      </c>
      <c r="B55" s="3448" t="s">
        <v>2777</v>
      </c>
      <c r="C55" s="3449"/>
      <c r="D55" s="1067">
        <f>ROUND(D47*'数据-取费表'!E29/(1+'数据-取费表'!F30),0)</f>
        <v>75</v>
      </c>
      <c r="E55" s="2059" t="s">
        <v>1735</v>
      </c>
      <c r="F55" s="2542">
        <f>'数据-取费表'!E29</f>
        <v>5.5000000000000007E-2</v>
      </c>
      <c r="G55" s="2543"/>
      <c r="H55" s="945"/>
      <c r="I55" s="2945"/>
      <c r="J55" s="2820"/>
      <c r="K55" s="2480">
        <v>2</v>
      </c>
      <c r="L55" s="3447" t="s">
        <v>1738</v>
      </c>
      <c r="M55" s="3447"/>
      <c r="N55" s="2482">
        <f t="shared" ref="N55:P56" si="1">D57</f>
        <v>1</v>
      </c>
      <c r="O55" s="2480" t="str">
        <f t="shared" si="1"/>
        <v>销售额×税（费）率</v>
      </c>
      <c r="P55" s="2483">
        <f t="shared" si="1"/>
        <v>5.0000000000000001E-4</v>
      </c>
    </row>
    <row r="56" spans="1:17" ht="12" customHeight="1">
      <c r="A56" s="2049" t="s">
        <v>1739</v>
      </c>
      <c r="B56" s="3448" t="s">
        <v>2778</v>
      </c>
      <c r="C56" s="3449"/>
      <c r="D56" s="1067">
        <f>C70</f>
        <v>75</v>
      </c>
      <c r="E56" s="264" t="s">
        <v>1740</v>
      </c>
      <c r="F56" s="2542">
        <f>'数据-取费表'!E29</f>
        <v>5.5000000000000007E-2</v>
      </c>
      <c r="G56" s="2543"/>
      <c r="H56" s="2946"/>
      <c r="I56" s="2945"/>
      <c r="J56" s="2820"/>
      <c r="K56" s="2480">
        <v>3</v>
      </c>
      <c r="L56" s="3447" t="s">
        <v>1741</v>
      </c>
      <c r="M56" s="3447"/>
      <c r="N56" s="2482">
        <f t="shared" si="1"/>
        <v>810</v>
      </c>
      <c r="O56" s="2480" t="str">
        <f t="shared" si="1"/>
        <v>增值额×税（费）率</v>
      </c>
      <c r="P56" s="2484" t="str">
        <f t="shared" si="1"/>
        <v>——</v>
      </c>
    </row>
    <row r="57" spans="1:17" ht="24" customHeight="1">
      <c r="A57" s="3474" t="s">
        <v>1742</v>
      </c>
      <c r="B57" s="3452"/>
      <c r="C57" s="3452"/>
      <c r="D57" s="12">
        <f>IF(H57="个人住宅",0,ROUND(D47*I57,0))</f>
        <v>1</v>
      </c>
      <c r="E57" s="2059" t="s">
        <v>1743</v>
      </c>
      <c r="F57" s="2542">
        <f>IF(H57="正常",I57,"免征")</f>
        <v>5.0000000000000001E-4</v>
      </c>
      <c r="G57" s="2543"/>
      <c r="H57" s="2534" t="s">
        <v>1744</v>
      </c>
      <c r="I57" s="74">
        <f>'数据-取费表'!E37</f>
        <v>5.0000000000000001E-4</v>
      </c>
      <c r="J57" s="2820"/>
      <c r="K57" s="2480">
        <f>IF(H61="非个人房产","",4)</f>
        <v>4</v>
      </c>
      <c r="L57" s="3447" t="str">
        <f>IF(H61="非个人房产","——","个人所得税")</f>
        <v>个人所得税</v>
      </c>
      <c r="M57" s="3447"/>
      <c r="N57" s="2485">
        <f>D61</f>
        <v>14</v>
      </c>
      <c r="O57" s="2486" t="str">
        <f>E61</f>
        <v>销售额×税（费）率</v>
      </c>
      <c r="P57" s="2487">
        <f>F61</f>
        <v>0.01</v>
      </c>
    </row>
    <row r="58" spans="1:17" ht="24.75">
      <c r="A58" s="3474" t="s">
        <v>1745</v>
      </c>
      <c r="B58" s="3452"/>
      <c r="C58" s="3452"/>
      <c r="D58" s="12">
        <f>IF(H58="个人住宅",D59,D60)</f>
        <v>810</v>
      </c>
      <c r="E58" s="2059" t="s">
        <v>1746</v>
      </c>
      <c r="F58" s="2542" t="str">
        <f>IF(H58="正常",F60,"免征")</f>
        <v>——</v>
      </c>
      <c r="G58" s="2544" t="s">
        <v>1747</v>
      </c>
      <c r="H58" s="2545" t="s">
        <v>1744</v>
      </c>
      <c r="I58" s="2947"/>
      <c r="J58" s="2820"/>
      <c r="K58" s="2480" t="str">
        <f>IF(项目基本情况!I6="上海银行",IF(K57="",4,K57+1),"")</f>
        <v/>
      </c>
      <c r="L58" s="3467" t="str">
        <f>IF(项目基本情况!I6="上海银行","其他处置费用","")</f>
        <v/>
      </c>
      <c r="M58" s="3475"/>
      <c r="N58" s="2482" t="str">
        <f>IF(项目基本情况!I6="上海银行",N71,"")</f>
        <v/>
      </c>
      <c r="O58" s="3467" t="str">
        <f>IF(项目基本情况!I6="上海银行","包含处置中涉及的律师、诉讼、拍卖、评估等费用","")</f>
        <v/>
      </c>
      <c r="P58" s="3468"/>
    </row>
    <row r="59" spans="1:17" ht="12.75">
      <c r="A59" s="2049" t="s">
        <v>1722</v>
      </c>
      <c r="B59" s="3448" t="s">
        <v>1748</v>
      </c>
      <c r="C59" s="3449"/>
      <c r="D59" s="2535">
        <v>0</v>
      </c>
      <c r="E59" s="261" t="s">
        <v>1724</v>
      </c>
      <c r="F59" s="235"/>
      <c r="G59" s="2543"/>
      <c r="H59" s="2947"/>
      <c r="I59" s="2947"/>
      <c r="J59" s="2820"/>
      <c r="K59" s="3447">
        <f>IF(AND(K57="",K58=""),4,IF(项目基本情况!I6="上海银行",K58+1,K57+1))</f>
        <v>5</v>
      </c>
      <c r="L59" s="3447" t="s">
        <v>1749</v>
      </c>
      <c r="M59" s="2488" t="s">
        <v>1750</v>
      </c>
      <c r="N59" s="2489"/>
      <c r="O59" s="2490">
        <f>SUMIF(N54:N58,"&lt;9e307")</f>
        <v>900</v>
      </c>
      <c r="P59" s="2491"/>
      <c r="Q59" s="1273">
        <f>O59/N51</f>
        <v>0.62981105668299509</v>
      </c>
    </row>
    <row r="60" spans="1:17" ht="24.75">
      <c r="A60" s="2049" t="s">
        <v>1733</v>
      </c>
      <c r="B60" s="3448" t="s">
        <v>1751</v>
      </c>
      <c r="C60" s="3446"/>
      <c r="D60" s="12">
        <f>IF(H60="转让取得",C83,C99)</f>
        <v>810</v>
      </c>
      <c r="E60" s="2059" t="s">
        <v>1746</v>
      </c>
      <c r="F60" s="235" t="s">
        <v>48</v>
      </c>
      <c r="G60" s="2543"/>
      <c r="H60" s="2545" t="s">
        <v>1752</v>
      </c>
      <c r="I60" s="2947"/>
      <c r="J60" s="2820"/>
      <c r="K60" s="3447"/>
      <c r="L60" s="3447"/>
      <c r="M60" s="2488" t="s">
        <v>1753</v>
      </c>
      <c r="N60" s="2492"/>
      <c r="O60" s="2493" t="str">
        <f>IF(H19="元",NUMBERSTRING(INT(O59),2)&amp;"元整",NUMBERSTRING(INT(O59*10000),2)&amp;"元整")</f>
        <v>玖佰万元整</v>
      </c>
      <c r="P60" s="2494"/>
    </row>
    <row r="61" spans="1:17" ht="26.25" thickBot="1">
      <c r="A61" s="3471" t="s">
        <v>1754</v>
      </c>
      <c r="B61" s="3472"/>
      <c r="C61" s="3472"/>
      <c r="D61" s="69">
        <f>IF(H61="非个人房产","——",IF(H61="个人住宅（满五唯一有凭证）",0,IF(H61="个人其他（无凭证）",ROUND(D47*F61,0),ROUND(C69*F61,0))))</f>
        <v>14</v>
      </c>
      <c r="E61" s="2050"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2756</v>
      </c>
      <c r="H61" s="2063" t="s">
        <v>2682</v>
      </c>
      <c r="I61" s="2848" t="s">
        <v>2768</v>
      </c>
      <c r="J61" s="2820"/>
      <c r="K61" s="3469">
        <f>K59+1</f>
        <v>6</v>
      </c>
      <c r="L61" s="3447" t="s">
        <v>1755</v>
      </c>
      <c r="M61" s="2480" t="s">
        <v>1750</v>
      </c>
      <c r="N61" s="2495"/>
      <c r="O61" s="2496">
        <f>N51-O59</f>
        <v>529</v>
      </c>
      <c r="P61" s="2497"/>
    </row>
    <row r="62" spans="1:17" ht="12" customHeight="1">
      <c r="A62" s="1424"/>
      <c r="B62" s="2530"/>
      <c r="C62" s="2530"/>
      <c r="D62" s="2530"/>
      <c r="E62" s="1424"/>
      <c r="F62" s="2947"/>
      <c r="G62" s="2947"/>
      <c r="H62" s="2942"/>
      <c r="I62" s="945"/>
      <c r="J62" s="2820"/>
      <c r="K62" s="3470"/>
      <c r="L62" s="3447"/>
      <c r="M62" s="2488" t="s">
        <v>1753</v>
      </c>
      <c r="N62" s="2492"/>
      <c r="O62" s="2493" t="str">
        <f>IF(H19="元",NUMBERSTRING(INT(O61),2)&amp;"元整",NUMBERSTRING(INT(O61*10000),2)&amp;"元整")</f>
        <v>伍佰贰拾玖万元整</v>
      </c>
      <c r="P62" s="2494"/>
    </row>
    <row r="63" spans="1:17" ht="13.5" thickBot="1">
      <c r="A63" s="3473" t="s">
        <v>1756</v>
      </c>
      <c r="B63" s="3473"/>
      <c r="C63" s="3473"/>
      <c r="D63" s="3473"/>
      <c r="E63" s="3473"/>
      <c r="F63" s="2947"/>
      <c r="G63" s="2947"/>
      <c r="H63" s="2942"/>
      <c r="I63" s="945"/>
      <c r="J63" s="2812"/>
      <c r="K63" s="2480">
        <f>K61+1</f>
        <v>7</v>
      </c>
      <c r="L63" s="3447" t="s">
        <v>1757</v>
      </c>
      <c r="M63" s="3447"/>
      <c r="N63" s="2498"/>
      <c r="O63" s="2499">
        <f>IF(H19="元",ROUND(O61/项目基本情况!C12,0),ROUND(O61*10000/项目基本情况!C12,0))</f>
        <v>14579</v>
      </c>
      <c r="P63" s="2500"/>
    </row>
    <row r="64" spans="1:17" ht="12.75">
      <c r="A64" s="3476" t="s">
        <v>1758</v>
      </c>
      <c r="B64" s="3477"/>
      <c r="C64" s="1574"/>
      <c r="D64" s="1574" t="s">
        <v>1759</v>
      </c>
      <c r="E64" s="45" t="s">
        <v>1760</v>
      </c>
      <c r="F64" s="2947"/>
      <c r="G64" s="2947"/>
      <c r="H64" s="2942"/>
      <c r="I64" s="945"/>
      <c r="J64" s="2812"/>
      <c r="K64" s="1275"/>
      <c r="L64" s="1275"/>
      <c r="M64" s="1275"/>
      <c r="N64" s="1275"/>
      <c r="O64" s="1275"/>
    </row>
    <row r="65" spans="1:36" ht="12.75">
      <c r="A65" s="46">
        <v>1</v>
      </c>
      <c r="B65" s="47" t="s">
        <v>1761</v>
      </c>
      <c r="C65" s="2751">
        <f>ROUND((C66+C67)/(1+'数据-取费表'!F30),0)</f>
        <v>1361</v>
      </c>
      <c r="D65" s="47"/>
      <c r="E65" s="48"/>
      <c r="F65" s="2947"/>
      <c r="G65" s="2947"/>
      <c r="H65" s="2942"/>
      <c r="I65" s="945"/>
      <c r="J65" s="2812"/>
      <c r="K65" s="3432" t="s">
        <v>1762</v>
      </c>
      <c r="L65" s="1274" t="s">
        <v>1763</v>
      </c>
      <c r="M65" s="1274">
        <f>IF(N51&gt;10000,N51*0.5%,IF(AND(N51&gt;1000,N51&lt;=10000),N51*1%,IF(AND(N51&gt;100,N51&lt;=1000),N51*3%,IF(AND(N51&gt;10,N51&lt;=100),N51*5%,N51*8%))))</f>
        <v>14.290000000000001</v>
      </c>
      <c r="N65" s="235">
        <f>ROUND(M65,1)</f>
        <v>14.3</v>
      </c>
      <c r="O65" s="2501"/>
    </row>
    <row r="66" spans="1:36" ht="12.75">
      <c r="A66" s="49" t="s">
        <v>71</v>
      </c>
      <c r="B66" s="50" t="s">
        <v>1764</v>
      </c>
      <c r="C66" s="2752">
        <f>D47</f>
        <v>1429</v>
      </c>
      <c r="D66" s="50" t="s">
        <v>41</v>
      </c>
      <c r="E66" s="52"/>
      <c r="F66" s="2947"/>
      <c r="G66" s="2947"/>
      <c r="H66" s="2942"/>
      <c r="I66" s="945"/>
      <c r="J66" s="2812"/>
      <c r="K66" s="3432"/>
      <c r="L66" s="1274" t="s">
        <v>1765</v>
      </c>
      <c r="M66" s="1274">
        <f>IF(N51&gt;2000,N51*0.5%,IF(AND(N51&gt;1000,N51&lt;=2000),N51*0.6%,IF(AND(N51&gt;500,N51&lt;=1000),N51*0.7%,IF(AND(N51&gt;200,N51&lt;=500),N51*0.8%,IF(AND(N51&gt;100,N51&lt;=200),N51*0.9%,IF(AND(N51&gt;50,N51&lt;=100),N51*1%,IF(AND(N51&gt;20,N51&lt;=50),N51*1.5%,IF(AND(N51&gt;10,N51&lt;=20),N51*2%,IF(AND(N51&gt;1,N51&lt;=10),N51*2.5%)))))))))</f>
        <v>8.5739999999999998</v>
      </c>
      <c r="N66" s="235">
        <f t="shared" ref="N66:N67" si="2">ROUND(M66,1)</f>
        <v>8.6</v>
      </c>
      <c r="O66" s="2501" t="s">
        <v>1766</v>
      </c>
    </row>
    <row r="67" spans="1:36" ht="12.75">
      <c r="A67" s="49" t="s">
        <v>72</v>
      </c>
      <c r="B67" s="50" t="s">
        <v>1767</v>
      </c>
      <c r="C67" s="2753"/>
      <c r="D67" s="50"/>
      <c r="E67" s="52"/>
      <c r="F67" s="2947"/>
      <c r="G67" s="2947"/>
      <c r="H67" s="2942"/>
      <c r="I67" s="945"/>
      <c r="J67" s="2812"/>
      <c r="K67" s="3432"/>
      <c r="L67" s="1274" t="s">
        <v>1768</v>
      </c>
      <c r="M67" s="1274">
        <f>IF(N51&gt;1000,N51*0.1%,IF(AND(N51&gt;500,N51&lt;=1000),N51*0.5%,IF(AND(N51&gt;50,N51&lt;=500),N51*1%,IF(AND(N51&gt;1,N51&lt;=50),N51*1.5%))))</f>
        <v>1.429</v>
      </c>
      <c r="N67" s="235">
        <f t="shared" si="2"/>
        <v>1.4</v>
      </c>
      <c r="O67" s="2501" t="s">
        <v>1766</v>
      </c>
    </row>
    <row r="68" spans="1:36" ht="12.75">
      <c r="A68" s="53" t="s">
        <v>47</v>
      </c>
      <c r="B68" s="54" t="s">
        <v>1769</v>
      </c>
      <c r="C68" s="2754"/>
      <c r="D68" s="54" t="s">
        <v>41</v>
      </c>
      <c r="E68" s="1283" t="s">
        <v>1770</v>
      </c>
      <c r="F68" s="2947"/>
      <c r="G68" s="2947"/>
      <c r="H68" s="2942"/>
      <c r="I68" s="945"/>
      <c r="J68" s="2812"/>
      <c r="K68" s="3432"/>
      <c r="L68" s="1274" t="s">
        <v>1771</v>
      </c>
      <c r="M68" s="1274">
        <f>N51*0.5%</f>
        <v>7.1450000000000005</v>
      </c>
      <c r="N68" s="235">
        <f>IF(M68&gt;0.5,0.5,ROUND(M68,0))</f>
        <v>0.5</v>
      </c>
      <c r="O68" s="2501" t="s">
        <v>1772</v>
      </c>
    </row>
    <row r="69" spans="1:36" ht="12.75">
      <c r="A69" s="53" t="s">
        <v>42</v>
      </c>
      <c r="B69" s="54" t="s">
        <v>1773</v>
      </c>
      <c r="C69" s="2755">
        <f>C65-C68</f>
        <v>1361</v>
      </c>
      <c r="D69" s="50" t="s">
        <v>41</v>
      </c>
      <c r="E69" s="52"/>
      <c r="F69" s="2947"/>
      <c r="G69" s="2947"/>
      <c r="H69" s="2942"/>
      <c r="I69" s="945"/>
      <c r="J69" s="2812"/>
      <c r="K69" s="3432"/>
      <c r="L69" s="1274" t="s">
        <v>1774</v>
      </c>
      <c r="M69" s="1274">
        <f>IF(N51&gt;=10000,(8.25+(N51-10000)*0.01%),IF(AND(N51&gt;=8000,N51&lt;10000),(7.85+(N51-8000)*0.02%),IF(AND(N51&gt;=5000,N51&lt;8000),(6.65+(N51-5000)*0.04%),IF(AND(N51&gt;=2000,N51&lt;5000),(4.25+(PN51-2000)*0.08%),IF(AND(N51&gt;=1000,N51&lt;2000),(2.75+(N51-1000)*0.15%),IF(AND(N51&gt;=100,N51&lt;1000),(0.5+(N51-100)*0.25%),IF(AND(N51&gt;0,N51&lt;100),N51*0.5%)))))))</f>
        <v>3.3935</v>
      </c>
      <c r="N69" s="235">
        <f>ROUND(M69*0.9,1)</f>
        <v>3.1</v>
      </c>
      <c r="O69" s="2501"/>
    </row>
    <row r="70" spans="1:36" ht="13.5" thickBot="1">
      <c r="A70" s="55" t="s">
        <v>46</v>
      </c>
      <c r="B70" s="56" t="s">
        <v>1775</v>
      </c>
      <c r="C70" s="2756">
        <f>IF(C69&lt;=0,0,ROUND(C69*D70,0))</f>
        <v>75</v>
      </c>
      <c r="D70" s="2209">
        <f>'数据-取费表'!E29</f>
        <v>5.5000000000000007E-2</v>
      </c>
      <c r="E70" s="57"/>
      <c r="F70" s="2947"/>
      <c r="G70" s="2947"/>
      <c r="H70" s="2942"/>
      <c r="I70" s="945"/>
      <c r="J70" s="2812"/>
      <c r="K70" s="3432"/>
      <c r="L70" s="1274" t="s">
        <v>1776</v>
      </c>
      <c r="M70" s="1274">
        <f>IF(N51&gt;10000,N51*0.5%,IF(AND(N51&gt;5000,N51&lt;=10000),N51*1%,IF(AND(N51&gt;1000,N51&lt;=5000),N51*2%,IF(AND(N51&gt;200,N51&lt;=1000),N51*3%,N51*5%))))</f>
        <v>28.580000000000002</v>
      </c>
      <c r="N70" s="235">
        <f>ROUND(M70,1)</f>
        <v>28.6</v>
      </c>
      <c r="O70" s="2501"/>
    </row>
    <row r="71" spans="1:36" s="1432" customFormat="1" ht="7.5" customHeight="1">
      <c r="A71" s="1444"/>
      <c r="B71" s="1445"/>
      <c r="C71" s="2757"/>
      <c r="D71" s="2252"/>
      <c r="E71" s="1448"/>
      <c r="F71" s="1424"/>
      <c r="G71" s="1424"/>
      <c r="H71" s="1448"/>
      <c r="I71" s="2530"/>
      <c r="J71" s="2812"/>
      <c r="K71" s="3432"/>
      <c r="L71" s="1274" t="s">
        <v>1777</v>
      </c>
      <c r="M71" s="1274"/>
      <c r="N71" s="235">
        <f>ROUND(SUM(N65:N70),0)</f>
        <v>57</v>
      </c>
      <c r="O71" s="2502">
        <f>N71/N51</f>
        <v>3.9888033589923023E-2</v>
      </c>
      <c r="P71" s="658"/>
      <c r="Q71" s="658"/>
      <c r="R71" s="658"/>
      <c r="S71" s="658"/>
      <c r="T71" s="658"/>
      <c r="U71" s="658"/>
      <c r="V71" s="658"/>
      <c r="W71" s="658"/>
      <c r="X71" s="658"/>
      <c r="Y71" s="658"/>
      <c r="Z71" s="658"/>
      <c r="AA71" s="658"/>
      <c r="AB71" s="1275"/>
      <c r="AC71" s="1275"/>
      <c r="AD71" s="1275"/>
      <c r="AE71" s="1275"/>
      <c r="AF71" s="1275"/>
      <c r="AG71" s="1275"/>
      <c r="AH71" s="1275"/>
      <c r="AI71" s="1275"/>
      <c r="AJ71" s="1275"/>
    </row>
    <row r="72" spans="1:36" s="1450" customFormat="1" ht="15" thickBot="1">
      <c r="A72" s="3487" t="s">
        <v>1778</v>
      </c>
      <c r="B72" s="3488"/>
      <c r="C72" s="3488"/>
      <c r="D72" s="3488"/>
      <c r="E72" s="3488"/>
      <c r="F72" s="3488"/>
      <c r="G72" s="3488"/>
      <c r="H72" s="3488"/>
      <c r="I72" s="1449"/>
      <c r="J72" s="2821"/>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3476" t="s">
        <v>1758</v>
      </c>
      <c r="B73" s="3477"/>
      <c r="C73" s="1574"/>
      <c r="D73" s="1574" t="s">
        <v>1759</v>
      </c>
      <c r="E73" s="58" t="s">
        <v>1760</v>
      </c>
      <c r="F73" s="59"/>
      <c r="G73" s="59"/>
      <c r="H73" s="60"/>
      <c r="I73" s="2758"/>
      <c r="J73" s="2843"/>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25">
      <c r="A74" s="61">
        <v>1</v>
      </c>
      <c r="B74" s="54" t="s">
        <v>1779</v>
      </c>
      <c r="C74" s="2755">
        <f>ROUND(D47/(1+'数据-取费表'!F30),0)</f>
        <v>1361</v>
      </c>
      <c r="D74" s="50" t="s">
        <v>41</v>
      </c>
      <c r="E74" s="2055"/>
      <c r="F74" s="2056"/>
      <c r="G74" s="2056"/>
      <c r="H74" s="62"/>
      <c r="I74" s="2758"/>
      <c r="J74" s="2843"/>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63">
        <v>2</v>
      </c>
      <c r="B75" s="41" t="s">
        <v>1781</v>
      </c>
      <c r="C75" s="2755">
        <f>C76+C80</f>
        <v>7</v>
      </c>
      <c r="D75" s="50" t="s">
        <v>41</v>
      </c>
      <c r="E75" s="2055"/>
      <c r="F75" s="2056"/>
      <c r="G75" s="2056"/>
      <c r="H75" s="62"/>
      <c r="I75" s="2758"/>
      <c r="J75" s="2843"/>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8"/>
      <c r="J76" s="2843"/>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59" t="s">
        <v>1785</v>
      </c>
      <c r="G77" s="64" t="s">
        <v>1786</v>
      </c>
      <c r="H77" s="2760"/>
      <c r="I77" s="607"/>
      <c r="J77" s="2844"/>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1">
        <v>0.05</v>
      </c>
      <c r="E78" s="3448" t="s">
        <v>1788</v>
      </c>
      <c r="F78" s="3446"/>
      <c r="G78" s="3446"/>
      <c r="H78" s="3489"/>
      <c r="I78" s="2758"/>
      <c r="J78" s="2843"/>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2"/>
      <c r="G79" s="1453" t="s">
        <v>1791</v>
      </c>
      <c r="H79" s="2057" t="str">
        <f>IF(G79="个人买卖住房","免征印花税"," ")</f>
        <v xml:space="preserve"> </v>
      </c>
      <c r="I79" s="2758"/>
      <c r="J79" s="2843"/>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63">
        <f>ROUND(D47*D80/(1+'数据-取费表'!F30),0)</f>
        <v>7</v>
      </c>
      <c r="D80" s="2764">
        <f>'数据-取费表'!E31</f>
        <v>5.000000000000001E-3</v>
      </c>
      <c r="E80" s="3478" t="s">
        <v>1793</v>
      </c>
      <c r="F80" s="3479"/>
      <c r="G80" s="3479"/>
      <c r="H80" s="3480"/>
      <c r="I80" s="608"/>
      <c r="J80" s="2845"/>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25">
      <c r="A81" s="53" t="s">
        <v>42</v>
      </c>
      <c r="B81" s="54" t="s">
        <v>1794</v>
      </c>
      <c r="C81" s="2755">
        <f>C74-C75</f>
        <v>1354</v>
      </c>
      <c r="D81" s="50" t="s">
        <v>41</v>
      </c>
      <c r="E81" s="2055"/>
      <c r="F81" s="2056"/>
      <c r="G81" s="2056"/>
      <c r="H81" s="62"/>
      <c r="I81" s="2758"/>
      <c r="J81" s="2843"/>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14.25">
      <c r="A82" s="53" t="s">
        <v>43</v>
      </c>
      <c r="B82" s="54" t="s">
        <v>1795</v>
      </c>
      <c r="C82" s="2765">
        <f>IF(C81&lt;=0,0,C81/C75)</f>
        <v>193.42857142857142</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8"/>
      <c r="J82" s="2843"/>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55" t="s">
        <v>44</v>
      </c>
      <c r="B83" s="56" t="s">
        <v>1796</v>
      </c>
      <c r="C83" s="2766">
        <f>ROUND(IF(C81&lt;=0,0,IF(C82&gt;=200%,C81*60%-C75*35%,IF(C82&gt;=100%,C81*50%-C75*15%,IF(C82&gt;=50%,C81*40%-C75*5%,IF(C82&lt;50%,C81*30%,0))))),0)</f>
        <v>810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8"/>
      <c r="J83" s="2843"/>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7"/>
      <c r="B84" s="607"/>
      <c r="C84" s="607"/>
      <c r="D84" s="607"/>
      <c r="E84" s="607"/>
      <c r="F84" s="607"/>
      <c r="G84" s="607"/>
      <c r="H84" s="608"/>
      <c r="I84" s="608"/>
      <c r="J84" s="2845"/>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5" thickBot="1">
      <c r="A85" s="3487" t="s">
        <v>1797</v>
      </c>
      <c r="B85" s="3488"/>
      <c r="C85" s="3488"/>
      <c r="D85" s="3488"/>
      <c r="E85" s="3488"/>
      <c r="F85" s="3488"/>
      <c r="G85" s="3488"/>
      <c r="H85" s="3488"/>
      <c r="I85" s="607"/>
      <c r="J85" s="2844"/>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3476" t="s">
        <v>1758</v>
      </c>
      <c r="B86" s="3477"/>
      <c r="C86" s="1574"/>
      <c r="D86" s="1574" t="s">
        <v>1759</v>
      </c>
      <c r="E86" s="58" t="s">
        <v>1760</v>
      </c>
      <c r="F86" s="59"/>
      <c r="G86" s="59"/>
      <c r="H86" s="72"/>
      <c r="I86" s="607"/>
      <c r="J86" s="2844"/>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61">
        <v>1</v>
      </c>
      <c r="B87" s="54" t="s">
        <v>1779</v>
      </c>
      <c r="C87" s="2755">
        <f>ROUND(D47/(1+'数据-取费表'!F30),0)</f>
        <v>1361</v>
      </c>
      <c r="D87" s="50" t="s">
        <v>41</v>
      </c>
      <c r="E87" s="2055"/>
      <c r="F87" s="2056"/>
      <c r="G87" s="2056"/>
      <c r="H87" s="73"/>
      <c r="I87" s="607"/>
      <c r="J87" s="2844"/>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63">
        <v>2</v>
      </c>
      <c r="B88" s="41" t="s">
        <v>1781</v>
      </c>
      <c r="C88" s="2755">
        <f>IF(H90="仅含出让金",C89+C92+C93+C94+C95+C96,C89+C93+C94+C95+C96)</f>
        <v>7</v>
      </c>
      <c r="D88" s="2767"/>
      <c r="E88" s="2055"/>
      <c r="F88" s="2056"/>
      <c r="G88" s="2056"/>
      <c r="H88" s="73"/>
      <c r="I88" s="607"/>
      <c r="J88" s="2844"/>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73</v>
      </c>
      <c r="B89" s="50" t="s">
        <v>1798</v>
      </c>
      <c r="C89" s="2763">
        <f>C90+C91</f>
        <v>0</v>
      </c>
      <c r="D89" s="2764"/>
      <c r="E89" s="2052"/>
      <c r="F89" s="2053"/>
      <c r="G89" s="2053"/>
      <c r="H89" s="2054"/>
      <c r="I89" s="607"/>
      <c r="J89" s="2844"/>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25">
      <c r="A90" s="49" t="s">
        <v>74</v>
      </c>
      <c r="B90" s="50" t="s">
        <v>1799</v>
      </c>
      <c r="C90" s="2768"/>
      <c r="D90" s="2764"/>
      <c r="E90" s="74" t="s">
        <v>1800</v>
      </c>
      <c r="F90" s="2053"/>
      <c r="G90" s="75" t="s">
        <v>1801</v>
      </c>
      <c r="H90" s="1455"/>
      <c r="I90" s="607"/>
      <c r="J90" s="2844"/>
      <c r="K90" s="2939" t="s">
        <v>2760</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25">
      <c r="A91" s="49" t="s">
        <v>75</v>
      </c>
      <c r="B91" s="50" t="s">
        <v>1789</v>
      </c>
      <c r="C91" s="2763">
        <f>ROUND(C90*D91,0)</f>
        <v>0</v>
      </c>
      <c r="D91" s="2764">
        <f>'数据-取费表'!E36+'数据-取费表'!E37</f>
        <v>3.0499999999999999E-2</v>
      </c>
      <c r="E91" s="74" t="s">
        <v>1802</v>
      </c>
      <c r="F91" s="2053"/>
      <c r="G91" s="2053"/>
      <c r="H91" s="2054"/>
      <c r="I91" s="607"/>
      <c r="J91" s="2844"/>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25">
      <c r="A92" s="49" t="s">
        <v>77</v>
      </c>
      <c r="B92" s="50" t="s">
        <v>1803</v>
      </c>
      <c r="C92" s="2768"/>
      <c r="D92" s="2764"/>
      <c r="E92" s="74" t="str">
        <f>IF(H90="-","土地取得成本中已包含该笔费用"," ")</f>
        <v xml:space="preserve"> </v>
      </c>
      <c r="F92" s="2053"/>
      <c r="G92" s="3490" t="s">
        <v>2677</v>
      </c>
      <c r="H92" s="3491"/>
      <c r="I92" s="607"/>
      <c r="J92" s="2844"/>
      <c r="K92" s="2939" t="s">
        <v>2761</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63">
        <f>IF(H93="——",成本法!C33,I93)</f>
        <v>0</v>
      </c>
      <c r="D93" s="2764"/>
      <c r="E93" s="3478" t="s">
        <v>1805</v>
      </c>
      <c r="F93" s="3479"/>
      <c r="G93" s="3479"/>
      <c r="H93" s="1456" t="s">
        <v>1806</v>
      </c>
      <c r="I93" s="2769"/>
      <c r="J93" s="2846"/>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63">
        <f>ROUND((C89+C92+C93)*D94,0)</f>
        <v>0</v>
      </c>
      <c r="D94" s="2764">
        <v>0.1</v>
      </c>
      <c r="E94" s="3478" t="s">
        <v>1808</v>
      </c>
      <c r="F94" s="3479"/>
      <c r="G94" s="3479"/>
      <c r="H94" s="3480"/>
      <c r="I94" s="607"/>
      <c r="J94" s="2844"/>
      <c r="K94" s="2940" t="s">
        <v>2762</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63">
        <f>ROUND(D47*D95/(1+'数据-取费表'!F30),0)</f>
        <v>7</v>
      </c>
      <c r="D95" s="2764">
        <f>'数据-取费表'!E31</f>
        <v>5.000000000000001E-3</v>
      </c>
      <c r="E95" s="3478" t="s">
        <v>1793</v>
      </c>
      <c r="F95" s="3479"/>
      <c r="G95" s="3479"/>
      <c r="H95" s="3480"/>
      <c r="I95" s="607"/>
      <c r="J95" s="2844"/>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63">
        <f>ROUND((C89+C92+C93)*D96,0)</f>
        <v>0</v>
      </c>
      <c r="D96" s="2764">
        <v>0.2</v>
      </c>
      <c r="E96" s="3478" t="s">
        <v>1810</v>
      </c>
      <c r="F96" s="3479"/>
      <c r="G96" s="3479"/>
      <c r="H96" s="3480"/>
      <c r="I96" s="607"/>
      <c r="J96" s="2844"/>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25">
      <c r="A97" s="53" t="s">
        <v>42</v>
      </c>
      <c r="B97" s="54" t="s">
        <v>1794</v>
      </c>
      <c r="C97" s="2755">
        <f>ROUND(C87-C88,0)</f>
        <v>1354</v>
      </c>
      <c r="D97" s="50" t="s">
        <v>41</v>
      </c>
      <c r="E97" s="2055"/>
      <c r="F97" s="2056"/>
      <c r="G97" s="2056"/>
      <c r="H97" s="73"/>
      <c r="I97" s="607"/>
      <c r="J97" s="2844"/>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14.25">
      <c r="A98" s="53" t="s">
        <v>43</v>
      </c>
      <c r="B98" s="54" t="s">
        <v>1795</v>
      </c>
      <c r="C98" s="2765">
        <f>IF(C97&lt;=0,0,C97/C88)</f>
        <v>193.42857142857142</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7"/>
      <c r="J98" s="2844"/>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5" thickBot="1">
      <c r="A99" s="66" t="s">
        <v>44</v>
      </c>
      <c r="B99" s="56" t="s">
        <v>1796</v>
      </c>
      <c r="C99" s="67">
        <f>ROUND(IF(C97&lt;=0,0,IF(C98&gt;=200%,C97*60%-C88*35%,IF(C98&gt;=100%,C97*50%-C88*15%,IF(C98&gt;=50%,C97*40%-C88*5%,IF(C98&lt;50%,C97*30%,0))))),0)</f>
        <v>810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3"/>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1"/>
      <c r="F100" s="811"/>
      <c r="G100" s="811"/>
      <c r="H100" s="1437"/>
      <c r="I100" s="1428"/>
    </row>
    <row r="101" spans="1:36" ht="15">
      <c r="A101" s="3481" t="s">
        <v>1812</v>
      </c>
      <c r="B101" s="3482"/>
      <c r="C101" s="3482"/>
      <c r="D101" s="3483"/>
      <c r="E101" s="1428"/>
      <c r="F101" s="3484" t="s">
        <v>2719</v>
      </c>
      <c r="G101" s="3485"/>
      <c r="H101" s="3485"/>
      <c r="I101" s="3486"/>
      <c r="J101" s="2847"/>
    </row>
    <row r="102" spans="1:36" ht="30">
      <c r="A102" s="3492" t="s">
        <v>1814</v>
      </c>
      <c r="B102" s="3493"/>
      <c r="C102" s="2770" t="str">
        <f>C4</f>
        <v>典型户型修正</v>
      </c>
      <c r="D102" s="2771" t="str">
        <f>D4</f>
        <v>典型户型修正</v>
      </c>
      <c r="E102" s="1428"/>
      <c r="F102" s="3494" t="s">
        <v>2720</v>
      </c>
      <c r="G102" s="3495"/>
      <c r="H102" s="3496" t="s">
        <v>2721</v>
      </c>
      <c r="I102" s="3497"/>
      <c r="J102" s="2827"/>
    </row>
    <row r="103" spans="1:36" ht="12.75">
      <c r="A103" s="3498" t="s">
        <v>2715</v>
      </c>
      <c r="B103" s="2274" t="str">
        <f>IF(H19="元","总价（元）","总价（万元）")</f>
        <v>总价（万元）</v>
      </c>
      <c r="C103" s="1274">
        <f ca="1">C19</f>
        <v>1429</v>
      </c>
      <c r="D103" s="2774">
        <f ca="1">D19</f>
        <v>1429</v>
      </c>
      <c r="E103" s="1428"/>
      <c r="F103" s="3499"/>
      <c r="G103" s="3500"/>
      <c r="H103" s="3501">
        <f>典型户型修正!B25</f>
        <v>362.84</v>
      </c>
      <c r="I103" s="3497"/>
      <c r="J103" s="2827"/>
    </row>
    <row r="104" spans="1:36" ht="12.75">
      <c r="A104" s="3498"/>
      <c r="B104" s="2274" t="s">
        <v>2716</v>
      </c>
      <c r="C104" s="2775">
        <f ca="1">C20</f>
        <v>39384</v>
      </c>
      <c r="D104" s="2776">
        <f ca="1">D20</f>
        <v>39384</v>
      </c>
      <c r="E104" s="1428"/>
      <c r="F104" s="3502" t="s">
        <v>2722</v>
      </c>
      <c r="G104" s="3503"/>
      <c r="H104" s="2784" t="str">
        <f>C110</f>
        <v>总价（万元）</v>
      </c>
      <c r="I104" s="2785">
        <f>H125</f>
        <v>1429</v>
      </c>
      <c r="J104" s="2827"/>
    </row>
    <row r="105" spans="1:36" ht="12.75">
      <c r="A105" s="3498" t="s">
        <v>2717</v>
      </c>
      <c r="B105" s="2212" t="str">
        <f>B103</f>
        <v>总价（万元）</v>
      </c>
      <c r="C105" s="12">
        <f ca="1">ROUND(IF('数据-取费表'!B4="总价",G19,IF(H19="元",G20*'数据-取费表'!E5,G20*'数据-取费表'!E5/10000)),0)</f>
        <v>1429</v>
      </c>
      <c r="D105" s="2777"/>
      <c r="E105" s="1428"/>
      <c r="F105" s="3502"/>
      <c r="G105" s="3503"/>
      <c r="H105" s="2784" t="s">
        <v>2723</v>
      </c>
      <c r="I105" s="52">
        <f>I125</f>
        <v>39384</v>
      </c>
      <c r="J105" s="2811"/>
    </row>
    <row r="106" spans="1:36" ht="12.75">
      <c r="A106" s="3498"/>
      <c r="B106" s="2274" t="s">
        <v>2716</v>
      </c>
      <c r="C106" s="1448">
        <f ca="1">ROUND(IF('数据-取费表'!B4="楼面单价",G20,IF(H19="元",G19/'数据-取费表'!E5,G19*10000/'数据-取费表'!E5)),0)</f>
        <v>78768</v>
      </c>
      <c r="D106" s="2777"/>
      <c r="E106" s="1428"/>
      <c r="F106" s="3502"/>
      <c r="G106" s="3503"/>
      <c r="H106" s="3504"/>
      <c r="I106" s="3505"/>
      <c r="J106" s="2828"/>
    </row>
    <row r="107" spans="1:36" ht="12.75">
      <c r="A107" s="3538" t="s">
        <v>2718</v>
      </c>
      <c r="B107" s="2778" t="str">
        <f>B103</f>
        <v>总价（万元）</v>
      </c>
      <c r="C107" s="2779">
        <f>H125</f>
        <v>1429</v>
      </c>
      <c r="D107" s="2780"/>
      <c r="E107" s="1428"/>
      <c r="F107" s="3511" t="s">
        <v>2724</v>
      </c>
      <c r="G107" s="3512"/>
      <c r="H107" s="2786" t="str">
        <f>C112</f>
        <v>总额（万元）</v>
      </c>
      <c r="I107" s="2785">
        <f>SUMIF(I108:I110,"&lt;9E307")</f>
        <v>0</v>
      </c>
      <c r="J107" s="2827"/>
    </row>
    <row r="108" spans="1:36" ht="15" thickBot="1">
      <c r="A108" s="3539"/>
      <c r="B108" s="2781" t="s">
        <v>2716</v>
      </c>
      <c r="C108" s="2782">
        <f>I125</f>
        <v>39384</v>
      </c>
      <c r="D108" s="2783"/>
      <c r="E108" s="1428"/>
      <c r="F108" s="3509" t="s">
        <v>2725</v>
      </c>
      <c r="G108" s="3510"/>
      <c r="H108" s="2786" t="str">
        <f>C113</f>
        <v>总额（万元）</v>
      </c>
      <c r="I108" s="2787">
        <f>IF(D38="同一抵押权人同一抵押物续贷",C38&amp;"（续贷，未扣减，详见特别提示）",C38)</f>
        <v>0</v>
      </c>
      <c r="J108" s="2811"/>
      <c r="L108" s="1431" t="str">
        <f>IF(D125=0,"本次评估不存在"&amp;A125&amp;"。","本次评估"&amp;A125&amp;"为"&amp;D125&amp;"元人民币。")</f>
        <v>本次评估不存在北京市房地产。</v>
      </c>
      <c r="M108" s="1428"/>
      <c r="N108" s="1428"/>
      <c r="O108" s="1428"/>
      <c r="P108" s="1428"/>
      <c r="Q108" s="1428"/>
    </row>
    <row r="109" spans="1:36" ht="15">
      <c r="A109" s="3506" t="s">
        <v>1815</v>
      </c>
      <c r="B109" s="3507"/>
      <c r="C109" s="3507"/>
      <c r="D109" s="3508"/>
      <c r="E109" s="1428"/>
      <c r="F109" s="3509" t="s">
        <v>2726</v>
      </c>
      <c r="G109" s="3510"/>
      <c r="H109" s="2786" t="str">
        <f>C114</f>
        <v>总额（万元）</v>
      </c>
      <c r="I109" s="52">
        <f>C39</f>
        <v>0</v>
      </c>
      <c r="J109" s="2811"/>
    </row>
    <row r="110" spans="1:36" ht="12.75">
      <c r="A110" s="3502" t="s">
        <v>2729</v>
      </c>
      <c r="B110" s="3503"/>
      <c r="C110" s="2784" t="str">
        <f>B103</f>
        <v>总价（万元）</v>
      </c>
      <c r="D110" s="2785">
        <f>H125</f>
        <v>1429</v>
      </c>
      <c r="E110" s="1428"/>
      <c r="F110" s="3509" t="s">
        <v>2727</v>
      </c>
      <c r="G110" s="3510"/>
      <c r="H110" s="2786" t="str">
        <f>C115</f>
        <v>总额（万元）</v>
      </c>
      <c r="I110" s="52">
        <f>C40</f>
        <v>0</v>
      </c>
      <c r="J110" s="2811"/>
    </row>
    <row r="111" spans="1:36" ht="12.75">
      <c r="A111" s="3502"/>
      <c r="B111" s="3503"/>
      <c r="C111" s="2784" t="s">
        <v>2730</v>
      </c>
      <c r="D111" s="52">
        <f>I125</f>
        <v>39384</v>
      </c>
      <c r="E111" s="1428"/>
      <c r="F111" s="3502"/>
      <c r="G111" s="3503"/>
      <c r="H111" s="3515"/>
      <c r="I111" s="3516"/>
      <c r="J111" s="2829"/>
    </row>
    <row r="112" spans="1:36" ht="28.5" customHeight="1">
      <c r="A112" s="3513" t="s">
        <v>2724</v>
      </c>
      <c r="B112" s="3514"/>
      <c r="C112" s="2786" t="str">
        <f>IF(H19="元","总额（元）","总额（万元）")</f>
        <v>总额（万元）</v>
      </c>
      <c r="D112" s="2785">
        <f>IF(D38="正常操作",I108+I109+I110,I109+I110)</f>
        <v>0</v>
      </c>
      <c r="E112" s="1428"/>
      <c r="F112" s="3517" t="str">
        <f>IF(项目基本情况!F5="已注销","——","3.房地产抵押价值")</f>
        <v>3.房地产抵押价值</v>
      </c>
      <c r="G112" s="3439"/>
      <c r="H112" s="1448" t="str">
        <f>C116</f>
        <v>总价（万元）</v>
      </c>
      <c r="I112" s="2785">
        <f>IF(F112="——","——",I104-I107)</f>
        <v>1429</v>
      </c>
      <c r="J112" s="2827"/>
    </row>
    <row r="113" spans="1:27" ht="12.75">
      <c r="A113" s="3509" t="s">
        <v>2731</v>
      </c>
      <c r="B113" s="3510"/>
      <c r="C113" s="2786" t="str">
        <f>C112</f>
        <v>总额（万元）</v>
      </c>
      <c r="D113" s="52">
        <f>IF(D38="同一抵押权人同一抵押物续贷",C38&amp;"（未扣减，详见特别提示）",C38)</f>
        <v>0</v>
      </c>
      <c r="E113" s="1428"/>
      <c r="F113" s="3518"/>
      <c r="G113" s="3519"/>
      <c r="H113" s="2784" t="s">
        <v>2723</v>
      </c>
      <c r="I113" s="2788">
        <f>D117</f>
        <v>39384</v>
      </c>
      <c r="J113" s="2830"/>
    </row>
    <row r="114" spans="1:27" ht="12.75">
      <c r="A114" s="3509" t="s">
        <v>2732</v>
      </c>
      <c r="B114" s="3510"/>
      <c r="C114" s="2786" t="str">
        <f>C112</f>
        <v>总额（万元）</v>
      </c>
      <c r="D114" s="52">
        <f>C39</f>
        <v>0</v>
      </c>
      <c r="E114" s="1428"/>
      <c r="F114" s="3517" t="str">
        <f>IF(项目基本情况!F5="已注销及未注销","4.抵押担保权已注销时的房地产抵押价值",IF(项目基本情况!F5="已注销","3.抵押担保权已注销时的房地产抵押价值","——"))</f>
        <v>——</v>
      </c>
      <c r="G114" s="3439"/>
      <c r="H114" s="1448" t="str">
        <f>C118</f>
        <v>总价（万元）</v>
      </c>
      <c r="I114" s="2785" t="str">
        <f>IF(F114="——","——",I104-I109-I110)</f>
        <v>——</v>
      </c>
      <c r="J114" s="2827"/>
    </row>
    <row r="115" spans="1:27" ht="12.75">
      <c r="A115" s="3509" t="s">
        <v>2733</v>
      </c>
      <c r="B115" s="3510"/>
      <c r="C115" s="2786" t="str">
        <f>C112</f>
        <v>总额（万元）</v>
      </c>
      <c r="D115" s="52">
        <f>C40</f>
        <v>0</v>
      </c>
      <c r="E115" s="1428"/>
      <c r="F115" s="3518"/>
      <c r="G115" s="3519"/>
      <c r="H115" s="2784" t="s">
        <v>2723</v>
      </c>
      <c r="I115" s="52" t="str">
        <f>D119</f>
        <v>——</v>
      </c>
      <c r="J115" s="2811"/>
    </row>
    <row r="116" spans="1:27" ht="12.75">
      <c r="A116" s="3502" t="str">
        <f>IF(项目基本情况!F5="已注销","——","3.房地产抵押价值")</f>
        <v>3.房地产抵押价值</v>
      </c>
      <c r="B116" s="3503"/>
      <c r="C116" s="2784" t="str">
        <f>B103</f>
        <v>总价（万元）</v>
      </c>
      <c r="D116" s="2785">
        <f>IF(A116="——","——",D110-D112)</f>
        <v>1429</v>
      </c>
      <c r="E116" s="1428"/>
      <c r="F116" s="3517" t="str">
        <f>IF(项目基本情况!G5="抵押净值",IF(OR(项目基本情况!F5="已注销",项目基本情况!F5="房地产抵押价值"),"4.抵押净值","5.抵押净值"),"——")</f>
        <v>——</v>
      </c>
      <c r="G116" s="3439"/>
      <c r="H116" s="2784" t="str">
        <f>C120</f>
        <v>总价（万元）</v>
      </c>
      <c r="I116" s="2785" t="str">
        <f>IF(F116="——","——",O61)</f>
        <v>——</v>
      </c>
      <c r="J116" s="2827"/>
    </row>
    <row r="117" spans="1:27" ht="13.5" thickBot="1">
      <c r="A117" s="3502"/>
      <c r="B117" s="3503"/>
      <c r="C117" s="2784" t="s">
        <v>2730</v>
      </c>
      <c r="D117" s="52">
        <f>ROUND(IF(D116=D110,D111,IF(H19="元",D116/B125,D116*10000/B125)),0)</f>
        <v>39384</v>
      </c>
      <c r="E117" s="1428"/>
      <c r="F117" s="3525"/>
      <c r="G117" s="3526"/>
      <c r="H117" s="2789" t="s">
        <v>2723</v>
      </c>
      <c r="I117" s="2773" t="str">
        <f>D121</f>
        <v>——</v>
      </c>
      <c r="J117" s="2811"/>
    </row>
    <row r="118" spans="1:27" ht="15.75">
      <c r="A118" s="3502" t="str">
        <f>IF(项目基本情况!F5="已注销及未注销","4.抵押担保权已注销时的房地产抵押价值",IF(项目基本情况!F5="已注销","3.抵押担保权已注销时的房地产抵押价值","——"))</f>
        <v>——</v>
      </c>
      <c r="B118" s="3503"/>
      <c r="C118" s="2784" t="str">
        <f>B103</f>
        <v>总价（万元）</v>
      </c>
      <c r="D118" s="2785" t="str">
        <f>IF(A118="——","——",D110-D114-D115)</f>
        <v>——</v>
      </c>
      <c r="E118" s="1428"/>
      <c r="F118" s="3529"/>
      <c r="G118" s="3529"/>
      <c r="H118" s="3530"/>
      <c r="I118" s="3530"/>
      <c r="J118" s="2831"/>
      <c r="O118" s="32"/>
      <c r="P118" s="32"/>
    </row>
    <row r="119" spans="1:27" s="1275" customFormat="1" ht="12.75">
      <c r="A119" s="3502"/>
      <c r="B119" s="3503"/>
      <c r="C119" s="2784" t="s">
        <v>2730</v>
      </c>
      <c r="D119" s="52" t="str">
        <f>IF(A118="——","——",IF(H19="元",ROUND(D118/B125,0),ROUND(D118*10000/B125,0)))</f>
        <v>——</v>
      </c>
      <c r="E119" s="1428"/>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832"/>
      <c r="K119" s="658"/>
      <c r="L119" s="658"/>
      <c r="M119" s="658"/>
      <c r="N119" s="658"/>
      <c r="O119" s="32"/>
      <c r="P119" s="32"/>
      <c r="Q119" s="658"/>
      <c r="R119" s="658"/>
      <c r="S119" s="658"/>
      <c r="T119" s="658"/>
      <c r="U119" s="658"/>
      <c r="V119" s="658"/>
      <c r="W119" s="658"/>
      <c r="X119" s="658"/>
      <c r="Y119" s="658"/>
      <c r="Z119" s="658"/>
      <c r="AA119" s="658"/>
    </row>
    <row r="120" spans="1:27" s="1275" customFormat="1" ht="12.75">
      <c r="A120" s="3502" t="str">
        <f>IF(项目基本情况!G5="抵押净值",IF(OR(项目基本情况!F5="已注销",项目基本情况!F5="房地产抵押价值"),"4.抵押净值","5.抵押净值"),"——")</f>
        <v>——</v>
      </c>
      <c r="B120" s="3503"/>
      <c r="C120" s="2784" t="str">
        <f>B103</f>
        <v>总价（万元）</v>
      </c>
      <c r="D120" s="2785" t="str">
        <f>IF(A120="——","——",O61)</f>
        <v>——</v>
      </c>
      <c r="E120" s="1428"/>
      <c r="F120" s="1482"/>
      <c r="G120" s="1482"/>
      <c r="H120" s="1482"/>
      <c r="I120" s="1482"/>
      <c r="J120" s="2832"/>
      <c r="K120" s="658"/>
      <c r="L120" s="658"/>
      <c r="M120" s="658"/>
      <c r="N120" s="658"/>
      <c r="O120" s="32"/>
      <c r="P120" s="32"/>
      <c r="Q120" s="658"/>
      <c r="R120" s="658"/>
      <c r="S120" s="658"/>
      <c r="T120" s="658"/>
      <c r="U120" s="658"/>
      <c r="V120" s="658"/>
      <c r="W120" s="658"/>
      <c r="X120" s="658"/>
      <c r="Y120" s="658"/>
      <c r="Z120" s="658"/>
      <c r="AA120" s="658"/>
    </row>
    <row r="121" spans="1:27" s="1275" customFormat="1" ht="13.5" thickBot="1">
      <c r="A121" s="3527"/>
      <c r="B121" s="3528"/>
      <c r="C121" s="2789" t="s">
        <v>2730</v>
      </c>
      <c r="D121" s="2773" t="str">
        <f>IF(D120=D110,D111,IF(A120="——","——",O63))</f>
        <v>——</v>
      </c>
      <c r="E121" s="1428"/>
      <c r="F121" s="1482"/>
      <c r="G121" s="1482"/>
      <c r="H121" s="1482"/>
      <c r="I121" s="1482"/>
      <c r="J121" s="2832"/>
      <c r="K121" s="658"/>
      <c r="L121" s="658"/>
      <c r="M121" s="658"/>
      <c r="N121" s="658"/>
      <c r="O121" s="32"/>
      <c r="P121" s="32"/>
      <c r="Q121" s="658"/>
      <c r="R121" s="658"/>
      <c r="S121" s="658"/>
      <c r="T121" s="658"/>
      <c r="U121" s="658"/>
      <c r="V121" s="658"/>
      <c r="W121" s="658"/>
      <c r="X121" s="658"/>
      <c r="Y121" s="658"/>
      <c r="Z121" s="658"/>
      <c r="AA121" s="658"/>
    </row>
    <row r="122" spans="1:27" s="1275" customFormat="1" ht="15">
      <c r="A122" s="3532" t="s">
        <v>1854</v>
      </c>
      <c r="B122" s="3533"/>
      <c r="C122" s="3533"/>
      <c r="D122" s="3533"/>
      <c r="E122" s="3533"/>
      <c r="F122" s="3533"/>
      <c r="G122" s="3533"/>
      <c r="H122" s="3533"/>
      <c r="I122" s="3533"/>
      <c r="J122" s="2833"/>
      <c r="K122" s="658"/>
      <c r="L122" s="658"/>
      <c r="M122" s="658"/>
      <c r="N122" s="658"/>
      <c r="O122" s="658"/>
      <c r="P122" s="658"/>
      <c r="Q122" s="658"/>
      <c r="R122" s="658"/>
      <c r="S122" s="658"/>
      <c r="T122" s="658"/>
      <c r="U122" s="658"/>
      <c r="V122" s="658"/>
      <c r="W122" s="658"/>
      <c r="X122" s="658"/>
      <c r="Y122" s="658"/>
      <c r="Z122" s="658"/>
      <c r="AA122" s="658"/>
    </row>
    <row r="123" spans="1:27" s="1275" customFormat="1" ht="12.75">
      <c r="A123" s="3474" t="s">
        <v>2734</v>
      </c>
      <c r="B123" s="3520" t="s">
        <v>2735</v>
      </c>
      <c r="C123" s="3520" t="s">
        <v>2741</v>
      </c>
      <c r="D123" s="3522" t="s">
        <v>2736</v>
      </c>
      <c r="E123" s="3523"/>
      <c r="F123" s="3452" t="s">
        <v>2742</v>
      </c>
      <c r="G123" s="3452"/>
      <c r="H123" s="3452" t="s">
        <v>2737</v>
      </c>
      <c r="I123" s="3524"/>
      <c r="J123" s="2811"/>
      <c r="K123" s="658"/>
      <c r="L123" s="658"/>
      <c r="M123" s="658"/>
      <c r="N123" s="658"/>
      <c r="O123" s="658"/>
      <c r="P123" s="658"/>
      <c r="Q123" s="658"/>
      <c r="R123" s="658"/>
      <c r="S123" s="658"/>
      <c r="T123" s="658"/>
      <c r="U123" s="658"/>
      <c r="V123" s="658"/>
      <c r="W123" s="658"/>
      <c r="X123" s="658"/>
      <c r="Y123" s="658"/>
      <c r="Z123" s="658"/>
      <c r="AA123" s="658"/>
    </row>
    <row r="124" spans="1:27" s="1275" customFormat="1" ht="12.75">
      <c r="A124" s="3474"/>
      <c r="B124" s="3521"/>
      <c r="C124" s="3521"/>
      <c r="D124" s="2059" t="s">
        <v>2738</v>
      </c>
      <c r="E124" s="2059" t="s">
        <v>2743</v>
      </c>
      <c r="F124" s="2059" t="s">
        <v>2738</v>
      </c>
      <c r="G124" s="2059" t="s">
        <v>2739</v>
      </c>
      <c r="H124" s="2059" t="s">
        <v>2738</v>
      </c>
      <c r="I124" s="52" t="s">
        <v>2739</v>
      </c>
      <c r="J124" s="2811"/>
      <c r="K124" s="658"/>
      <c r="L124" s="658"/>
      <c r="M124" s="658"/>
      <c r="N124" s="658"/>
      <c r="O124" s="658"/>
      <c r="P124" s="658"/>
      <c r="Q124" s="658"/>
      <c r="R124" s="658"/>
      <c r="S124" s="658"/>
      <c r="T124" s="658"/>
      <c r="U124" s="658"/>
      <c r="V124" s="658"/>
      <c r="W124" s="658"/>
      <c r="X124" s="658"/>
      <c r="Y124" s="658"/>
      <c r="Z124" s="658"/>
      <c r="AA124" s="658"/>
    </row>
    <row r="125" spans="1:27" s="1275" customFormat="1" ht="12.75">
      <c r="A125" s="2049" t="str">
        <f>项目基本情况!I1</f>
        <v>北京市房地产</v>
      </c>
      <c r="B125" s="2059">
        <f>典型户型修正!B25</f>
        <v>362.84</v>
      </c>
      <c r="C125" s="1423"/>
      <c r="D125" s="2059">
        <f>C36</f>
        <v>0</v>
      </c>
      <c r="E125" s="2059">
        <f>ROUND(IF(H19="元",D125/B125,D125*10000/B125),0)</f>
        <v>0</v>
      </c>
      <c r="F125" s="2059">
        <f>C37</f>
        <v>0</v>
      </c>
      <c r="G125" s="2059">
        <f>ROUND(IF(H19="元",F125/B125,F125*10000/B125),0)</f>
        <v>0</v>
      </c>
      <c r="H125" s="2059">
        <f>C34</f>
        <v>1429</v>
      </c>
      <c r="I125" s="52">
        <f>C35</f>
        <v>39384</v>
      </c>
      <c r="J125" s="2811"/>
      <c r="K125" s="658"/>
      <c r="L125" s="658"/>
      <c r="M125" s="658"/>
      <c r="N125" s="658"/>
      <c r="O125" s="658"/>
      <c r="P125" s="658"/>
      <c r="Q125" s="658"/>
      <c r="R125" s="658"/>
      <c r="S125" s="658"/>
      <c r="T125" s="658"/>
      <c r="U125" s="658"/>
      <c r="V125" s="658"/>
      <c r="W125" s="658"/>
      <c r="X125" s="658"/>
      <c r="Y125" s="658"/>
      <c r="Z125" s="658"/>
      <c r="AA125" s="658"/>
    </row>
    <row r="126" spans="1:27" s="1275" customFormat="1" ht="12.75">
      <c r="A126" s="3474" t="s">
        <v>2740</v>
      </c>
      <c r="B126" s="3452"/>
      <c r="C126" s="3452"/>
      <c r="D126" s="3548" t="str">
        <f>IF(H19="元",NUMBERSTRING(INT(D125),2)&amp;"元整",NUMBERSTRING(INT(D125*10000),2)&amp;"元整")</f>
        <v>零元整</v>
      </c>
      <c r="E126" s="3549"/>
      <c r="F126" s="3548" t="str">
        <f>IF(H19="元",NUMBERSTRING(INT(F125),2)&amp;"元整",NUMBERSTRING(INT(F125*10000),2)&amp;"元整")</f>
        <v>零元整</v>
      </c>
      <c r="G126" s="3549"/>
      <c r="H126" s="3548" t="str">
        <f>IF(H19="元",NUMBERSTRING(INT(H125),2)&amp;"元整",NUMBERSTRING(INT(H125*10000),2)&amp;"元整")</f>
        <v>壹仟肆佰贰拾玖万元整</v>
      </c>
      <c r="I126" s="3550"/>
      <c r="J126" s="2834"/>
      <c r="K126" s="658"/>
      <c r="L126" s="658"/>
      <c r="M126" s="658"/>
      <c r="N126" s="658"/>
      <c r="O126" s="658"/>
      <c r="P126" s="658"/>
      <c r="Q126" s="658"/>
      <c r="R126" s="658"/>
      <c r="S126" s="658"/>
      <c r="T126" s="658"/>
      <c r="U126" s="658"/>
      <c r="V126" s="658"/>
      <c r="W126" s="658"/>
      <c r="X126" s="658"/>
      <c r="Y126" s="658"/>
      <c r="Z126" s="658"/>
      <c r="AA126" s="658"/>
    </row>
    <row r="127" spans="1:27" s="1275" customFormat="1" ht="12.75">
      <c r="A127" s="3494" t="str">
        <f>IF(项目基本情况!D5="房地产市场价值","——",MID(A112,3,LEN(A112)-2))</f>
        <v>估价师所知悉的法定优先受偿款</v>
      </c>
      <c r="B127" s="3496"/>
      <c r="C127" s="3495"/>
      <c r="D127" s="3501">
        <f>I107</f>
        <v>0</v>
      </c>
      <c r="E127" s="3496"/>
      <c r="F127" s="3496"/>
      <c r="G127" s="3496"/>
      <c r="H127" s="3496"/>
      <c r="I127" s="3497"/>
      <c r="J127" s="2827"/>
      <c r="K127" s="658"/>
      <c r="L127" s="658"/>
      <c r="M127" s="658"/>
      <c r="N127" s="658"/>
      <c r="O127" s="658"/>
      <c r="P127" s="658"/>
      <c r="Q127" s="658"/>
      <c r="R127" s="658"/>
      <c r="S127" s="658"/>
      <c r="T127" s="658"/>
      <c r="U127" s="658"/>
      <c r="V127" s="658"/>
      <c r="W127" s="658"/>
      <c r="X127" s="658"/>
      <c r="Y127" s="658"/>
      <c r="Z127" s="658"/>
      <c r="AA127" s="658"/>
    </row>
    <row r="128" spans="1:27" s="1275" customFormat="1" ht="12.75">
      <c r="A128" s="3544" t="s">
        <v>2740</v>
      </c>
      <c r="B128" s="3446"/>
      <c r="C128" s="3449"/>
      <c r="D128" s="3545">
        <f>H111</f>
        <v>0</v>
      </c>
      <c r="E128" s="3546"/>
      <c r="F128" s="3546"/>
      <c r="G128" s="3546"/>
      <c r="H128" s="3546"/>
      <c r="I128" s="3547"/>
      <c r="J128" s="2835"/>
      <c r="K128" s="658"/>
      <c r="L128" s="658"/>
      <c r="M128" s="658"/>
      <c r="N128" s="658"/>
      <c r="O128" s="658"/>
      <c r="P128" s="658"/>
      <c r="Q128" s="658"/>
      <c r="R128" s="658"/>
      <c r="S128" s="658"/>
      <c r="T128" s="658"/>
      <c r="U128" s="658"/>
      <c r="V128" s="658"/>
      <c r="W128" s="658"/>
      <c r="X128" s="658"/>
      <c r="Y128" s="658"/>
      <c r="Z128" s="658"/>
      <c r="AA128" s="658"/>
    </row>
    <row r="129" spans="1:27" s="1275" customFormat="1" ht="12.75">
      <c r="A129" s="3502" t="str">
        <f>IF(项目基本情况!D5="房地产市场价值","——",MID(A116,3,LEN(A116)-2))</f>
        <v>房地产抵押价值</v>
      </c>
      <c r="B129" s="3503"/>
      <c r="C129" s="3503"/>
      <c r="D129" s="3501">
        <f>I112</f>
        <v>1429</v>
      </c>
      <c r="E129" s="3496"/>
      <c r="F129" s="3496"/>
      <c r="G129" s="3496"/>
      <c r="H129" s="3496"/>
      <c r="I129" s="3497"/>
      <c r="J129" s="2827"/>
      <c r="K129" s="658"/>
      <c r="L129" s="658"/>
      <c r="M129" s="658"/>
      <c r="N129" s="658"/>
      <c r="O129" s="658"/>
      <c r="P129" s="658"/>
      <c r="Q129" s="658"/>
      <c r="R129" s="658"/>
      <c r="S129" s="658"/>
      <c r="T129" s="658"/>
      <c r="U129" s="658"/>
      <c r="V129" s="658"/>
      <c r="W129" s="658"/>
      <c r="X129" s="658"/>
      <c r="Y129" s="658"/>
      <c r="Z129" s="658"/>
      <c r="AA129" s="658"/>
    </row>
    <row r="130" spans="1:27" s="1275" customFormat="1" ht="12.75">
      <c r="A130" s="3474" t="s">
        <v>2740</v>
      </c>
      <c r="B130" s="3452"/>
      <c r="C130" s="3452"/>
      <c r="D130" s="3545">
        <f>I113</f>
        <v>39384</v>
      </c>
      <c r="E130" s="3546"/>
      <c r="F130" s="3546"/>
      <c r="G130" s="3546"/>
      <c r="H130" s="3546"/>
      <c r="I130" s="3547"/>
      <c r="J130" s="2835"/>
      <c r="K130" s="658"/>
      <c r="L130" s="658"/>
      <c r="M130" s="658"/>
      <c r="N130" s="658"/>
      <c r="O130" s="658"/>
      <c r="P130" s="658"/>
      <c r="Q130" s="658"/>
      <c r="R130" s="658"/>
      <c r="S130" s="658"/>
      <c r="T130" s="658"/>
      <c r="U130" s="658"/>
      <c r="V130" s="658"/>
      <c r="W130" s="658"/>
      <c r="X130" s="658"/>
      <c r="Y130" s="658"/>
      <c r="Z130" s="658"/>
      <c r="AA130" s="658"/>
    </row>
    <row r="131" spans="1:27" s="1275" customFormat="1" ht="13.5" thickBot="1">
      <c r="A131" s="3502" t="str">
        <f>IF(项目基本情况!D5="房地产市场价值","——",MID(A118,3,LEN(A118)-2))</f>
        <v/>
      </c>
      <c r="B131" s="3503"/>
      <c r="C131" s="3503"/>
      <c r="D131" s="3437" t="str">
        <f>I114</f>
        <v>——</v>
      </c>
      <c r="E131" s="3438"/>
      <c r="F131" s="3438"/>
      <c r="G131" s="3438"/>
      <c r="H131" s="3438"/>
      <c r="I131" s="3541"/>
      <c r="J131" s="2827"/>
      <c r="K131" s="658"/>
      <c r="L131" s="658"/>
      <c r="M131" s="658"/>
      <c r="N131" s="658"/>
      <c r="O131" s="658"/>
      <c r="P131" s="658"/>
      <c r="Q131" s="658"/>
      <c r="R131" s="658"/>
      <c r="S131" s="658"/>
      <c r="T131" s="658"/>
      <c r="U131" s="658"/>
      <c r="V131" s="658"/>
      <c r="W131" s="658"/>
      <c r="X131" s="658"/>
      <c r="Y131" s="658"/>
      <c r="Z131" s="658"/>
      <c r="AA131" s="658"/>
    </row>
    <row r="132" spans="1:27" s="1275" customFormat="1" ht="14.25" thickTop="1" thickBot="1">
      <c r="A132" s="3474" t="s">
        <v>2740</v>
      </c>
      <c r="B132" s="3452"/>
      <c r="C132" s="3448"/>
      <c r="D132" s="3542" t="str">
        <f>I115</f>
        <v>——</v>
      </c>
      <c r="E132" s="3542"/>
      <c r="F132" s="3542"/>
      <c r="G132" s="3542"/>
      <c r="H132" s="3542"/>
      <c r="I132" s="3542"/>
      <c r="J132" s="2835"/>
      <c r="K132" s="658"/>
      <c r="L132" s="658"/>
      <c r="M132" s="658"/>
      <c r="N132" s="658"/>
      <c r="O132" s="658"/>
      <c r="P132" s="658"/>
      <c r="Q132" s="658"/>
      <c r="R132" s="658"/>
      <c r="S132" s="658"/>
      <c r="T132" s="658"/>
      <c r="U132" s="658"/>
      <c r="V132" s="658"/>
      <c r="W132" s="658"/>
      <c r="X132" s="658"/>
      <c r="Y132" s="658"/>
      <c r="Z132" s="658"/>
      <c r="AA132" s="658"/>
    </row>
    <row r="133" spans="1:27" s="1275" customFormat="1" ht="14.25" thickTop="1" thickBot="1">
      <c r="A133" s="3502" t="str">
        <f>IF(项目基本情况!D5="房地产市场价值","——",MID(F116,3,LEN(F116)-2))</f>
        <v/>
      </c>
      <c r="B133" s="3503"/>
      <c r="C133" s="3501"/>
      <c r="D133" s="3543" t="str">
        <f>I116</f>
        <v>——</v>
      </c>
      <c r="E133" s="3543"/>
      <c r="F133" s="3543"/>
      <c r="G133" s="3543"/>
      <c r="H133" s="3543"/>
      <c r="I133" s="3543"/>
      <c r="J133" s="2827"/>
      <c r="K133" s="658"/>
      <c r="L133" s="658"/>
      <c r="M133" s="658"/>
      <c r="N133" s="658"/>
      <c r="O133" s="658"/>
      <c r="P133" s="658"/>
      <c r="Q133" s="658"/>
      <c r="R133" s="658"/>
      <c r="S133" s="658"/>
      <c r="T133" s="658"/>
      <c r="U133" s="658"/>
      <c r="V133" s="658"/>
      <c r="W133" s="658"/>
      <c r="X133" s="658"/>
      <c r="Y133" s="658"/>
      <c r="Z133" s="658"/>
      <c r="AA133" s="658"/>
    </row>
    <row r="134" spans="1:27" s="1275" customFormat="1" ht="14.25" thickTop="1" thickBot="1">
      <c r="A134" s="3471" t="s">
        <v>2740</v>
      </c>
      <c r="B134" s="3472"/>
      <c r="C134" s="3472"/>
      <c r="D134" s="3534">
        <f>H118</f>
        <v>0</v>
      </c>
      <c r="E134" s="3535"/>
      <c r="F134" s="3535"/>
      <c r="G134" s="3535"/>
      <c r="H134" s="3535"/>
      <c r="I134" s="3536"/>
      <c r="J134" s="2835"/>
      <c r="K134" s="658"/>
      <c r="L134" s="658"/>
      <c r="M134" s="658"/>
      <c r="N134" s="658"/>
      <c r="O134" s="658"/>
      <c r="P134" s="658"/>
      <c r="Q134" s="658"/>
      <c r="R134" s="658"/>
      <c r="S134" s="658"/>
      <c r="T134" s="658"/>
      <c r="U134" s="658"/>
      <c r="V134" s="658"/>
      <c r="W134" s="658"/>
      <c r="X134" s="658"/>
      <c r="Y134" s="658"/>
      <c r="Z134" s="658"/>
      <c r="AA134" s="658"/>
    </row>
    <row r="135" spans="1:27" s="1275"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6"/>
      <c r="K135" s="658"/>
      <c r="L135" s="658"/>
      <c r="M135" s="658"/>
      <c r="N135" s="658"/>
      <c r="O135" s="658"/>
      <c r="P135" s="658"/>
      <c r="Q135" s="658"/>
      <c r="R135" s="658"/>
      <c r="S135" s="658"/>
      <c r="T135" s="658"/>
      <c r="U135" s="658"/>
      <c r="V135" s="658"/>
      <c r="W135" s="658"/>
      <c r="X135" s="658"/>
      <c r="Y135" s="658"/>
      <c r="Z135" s="658"/>
      <c r="AA135" s="658"/>
    </row>
    <row r="136" spans="1:27" s="1275" customFormat="1" ht="13.5" thickBot="1">
      <c r="A136" s="3537" t="str">
        <f>IF(B33="总价","（以上估价结果中楼面单价为总价除以建筑面积得出）","（以上估价结果中总价为楼面单价乘以建筑面积得出）")</f>
        <v>（以上估价结果中总价为楼面单价乘以建筑面积得出）</v>
      </c>
      <c r="B136" s="3537"/>
      <c r="C136" s="3537"/>
      <c r="D136" s="3537"/>
      <c r="E136" s="3537"/>
      <c r="F136" s="3537"/>
      <c r="G136" s="3537"/>
      <c r="H136" s="3537"/>
      <c r="I136" s="3537"/>
      <c r="J136" s="2829"/>
      <c r="K136" s="658"/>
      <c r="L136" s="658"/>
      <c r="M136" s="658"/>
      <c r="N136" s="658"/>
      <c r="O136" s="658"/>
      <c r="P136" s="658"/>
      <c r="Q136" s="658"/>
      <c r="R136" s="658"/>
      <c r="S136" s="658"/>
      <c r="T136" s="658"/>
      <c r="U136" s="658"/>
      <c r="V136" s="658"/>
      <c r="W136" s="658"/>
      <c r="X136" s="658"/>
      <c r="Y136" s="658"/>
      <c r="Z136" s="658"/>
      <c r="AA136" s="658"/>
    </row>
    <row r="137" spans="1:27" s="1275" customFormat="1" ht="21.75" customHeight="1">
      <c r="A137" s="1458" t="s">
        <v>1817</v>
      </c>
      <c r="B137" s="1459"/>
      <c r="C137" s="1460" t="s">
        <v>1818</v>
      </c>
      <c r="D137" s="1461"/>
      <c r="E137" s="1461"/>
      <c r="F137" s="1461"/>
      <c r="G137" s="1461"/>
      <c r="H137" s="1462"/>
      <c r="I137" s="1463"/>
      <c r="J137" s="2837"/>
      <c r="K137" s="658"/>
      <c r="L137" s="658"/>
      <c r="M137" s="658"/>
      <c r="N137" s="658"/>
      <c r="O137" s="658"/>
      <c r="P137" s="658"/>
      <c r="Q137" s="658"/>
      <c r="R137" s="658"/>
      <c r="S137" s="658"/>
      <c r="T137" s="658"/>
      <c r="U137" s="658"/>
      <c r="V137" s="658"/>
      <c r="W137" s="658"/>
      <c r="X137" s="658"/>
      <c r="Y137" s="658"/>
      <c r="Z137" s="658"/>
      <c r="AA137" s="658"/>
    </row>
    <row r="138" spans="1:27" s="1275" customFormat="1" ht="21.75" customHeight="1">
      <c r="A138" s="1464">
        <v>1</v>
      </c>
      <c r="B138" s="1465"/>
      <c r="C138" s="1465"/>
      <c r="D138" s="1461"/>
      <c r="E138" s="1461"/>
      <c r="F138" s="1461"/>
      <c r="G138" s="1461"/>
      <c r="H138" s="1462"/>
      <c r="I138" s="1463"/>
      <c r="J138" s="2837"/>
      <c r="K138" s="658"/>
      <c r="L138" s="658"/>
      <c r="M138" s="658"/>
      <c r="N138" s="658"/>
      <c r="O138" s="658"/>
      <c r="P138" s="658"/>
      <c r="Q138" s="658"/>
      <c r="R138" s="658"/>
      <c r="S138" s="658"/>
      <c r="T138" s="658"/>
      <c r="U138" s="658"/>
      <c r="V138" s="658"/>
      <c r="W138" s="658"/>
      <c r="X138" s="658"/>
      <c r="Y138" s="658"/>
      <c r="Z138" s="658"/>
      <c r="AA138" s="658"/>
    </row>
    <row r="139" spans="1:27" s="1275" customFormat="1" ht="21.75" customHeight="1">
      <c r="A139" s="1464">
        <v>2</v>
      </c>
      <c r="B139" s="1465"/>
      <c r="C139" s="1465"/>
      <c r="D139" s="1461"/>
      <c r="E139" s="1461"/>
      <c r="F139" s="1461"/>
      <c r="G139" s="1461"/>
      <c r="H139" s="1462"/>
      <c r="I139" s="1463"/>
      <c r="J139" s="2837"/>
      <c r="K139" s="658"/>
      <c r="L139" s="658"/>
      <c r="M139" s="658"/>
      <c r="N139" s="658"/>
      <c r="O139" s="658"/>
      <c r="P139" s="658"/>
      <c r="Q139" s="658"/>
      <c r="R139" s="658"/>
      <c r="S139" s="658"/>
      <c r="T139" s="658"/>
      <c r="U139" s="658"/>
      <c r="V139" s="658"/>
      <c r="W139" s="658"/>
      <c r="X139" s="658"/>
      <c r="Y139" s="658"/>
      <c r="Z139" s="658"/>
      <c r="AA139" s="658"/>
    </row>
    <row r="140" spans="1:27" s="1275" customFormat="1" ht="21.75" customHeight="1">
      <c r="A140" s="1464">
        <v>3</v>
      </c>
      <c r="B140" s="1465"/>
      <c r="C140" s="1465"/>
      <c r="D140" s="1461"/>
      <c r="E140" s="1461"/>
      <c r="F140" s="32"/>
      <c r="G140" s="32"/>
      <c r="H140" s="32"/>
      <c r="I140" s="32"/>
      <c r="J140" s="2838"/>
      <c r="K140" s="658"/>
      <c r="L140" s="658"/>
      <c r="M140" s="658"/>
      <c r="N140" s="658"/>
      <c r="O140" s="658"/>
      <c r="P140" s="658"/>
      <c r="Q140" s="658"/>
      <c r="R140" s="658"/>
      <c r="S140" s="658"/>
      <c r="T140" s="658"/>
      <c r="U140" s="658"/>
      <c r="V140" s="658"/>
      <c r="W140" s="658"/>
      <c r="X140" s="658"/>
      <c r="Y140" s="658"/>
      <c r="Z140" s="658"/>
      <c r="AA140" s="658"/>
    </row>
    <row r="141" spans="1:27" s="1275" customFormat="1" ht="21.75" customHeight="1">
      <c r="A141" s="1466"/>
      <c r="B141" s="1467"/>
      <c r="C141" s="1467"/>
      <c r="D141" s="1468"/>
      <c r="E141" s="1468"/>
      <c r="F141" s="1468"/>
      <c r="G141" s="1468"/>
      <c r="H141" s="1469"/>
      <c r="I141" s="1470"/>
      <c r="J141" s="2837"/>
      <c r="K141" s="658"/>
      <c r="L141" s="658"/>
      <c r="M141" s="658"/>
      <c r="N141" s="658"/>
      <c r="O141" s="658"/>
      <c r="P141" s="658"/>
      <c r="Q141" s="658"/>
      <c r="R141" s="658"/>
      <c r="S141" s="658"/>
      <c r="T141" s="658"/>
      <c r="U141" s="658"/>
      <c r="V141" s="658"/>
      <c r="W141" s="658"/>
      <c r="X141" s="658"/>
      <c r="Y141" s="658"/>
      <c r="Z141" s="658"/>
      <c r="AA141" s="658"/>
    </row>
    <row r="142" spans="1:27" s="1275" customFormat="1" ht="21.75" customHeight="1">
      <c r="A142" s="1465"/>
      <c r="B142" s="1465"/>
      <c r="C142" s="1465"/>
      <c r="D142" s="1461"/>
      <c r="E142" s="1461"/>
      <c r="F142" s="1461"/>
      <c r="G142" s="1461"/>
      <c r="H142" s="1462"/>
      <c r="I142" s="658"/>
      <c r="J142" s="2838"/>
      <c r="K142" s="658"/>
      <c r="L142" s="658"/>
      <c r="M142" s="658"/>
      <c r="N142" s="658"/>
      <c r="O142" s="658"/>
      <c r="P142" s="658"/>
      <c r="Q142" s="658"/>
      <c r="R142" s="658"/>
      <c r="S142" s="658"/>
      <c r="T142" s="658"/>
      <c r="U142" s="658"/>
      <c r="V142" s="658"/>
      <c r="W142" s="658"/>
      <c r="X142" s="658"/>
      <c r="Y142" s="658"/>
      <c r="Z142" s="658"/>
      <c r="AA142" s="658"/>
    </row>
    <row r="143" spans="1:27" s="1275" customFormat="1" ht="21.75" customHeight="1">
      <c r="A143" s="658"/>
      <c r="B143" s="658"/>
      <c r="C143" s="658"/>
      <c r="D143" s="658"/>
      <c r="E143" s="658"/>
      <c r="F143" s="1471" t="s">
        <v>1819</v>
      </c>
      <c r="G143" s="1472"/>
      <c r="H143" s="1472"/>
      <c r="I143" s="1473" t="s">
        <v>1820</v>
      </c>
      <c r="J143" s="2839"/>
      <c r="K143" s="658"/>
      <c r="L143" s="658"/>
      <c r="M143" s="658"/>
      <c r="N143" s="658"/>
      <c r="O143" s="658"/>
      <c r="P143" s="658"/>
      <c r="Q143" s="658"/>
      <c r="R143" s="658"/>
      <c r="S143" s="658"/>
      <c r="T143" s="658"/>
      <c r="U143" s="658"/>
      <c r="V143" s="658"/>
      <c r="W143" s="658"/>
      <c r="X143" s="658"/>
      <c r="Y143" s="658"/>
      <c r="Z143" s="658"/>
      <c r="AA143" s="658"/>
    </row>
    <row r="144" spans="1:27" s="1275" customFormat="1" ht="21.75" customHeight="1">
      <c r="A144" s="658"/>
      <c r="B144" s="1474" t="s">
        <v>1821</v>
      </c>
      <c r="C144" s="658"/>
      <c r="D144" s="658"/>
      <c r="E144" s="658"/>
      <c r="F144" s="658"/>
      <c r="G144" s="658"/>
      <c r="H144" s="658"/>
      <c r="I144" s="658"/>
      <c r="J144" s="2838"/>
      <c r="K144" s="658"/>
      <c r="L144" s="658"/>
      <c r="M144" s="658"/>
      <c r="N144" s="658"/>
      <c r="O144" s="658"/>
      <c r="P144" s="658"/>
      <c r="Q144" s="658"/>
      <c r="R144" s="658"/>
      <c r="S144" s="658"/>
      <c r="T144" s="658"/>
      <c r="U144" s="658"/>
      <c r="V144" s="658"/>
      <c r="W144" s="658"/>
      <c r="X144" s="658"/>
      <c r="Y144" s="658"/>
      <c r="Z144" s="658"/>
      <c r="AA144" s="658"/>
    </row>
    <row r="145" spans="1:27" s="1275" customFormat="1" ht="21.75" customHeight="1">
      <c r="A145" s="658"/>
      <c r="B145" s="658"/>
      <c r="C145" s="658"/>
      <c r="D145" s="658"/>
      <c r="E145" s="658"/>
      <c r="F145" s="658"/>
      <c r="G145" s="658"/>
      <c r="H145" s="658"/>
      <c r="I145" s="658"/>
      <c r="J145" s="2838"/>
      <c r="K145" s="658"/>
      <c r="L145" s="658"/>
      <c r="M145" s="658"/>
      <c r="N145" s="658"/>
      <c r="O145" s="658"/>
      <c r="P145" s="658"/>
      <c r="Q145" s="658"/>
      <c r="R145" s="658"/>
      <c r="S145" s="658"/>
      <c r="T145" s="658"/>
      <c r="U145" s="658"/>
      <c r="V145" s="658"/>
      <c r="W145" s="658"/>
      <c r="X145" s="658"/>
      <c r="Y145" s="658"/>
      <c r="Z145" s="658"/>
      <c r="AA145" s="658"/>
    </row>
    <row r="146" spans="1:27" s="1275" customFormat="1" ht="21.75" customHeight="1">
      <c r="A146" s="658"/>
      <c r="B146" s="1472"/>
      <c r="C146" s="1472"/>
      <c r="D146" s="1472"/>
      <c r="E146" s="1472"/>
      <c r="F146" s="1472"/>
      <c r="G146" s="1472"/>
      <c r="H146" s="1472"/>
      <c r="I146" s="1473" t="s">
        <v>1822</v>
      </c>
      <c r="J146" s="2839"/>
      <c r="K146" s="658"/>
      <c r="L146" s="658"/>
      <c r="M146" s="658"/>
      <c r="N146" s="658"/>
      <c r="O146" s="658"/>
      <c r="P146" s="658"/>
      <c r="Q146" s="658"/>
      <c r="R146" s="658"/>
      <c r="S146" s="658"/>
      <c r="T146" s="658"/>
      <c r="U146" s="658"/>
      <c r="V146" s="658"/>
      <c r="W146" s="658"/>
      <c r="X146" s="658"/>
      <c r="Y146" s="658"/>
      <c r="Z146" s="658"/>
      <c r="AA146" s="658"/>
    </row>
    <row r="147" spans="1:27" s="1275" customFormat="1" ht="21.75" customHeight="1">
      <c r="A147" s="658"/>
      <c r="B147" s="1474" t="s">
        <v>1823</v>
      </c>
      <c r="C147" s="658"/>
      <c r="D147" s="658"/>
      <c r="E147" s="658"/>
      <c r="F147" s="658"/>
      <c r="G147" s="658"/>
      <c r="H147" s="658"/>
      <c r="I147" s="658"/>
      <c r="J147" s="2838"/>
      <c r="K147" s="658"/>
      <c r="L147" s="658"/>
      <c r="M147" s="658"/>
      <c r="N147" s="658"/>
      <c r="O147" s="658"/>
      <c r="P147" s="658"/>
      <c r="Q147" s="658"/>
      <c r="R147" s="658"/>
      <c r="S147" s="658"/>
      <c r="T147" s="658"/>
      <c r="U147" s="658"/>
      <c r="V147" s="658"/>
      <c r="W147" s="658"/>
      <c r="X147" s="658"/>
      <c r="Y147" s="658"/>
      <c r="Z147" s="658"/>
      <c r="AA147" s="658"/>
    </row>
    <row r="148" spans="1:27" s="1275" customFormat="1" ht="21.75" customHeight="1">
      <c r="A148" s="658"/>
      <c r="B148" s="1474"/>
      <c r="C148" s="658"/>
      <c r="D148" s="658"/>
      <c r="E148" s="658"/>
      <c r="F148" s="658"/>
      <c r="G148" s="658"/>
      <c r="H148" s="658"/>
      <c r="I148" s="658"/>
      <c r="J148" s="2838"/>
      <c r="K148" s="658"/>
      <c r="L148" s="658"/>
      <c r="M148" s="658"/>
      <c r="N148" s="658"/>
      <c r="O148" s="658"/>
      <c r="P148" s="658"/>
      <c r="Q148" s="658"/>
      <c r="R148" s="658"/>
      <c r="S148" s="658"/>
      <c r="T148" s="658"/>
      <c r="U148" s="658"/>
      <c r="V148" s="658"/>
      <c r="W148" s="658"/>
      <c r="X148" s="658"/>
      <c r="Y148" s="658"/>
      <c r="Z148" s="658"/>
      <c r="AA148" s="658"/>
    </row>
    <row r="149" spans="1:27" s="1275" customFormat="1" ht="21.75" customHeight="1">
      <c r="A149" s="658"/>
      <c r="B149" s="1472"/>
      <c r="C149" s="1472"/>
      <c r="D149" s="1472"/>
      <c r="E149" s="1472"/>
      <c r="F149" s="1472"/>
      <c r="G149" s="1472"/>
      <c r="H149" s="1472"/>
      <c r="I149" s="1473" t="s">
        <v>1822</v>
      </c>
      <c r="J149" s="2839"/>
      <c r="K149" s="658"/>
      <c r="L149" s="658"/>
      <c r="M149" s="658"/>
      <c r="N149" s="658"/>
      <c r="O149" s="658"/>
      <c r="P149" s="658"/>
      <c r="Q149" s="658"/>
      <c r="R149" s="658"/>
      <c r="S149" s="658"/>
      <c r="T149" s="658"/>
      <c r="U149" s="658"/>
      <c r="V149" s="658"/>
      <c r="W149" s="658"/>
      <c r="X149" s="658"/>
      <c r="Y149" s="658"/>
      <c r="Z149" s="658"/>
      <c r="AA149" s="658"/>
    </row>
    <row r="150" spans="1:27" s="1275" customFormat="1" ht="21.75" customHeight="1">
      <c r="A150" s="658"/>
      <c r="B150" s="1474"/>
      <c r="C150" s="1475"/>
      <c r="D150" s="1476"/>
      <c r="E150" s="1476"/>
      <c r="F150" s="1477"/>
      <c r="G150" s="658"/>
      <c r="H150" s="658"/>
      <c r="I150" s="658"/>
      <c r="J150" s="2838"/>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4"/>
      <c r="C151" s="1475"/>
      <c r="D151" s="1476"/>
      <c r="E151" s="1476"/>
      <c r="J151" s="2838"/>
    </row>
    <row r="152" spans="1:27" s="658" customFormat="1" ht="21.75" customHeight="1">
      <c r="J152" s="2838"/>
    </row>
    <row r="153" spans="1:27" s="658" customFormat="1" ht="21.75" customHeight="1">
      <c r="J153" s="2838"/>
    </row>
    <row r="154" spans="1:27" s="658" customFormat="1" ht="21.75" customHeight="1">
      <c r="J154" s="2838"/>
    </row>
    <row r="155" spans="1:27" s="658" customFormat="1" ht="21.75" customHeight="1">
      <c r="J155" s="2838"/>
    </row>
    <row r="156" spans="1:27" s="658" customFormat="1" ht="21.75" customHeight="1">
      <c r="J156" s="2838"/>
    </row>
    <row r="157" spans="1:27" s="658" customFormat="1" ht="21.75" customHeight="1">
      <c r="J157" s="2838"/>
    </row>
    <row r="158" spans="1:27" s="658" customFormat="1" ht="21.75" customHeight="1">
      <c r="J158" s="2838"/>
    </row>
    <row r="159" spans="1:27" s="658" customFormat="1" ht="21.75" customHeight="1">
      <c r="J159" s="2838"/>
    </row>
    <row r="160" spans="1:27" s="658" customFormat="1" ht="21.75" customHeight="1">
      <c r="J160" s="2838"/>
    </row>
    <row r="161" spans="10:10" s="658" customFormat="1" ht="21.75" customHeight="1">
      <c r="J161" s="2838"/>
    </row>
    <row r="162" spans="10:10" s="658" customFormat="1" ht="21.75" customHeight="1">
      <c r="J162" s="2838"/>
    </row>
    <row r="163" spans="10:10" s="658" customFormat="1" ht="21.75" customHeight="1">
      <c r="J163" s="2838"/>
    </row>
    <row r="164" spans="10:10" s="658" customFormat="1" ht="21.75" customHeight="1">
      <c r="J164" s="2838"/>
    </row>
    <row r="165" spans="10:10" s="658" customFormat="1" ht="21.75" customHeight="1">
      <c r="J165" s="2838"/>
    </row>
    <row r="166" spans="10:10" s="658" customFormat="1" ht="21.75" customHeight="1">
      <c r="J166" s="2838"/>
    </row>
    <row r="167" spans="10:10" s="658" customFormat="1" ht="21.75" customHeight="1">
      <c r="J167" s="2838"/>
    </row>
    <row r="168" spans="10:10" s="658" customFormat="1" ht="21.75" customHeight="1">
      <c r="J168" s="2838"/>
    </row>
    <row r="169" spans="10:10" s="658" customFormat="1" ht="21.75" customHeight="1">
      <c r="J169" s="2838"/>
    </row>
    <row r="170" spans="10:10" s="658" customFormat="1" ht="21.75" customHeight="1">
      <c r="J170" s="2838"/>
    </row>
    <row r="171" spans="10:10" s="658" customFormat="1" ht="21.75" customHeight="1">
      <c r="J171" s="2838"/>
    </row>
    <row r="172" spans="10:10" s="658" customFormat="1" ht="21.75" customHeight="1">
      <c r="J172" s="2838"/>
    </row>
    <row r="173" spans="10:10" s="658" customFormat="1" ht="21.75" customHeight="1">
      <c r="J173" s="2838"/>
    </row>
    <row r="174" spans="10:10" s="658" customFormat="1" ht="21.75" customHeight="1">
      <c r="J174" s="2838"/>
    </row>
    <row r="175" spans="10:10" s="658" customFormat="1" ht="21.75" customHeight="1">
      <c r="J175" s="2838"/>
    </row>
    <row r="176" spans="10:10" s="658" customFormat="1" ht="21.75" customHeight="1">
      <c r="J176" s="2838"/>
    </row>
    <row r="177" spans="10:10" s="658" customFormat="1" ht="21.75" customHeight="1">
      <c r="J177" s="2838"/>
    </row>
    <row r="178" spans="10:10" s="658" customFormat="1" ht="21.75" customHeight="1">
      <c r="J178" s="2838"/>
    </row>
    <row r="179" spans="10:10" s="658" customFormat="1" ht="21.75" customHeight="1">
      <c r="J179" s="2838"/>
    </row>
    <row r="180" spans="10:10" s="658" customFormat="1" ht="21.75" customHeight="1">
      <c r="J180" s="2838"/>
    </row>
    <row r="181" spans="10:10" s="658" customFormat="1" ht="21.75" customHeight="1">
      <c r="J181" s="2838"/>
    </row>
    <row r="182" spans="10:10" s="658" customFormat="1" ht="21.75" customHeight="1">
      <c r="J182" s="2838"/>
    </row>
    <row r="183" spans="10:10" s="658" customFormat="1" ht="21.75" customHeight="1">
      <c r="J183" s="2838"/>
    </row>
    <row r="184" spans="10:10" s="658" customFormat="1" ht="21.75" customHeight="1">
      <c r="J184" s="2838"/>
    </row>
    <row r="185" spans="10:10" s="658" customFormat="1" ht="21.75" customHeight="1">
      <c r="J185" s="2838"/>
    </row>
    <row r="186" spans="10:10" s="658" customFormat="1" ht="21.75" customHeight="1">
      <c r="J186" s="2838"/>
    </row>
    <row r="187" spans="10:10" s="658" customFormat="1" ht="21.75" customHeight="1">
      <c r="J187" s="2838"/>
    </row>
    <row r="188" spans="10:10" s="658" customFormat="1" ht="21.75" customHeight="1">
      <c r="J188" s="2838"/>
    </row>
    <row r="189" spans="10:10" s="658" customFormat="1" ht="21.75" customHeight="1">
      <c r="J189" s="2838"/>
    </row>
    <row r="190" spans="10:10" s="658" customFormat="1" ht="21.75" customHeight="1">
      <c r="J190" s="2838"/>
    </row>
    <row r="191" spans="10:10" s="658" customFormat="1" ht="21.75" customHeight="1">
      <c r="J191" s="2838"/>
    </row>
    <row r="192" spans="10:10" s="658" customFormat="1" ht="21.75" customHeight="1">
      <c r="J192" s="2838"/>
    </row>
    <row r="193" spans="10:10" s="658" customFormat="1" ht="21.75" customHeight="1">
      <c r="J193" s="2838"/>
    </row>
    <row r="194" spans="10:10" s="658" customFormat="1" ht="21.75" customHeight="1">
      <c r="J194" s="2838"/>
    </row>
    <row r="195" spans="10:10" s="658" customFormat="1" ht="21.75" customHeight="1">
      <c r="J195" s="2838"/>
    </row>
    <row r="196" spans="10:10" s="658" customFormat="1" ht="21.75" customHeight="1">
      <c r="J196" s="2838"/>
    </row>
    <row r="197" spans="10:10" s="658" customFormat="1" ht="21.75" customHeight="1">
      <c r="J197" s="2838"/>
    </row>
    <row r="198" spans="10:10" s="658" customFormat="1" ht="21.75" customHeight="1">
      <c r="J198" s="2838"/>
    </row>
    <row r="199" spans="10:10" s="658" customFormat="1" ht="21.75" customHeight="1">
      <c r="J199" s="2838"/>
    </row>
    <row r="200" spans="10:10" s="658" customFormat="1" ht="21.75" customHeight="1">
      <c r="J200" s="2838"/>
    </row>
    <row r="201" spans="10:10" s="658" customFormat="1" ht="21.75" customHeight="1">
      <c r="J201" s="2838"/>
    </row>
    <row r="202" spans="10:10" s="658" customFormat="1" ht="21.75" customHeight="1">
      <c r="J202" s="2838"/>
    </row>
    <row r="203" spans="10:10" s="658" customFormat="1" ht="21.75" customHeight="1">
      <c r="J203" s="2838"/>
    </row>
    <row r="204" spans="10:10" s="658" customFormat="1" ht="21.75" customHeight="1">
      <c r="J204" s="2838"/>
    </row>
    <row r="205" spans="10:10" s="658" customFormat="1" ht="21.75" customHeight="1">
      <c r="J205" s="2838"/>
    </row>
    <row r="206" spans="10:10" s="658" customFormat="1" ht="21.75" customHeight="1">
      <c r="J206" s="2838"/>
    </row>
    <row r="207" spans="10:10" s="658" customFormat="1" ht="21.75" customHeight="1">
      <c r="J207" s="2838"/>
    </row>
    <row r="208" spans="10:10" s="658" customFormat="1" ht="21.75" customHeight="1">
      <c r="J208" s="2838"/>
    </row>
    <row r="209" spans="10:10" s="658" customFormat="1" ht="21.75" customHeight="1">
      <c r="J209" s="2838"/>
    </row>
    <row r="210" spans="10:10" s="658" customFormat="1" ht="21.75" customHeight="1">
      <c r="J210" s="2838"/>
    </row>
    <row r="211" spans="10:10" s="658" customFormat="1" ht="21.75" customHeight="1">
      <c r="J211" s="2838"/>
    </row>
    <row r="212" spans="10:10" s="658" customFormat="1" ht="21.75" customHeight="1">
      <c r="J212" s="2838"/>
    </row>
    <row r="213" spans="10:10" s="658" customFormat="1" ht="21.75" customHeight="1">
      <c r="J213" s="2838"/>
    </row>
    <row r="214" spans="10:10" s="658" customFormat="1" ht="21.75" customHeight="1">
      <c r="J214" s="2838"/>
    </row>
    <row r="215" spans="10:10" s="658" customFormat="1" ht="21.75" customHeight="1">
      <c r="J215" s="2838"/>
    </row>
    <row r="216" spans="10:10" s="658" customFormat="1" ht="21.75" customHeight="1">
      <c r="J216" s="2838"/>
    </row>
    <row r="217" spans="10:10" s="658" customFormat="1" ht="21.75" customHeight="1">
      <c r="J217" s="2838"/>
    </row>
    <row r="218" spans="10:10" s="658" customFormat="1" ht="21.75" customHeight="1">
      <c r="J218" s="2838"/>
    </row>
    <row r="219" spans="10:10" s="658" customFormat="1" ht="21.75" customHeight="1">
      <c r="J219" s="2838"/>
    </row>
    <row r="220" spans="10:10" s="658" customFormat="1" ht="21.75" customHeight="1">
      <c r="J220" s="2838"/>
    </row>
    <row r="221" spans="10:10" s="658" customFormat="1" ht="21.75" customHeight="1">
      <c r="J221" s="2838"/>
    </row>
    <row r="222" spans="10:10" s="658" customFormat="1" ht="21.75" customHeight="1">
      <c r="J222" s="2838"/>
    </row>
    <row r="223" spans="10:10" s="658" customFormat="1" ht="21.75" customHeight="1">
      <c r="J223" s="2838"/>
    </row>
    <row r="224" spans="10:10" s="658" customFormat="1" ht="21.75" customHeight="1">
      <c r="J224" s="2838"/>
    </row>
    <row r="225" spans="10:10" s="658" customFormat="1" ht="21.75" customHeight="1">
      <c r="J225" s="2838"/>
    </row>
    <row r="226" spans="10:10" s="658" customFormat="1" ht="21.75" customHeight="1">
      <c r="J226" s="2838"/>
    </row>
    <row r="227" spans="10:10" s="658" customFormat="1" ht="21.75" customHeight="1">
      <c r="J227" s="2838"/>
    </row>
    <row r="228" spans="10:10" s="658" customFormat="1" ht="21.75" customHeight="1">
      <c r="J228" s="2838"/>
    </row>
    <row r="229" spans="10:10" s="658" customFormat="1" ht="21.75" customHeight="1">
      <c r="J229" s="2838"/>
    </row>
    <row r="230" spans="10:10" s="658" customFormat="1" ht="21.75" customHeight="1">
      <c r="J230" s="2838"/>
    </row>
    <row r="231" spans="10:10" s="658" customFormat="1" ht="21.75" customHeight="1">
      <c r="J231" s="2838"/>
    </row>
    <row r="232" spans="10:10" s="658" customFormat="1" ht="21.75" customHeight="1">
      <c r="J232" s="2838"/>
    </row>
    <row r="233" spans="10:10" s="658" customFormat="1" ht="21.75" customHeight="1">
      <c r="J233" s="2838"/>
    </row>
    <row r="234" spans="10:10" s="658" customFormat="1" ht="21.75" customHeight="1">
      <c r="J234" s="2838"/>
    </row>
    <row r="235" spans="10:10" s="658" customFormat="1" ht="21.75" customHeight="1">
      <c r="J235" s="2838"/>
    </row>
    <row r="236" spans="10:10" s="658" customFormat="1" ht="21.75" customHeight="1">
      <c r="J236" s="2838"/>
    </row>
    <row r="237" spans="10:10" s="658" customFormat="1" ht="21.75" customHeight="1">
      <c r="J237" s="2838"/>
    </row>
    <row r="238" spans="10:10" s="658" customFormat="1" ht="21.75" customHeight="1">
      <c r="J238" s="2838"/>
    </row>
    <row r="239" spans="10:10" s="658" customFormat="1" ht="21.75" customHeight="1">
      <c r="J239" s="2838"/>
    </row>
    <row r="240" spans="10:10" s="658" customFormat="1" ht="21.75" customHeight="1">
      <c r="J240" s="2838"/>
    </row>
    <row r="241" spans="10:10" s="658" customFormat="1" ht="21.75" customHeight="1">
      <c r="J241" s="2838"/>
    </row>
    <row r="242" spans="10:10" s="658" customFormat="1" ht="21.75" customHeight="1">
      <c r="J242" s="2838"/>
    </row>
    <row r="243" spans="10:10" s="658" customFormat="1" ht="21.75" customHeight="1">
      <c r="J243" s="2838"/>
    </row>
    <row r="244" spans="10:10" s="658" customFormat="1" ht="21.75" customHeight="1">
      <c r="J244" s="2838"/>
    </row>
    <row r="245" spans="10:10" s="658" customFormat="1" ht="21.75" customHeight="1">
      <c r="J245" s="2838"/>
    </row>
    <row r="246" spans="10:10" s="658" customFormat="1" ht="21.75" customHeight="1">
      <c r="J246" s="2838"/>
    </row>
    <row r="247" spans="10:10" s="658" customFormat="1" ht="21.75" customHeight="1">
      <c r="J247" s="2838"/>
    </row>
    <row r="248" spans="10:10" s="658" customFormat="1" ht="21.75" customHeight="1">
      <c r="J248" s="2838"/>
    </row>
    <row r="249" spans="10:10" s="658" customFormat="1" ht="21.75" customHeight="1">
      <c r="J249" s="2838"/>
    </row>
    <row r="250" spans="10:10" s="658" customFormat="1" ht="21.75" customHeight="1">
      <c r="J250" s="2838"/>
    </row>
    <row r="251" spans="10:10" s="658" customFormat="1" ht="21.75" customHeight="1">
      <c r="J251" s="2838"/>
    </row>
    <row r="252" spans="10:10" s="658" customFormat="1" ht="21.75" customHeight="1">
      <c r="J252" s="2838"/>
    </row>
    <row r="253" spans="10:10" s="658" customFormat="1" ht="21.75" customHeight="1">
      <c r="J253" s="2838"/>
    </row>
    <row r="254" spans="10:10" s="658" customFormat="1" ht="21.75" customHeight="1">
      <c r="J254" s="2838"/>
    </row>
    <row r="255" spans="10:10" s="658" customFormat="1" ht="21.75" customHeight="1">
      <c r="J255" s="2838"/>
    </row>
    <row r="256" spans="10:10" s="658" customFormat="1" ht="21.75" customHeight="1">
      <c r="J256" s="2838"/>
    </row>
    <row r="257" spans="10:10" s="658" customFormat="1" ht="21.75" customHeight="1">
      <c r="J257" s="2838"/>
    </row>
    <row r="258" spans="10:10" s="658" customFormat="1" ht="21.75" customHeight="1">
      <c r="J258" s="2838"/>
    </row>
    <row r="259" spans="10:10" s="658" customFormat="1" ht="21.75" customHeight="1">
      <c r="J259" s="2838"/>
    </row>
    <row r="260" spans="10:10" s="658" customFormat="1" ht="21.75" customHeight="1">
      <c r="J260" s="2838"/>
    </row>
    <row r="261" spans="10:10" s="658" customFormat="1" ht="21.75" customHeight="1">
      <c r="J261" s="2838"/>
    </row>
    <row r="262" spans="10:10" s="658" customFormat="1" ht="21.75" customHeight="1">
      <c r="J262" s="2838"/>
    </row>
    <row r="263" spans="10:10" s="658" customFormat="1" ht="21.75" customHeight="1">
      <c r="J263" s="2838"/>
    </row>
    <row r="264" spans="10:10" s="658" customFormat="1" ht="21.75" customHeight="1">
      <c r="J264" s="2838"/>
    </row>
    <row r="265" spans="10:10" s="658" customFormat="1" ht="21.75" customHeight="1">
      <c r="J265" s="2838"/>
    </row>
    <row r="266" spans="10:10" s="658" customFormat="1" ht="21.75" customHeight="1">
      <c r="J266" s="2838"/>
    </row>
    <row r="267" spans="10:10" s="658" customFormat="1" ht="21.75" customHeight="1">
      <c r="J267" s="2838"/>
    </row>
    <row r="268" spans="10:10" s="658" customFormat="1" ht="21.75" customHeight="1">
      <c r="J268" s="2838"/>
    </row>
    <row r="269" spans="10:10" s="658" customFormat="1" ht="21.75" customHeight="1">
      <c r="J269" s="2838"/>
    </row>
    <row r="270" spans="10:10" s="658" customFormat="1" ht="21.75" customHeight="1">
      <c r="J270" s="2838"/>
    </row>
    <row r="271" spans="10:10" s="658" customFormat="1" ht="21.75" customHeight="1">
      <c r="J271" s="2838"/>
    </row>
    <row r="272" spans="10:10" s="658" customFormat="1" ht="21.75" customHeight="1">
      <c r="J272" s="2838"/>
    </row>
    <row r="273" spans="10:10" s="658" customFormat="1" ht="21.75" customHeight="1">
      <c r="J273" s="2838"/>
    </row>
    <row r="274" spans="10:10" s="658" customFormat="1" ht="21.75" customHeight="1">
      <c r="J274" s="2838"/>
    </row>
    <row r="275" spans="10:10" s="658" customFormat="1" ht="21.75" customHeight="1">
      <c r="J275" s="2838"/>
    </row>
    <row r="276" spans="10:10" s="658" customFormat="1" ht="21.75" customHeight="1">
      <c r="J276" s="2838"/>
    </row>
    <row r="277" spans="10:10" s="658" customFormat="1" ht="21.75" customHeight="1">
      <c r="J277" s="2838"/>
    </row>
    <row r="278" spans="10:10" s="658" customFormat="1" ht="21.75" customHeight="1">
      <c r="J278" s="2838"/>
    </row>
    <row r="279" spans="10:10" s="658" customFormat="1" ht="21.75" customHeight="1">
      <c r="J279" s="2838"/>
    </row>
    <row r="280" spans="10:10" s="658" customFormat="1" ht="21.75" customHeight="1">
      <c r="J280" s="2838"/>
    </row>
    <row r="281" spans="10:10" s="658" customFormat="1" ht="21.75" customHeight="1">
      <c r="J281" s="2838"/>
    </row>
    <row r="282" spans="10:10" s="658" customFormat="1" ht="21.75" customHeight="1">
      <c r="J282" s="2838"/>
    </row>
    <row r="283" spans="10:10" s="658" customFormat="1" ht="21.75" customHeight="1">
      <c r="J283" s="2838"/>
    </row>
    <row r="284" spans="10:10" s="658" customFormat="1" ht="21.75" customHeight="1">
      <c r="J284" s="2838"/>
    </row>
    <row r="285" spans="10:10" s="658" customFormat="1" ht="21.75" customHeight="1">
      <c r="J285" s="2838"/>
    </row>
    <row r="286" spans="10:10" s="658" customFormat="1" ht="21.75" customHeight="1">
      <c r="J286" s="2838"/>
    </row>
    <row r="287" spans="10:10" s="658" customFormat="1" ht="21.75" customHeight="1">
      <c r="J287" s="2838"/>
    </row>
    <row r="288" spans="10:10" s="658" customFormat="1" ht="21.75" customHeight="1">
      <c r="J288" s="2838"/>
    </row>
    <row r="289" spans="10:10" s="658" customFormat="1" ht="21.75" customHeight="1">
      <c r="J289" s="2838"/>
    </row>
    <row r="290" spans="10:10" s="658" customFormat="1" ht="21.75" customHeight="1">
      <c r="J290" s="2838"/>
    </row>
    <row r="291" spans="10:10" s="658" customFormat="1" ht="21.75" customHeight="1">
      <c r="J291" s="2838"/>
    </row>
    <row r="292" spans="10:10" s="658" customFormat="1" ht="21.75" customHeight="1">
      <c r="J292" s="2838"/>
    </row>
    <row r="293" spans="10:10" s="658" customFormat="1" ht="21.75" customHeight="1">
      <c r="J293" s="2838"/>
    </row>
    <row r="294" spans="10:10" s="658" customFormat="1" ht="21.75" customHeight="1">
      <c r="J294" s="2838"/>
    </row>
    <row r="295" spans="10:10" s="658" customFormat="1" ht="21.75" customHeight="1">
      <c r="J295" s="2838"/>
    </row>
    <row r="296" spans="10:10" s="658" customFormat="1" ht="21.75" customHeight="1">
      <c r="J296" s="2838"/>
    </row>
    <row r="297" spans="10:10" s="658" customFormat="1" ht="21.75" customHeight="1">
      <c r="J297" s="2838"/>
    </row>
    <row r="298" spans="10:10" s="658" customFormat="1" ht="21.75" customHeight="1">
      <c r="J298" s="2838"/>
    </row>
    <row r="299" spans="10:10" s="658" customFormat="1" ht="21.75" customHeight="1">
      <c r="J299" s="2838"/>
    </row>
    <row r="300" spans="10:10" s="658" customFormat="1" ht="21.75" customHeight="1">
      <c r="J300" s="2838"/>
    </row>
    <row r="301" spans="10:10" s="658" customFormat="1" ht="21.75" customHeight="1">
      <c r="J301" s="2838"/>
    </row>
    <row r="302" spans="10:10" s="658" customFormat="1" ht="21.75" customHeight="1">
      <c r="J302" s="2838"/>
    </row>
    <row r="303" spans="10:10" s="658" customFormat="1" ht="21.75" customHeight="1">
      <c r="J303" s="2838"/>
    </row>
    <row r="304" spans="10:10" s="658" customFormat="1" ht="21.75" customHeight="1">
      <c r="J304" s="2838"/>
    </row>
    <row r="305" spans="10:10" s="658" customFormat="1" ht="21.75" customHeight="1">
      <c r="J305" s="2838"/>
    </row>
    <row r="306" spans="10:10" s="658" customFormat="1" ht="21.75" customHeight="1">
      <c r="J306" s="2838"/>
    </row>
    <row r="307" spans="10:10" s="658" customFormat="1" ht="21.75" customHeight="1">
      <c r="J307" s="2838"/>
    </row>
    <row r="308" spans="10:10" s="658" customFormat="1" ht="21.75" customHeight="1">
      <c r="J308" s="2838"/>
    </row>
    <row r="309" spans="10:10" s="658" customFormat="1" ht="21.75" customHeight="1">
      <c r="J309" s="2838"/>
    </row>
    <row r="310" spans="10:10" s="658" customFormat="1" ht="21.75" customHeight="1">
      <c r="J310" s="2838"/>
    </row>
    <row r="311" spans="10:10" s="658" customFormat="1" ht="21.75" customHeight="1">
      <c r="J311" s="2838"/>
    </row>
    <row r="312" spans="10:10" s="658" customFormat="1" ht="21.75" customHeight="1">
      <c r="J312" s="2838"/>
    </row>
    <row r="313" spans="10:10" s="658" customFormat="1" ht="21.75" customHeight="1">
      <c r="J313" s="2838"/>
    </row>
    <row r="314" spans="10:10" s="658" customFormat="1" ht="21.75" customHeight="1">
      <c r="J314" s="2838"/>
    </row>
    <row r="315" spans="10:10" s="658" customFormat="1" ht="21.75" customHeight="1">
      <c r="J315" s="2838"/>
    </row>
    <row r="316" spans="10:10" s="658" customFormat="1" ht="21.75" customHeight="1">
      <c r="J316" s="2838"/>
    </row>
    <row r="317" spans="10:10" s="658" customFormat="1" ht="21.75" customHeight="1">
      <c r="J317" s="2838"/>
    </row>
    <row r="318" spans="10:10" s="658" customFormat="1" ht="21.75" customHeight="1">
      <c r="J318" s="2838"/>
    </row>
    <row r="319" spans="10:10" s="658" customFormat="1" ht="21.75" customHeight="1">
      <c r="J319" s="2838"/>
    </row>
    <row r="320" spans="10:10" s="658" customFormat="1" ht="21.75" customHeight="1">
      <c r="J320" s="2838"/>
    </row>
    <row r="321" spans="10:10" s="658" customFormat="1" ht="21.75" customHeight="1">
      <c r="J321" s="2838"/>
    </row>
    <row r="322" spans="10:10" s="658" customFormat="1" ht="21.75" customHeight="1">
      <c r="J322" s="2838"/>
    </row>
    <row r="323" spans="10:10" s="658" customFormat="1" ht="21.75" customHeight="1">
      <c r="J323" s="2838"/>
    </row>
    <row r="324" spans="10:10" s="658" customFormat="1" ht="21.75" customHeight="1">
      <c r="J324" s="2838"/>
    </row>
    <row r="325" spans="10:10" s="658" customFormat="1" ht="21.75" customHeight="1">
      <c r="J325" s="2838"/>
    </row>
    <row r="326" spans="10:10" s="658" customFormat="1" ht="21.75" customHeight="1">
      <c r="J326" s="2838"/>
    </row>
    <row r="327" spans="10:10" s="658" customFormat="1" ht="21.75" customHeight="1">
      <c r="J327" s="2838"/>
    </row>
    <row r="328" spans="10:10" s="658" customFormat="1" ht="21.75" customHeight="1">
      <c r="J328" s="2838"/>
    </row>
    <row r="329" spans="10:10" s="658" customFormat="1" ht="21.75" customHeight="1">
      <c r="J329" s="2838"/>
    </row>
    <row r="330" spans="10:10" s="658" customFormat="1" ht="21.75" customHeight="1">
      <c r="J330" s="2838"/>
    </row>
    <row r="331" spans="10:10" s="658" customFormat="1" ht="21.75" customHeight="1">
      <c r="J331" s="2838"/>
    </row>
    <row r="332" spans="10:10" s="658" customFormat="1" ht="21.75" customHeight="1">
      <c r="J332" s="2838"/>
    </row>
    <row r="333" spans="10:10" s="658" customFormat="1" ht="21.75" customHeight="1">
      <c r="J333" s="2838"/>
    </row>
    <row r="334" spans="10:10" s="658" customFormat="1" ht="21.75" customHeight="1">
      <c r="J334" s="2838"/>
    </row>
    <row r="335" spans="10:10" s="658" customFormat="1" ht="21.75" customHeight="1">
      <c r="J335" s="2838"/>
    </row>
    <row r="336" spans="10:10" s="658" customFormat="1" ht="21.75" customHeight="1">
      <c r="J336" s="2838"/>
    </row>
    <row r="337" spans="10:10" s="658" customFormat="1" ht="21.75" customHeight="1">
      <c r="J337" s="2838"/>
    </row>
    <row r="338" spans="10:10" s="658" customFormat="1" ht="21.75" customHeight="1">
      <c r="J338" s="2838"/>
    </row>
    <row r="339" spans="10:10" s="658" customFormat="1" ht="21.75" customHeight="1">
      <c r="J339" s="2838"/>
    </row>
    <row r="340" spans="10:10" s="658" customFormat="1" ht="21.75" customHeight="1">
      <c r="J340" s="2838"/>
    </row>
    <row r="341" spans="10:10" s="658" customFormat="1" ht="21.75" customHeight="1">
      <c r="J341" s="2838"/>
    </row>
    <row r="342" spans="10:10" s="658" customFormat="1" ht="21.75" customHeight="1">
      <c r="J342" s="2838"/>
    </row>
    <row r="343" spans="10:10" s="658" customFormat="1" ht="21.75" customHeight="1">
      <c r="J343" s="2838"/>
    </row>
    <row r="344" spans="10:10" s="658" customFormat="1" ht="21.75" customHeight="1">
      <c r="J344" s="2838"/>
    </row>
    <row r="345" spans="10:10" s="658" customFormat="1" ht="21.75" customHeight="1">
      <c r="J345" s="2838"/>
    </row>
    <row r="346" spans="10:10" s="658" customFormat="1" ht="21.75" customHeight="1">
      <c r="J346" s="2838"/>
    </row>
    <row r="347" spans="10:10" s="658" customFormat="1" ht="21.75" customHeight="1">
      <c r="J347" s="2838"/>
    </row>
    <row r="348" spans="10:10" s="658" customFormat="1" ht="21.75" customHeight="1">
      <c r="J348" s="2838"/>
    </row>
    <row r="349" spans="10:10" s="658" customFormat="1" ht="21.75" customHeight="1">
      <c r="J349" s="2838"/>
    </row>
    <row r="350" spans="10:10" s="658" customFormat="1" ht="21.75" customHeight="1">
      <c r="J350" s="2838"/>
    </row>
    <row r="351" spans="10:10" s="658" customFormat="1" ht="21.75" customHeight="1">
      <c r="J351" s="2838"/>
    </row>
    <row r="352" spans="10:10" s="658" customFormat="1" ht="21.75" customHeight="1">
      <c r="J352" s="2838"/>
    </row>
    <row r="353" spans="10:10" s="658" customFormat="1" ht="21.75" customHeight="1">
      <c r="J353" s="2838"/>
    </row>
    <row r="354" spans="10:10" s="658" customFormat="1" ht="21.75" customHeight="1">
      <c r="J354" s="2838"/>
    </row>
    <row r="355" spans="10:10" s="658" customFormat="1" ht="21.75" customHeight="1">
      <c r="J355" s="2838"/>
    </row>
    <row r="356" spans="10:10" s="658" customFormat="1" ht="21.75" customHeight="1">
      <c r="J356" s="2838"/>
    </row>
    <row r="357" spans="10:10" s="658" customFormat="1" ht="21.75" customHeight="1">
      <c r="J357" s="2838"/>
    </row>
    <row r="358" spans="10:10" s="658" customFormat="1" ht="21.75" customHeight="1">
      <c r="J358" s="2838"/>
    </row>
    <row r="359" spans="10:10" s="658" customFormat="1" ht="21.75" customHeight="1">
      <c r="J359" s="2838"/>
    </row>
    <row r="360" spans="10:10" s="658" customFormat="1" ht="21.75" customHeight="1">
      <c r="J360" s="2838"/>
    </row>
    <row r="361" spans="10:10" s="658" customFormat="1" ht="21.75" customHeight="1">
      <c r="J361" s="2838"/>
    </row>
    <row r="362" spans="10:10" s="658" customFormat="1" ht="21.75" customHeight="1">
      <c r="J362" s="2838"/>
    </row>
    <row r="363" spans="10:10" s="658" customFormat="1" ht="21.75" customHeight="1">
      <c r="J363" s="2838"/>
    </row>
    <row r="364" spans="10:10" s="658" customFormat="1" ht="21.75" customHeight="1">
      <c r="J364" s="2838"/>
    </row>
    <row r="365" spans="10:10" s="658" customFormat="1" ht="21.75" customHeight="1">
      <c r="J365" s="2838"/>
    </row>
    <row r="366" spans="10:10" s="658" customFormat="1" ht="21.75" customHeight="1">
      <c r="J366" s="2838"/>
    </row>
    <row r="367" spans="10:10" s="658" customFormat="1" ht="21.75" customHeight="1">
      <c r="J367" s="2838"/>
    </row>
    <row r="368" spans="10:10" s="658" customFormat="1" ht="21.75" customHeight="1">
      <c r="J368" s="2838"/>
    </row>
    <row r="369" spans="10:27" s="658" customFormat="1" ht="21.75" customHeight="1">
      <c r="J369" s="2838"/>
    </row>
    <row r="370" spans="10:27" s="658" customFormat="1" ht="21.75" customHeight="1">
      <c r="J370" s="2838"/>
    </row>
    <row r="371" spans="10:27" s="658" customFormat="1" ht="21.75" customHeight="1">
      <c r="J371" s="2838"/>
    </row>
    <row r="372" spans="10:27" s="658" customFormat="1" ht="21.75" customHeight="1">
      <c r="J372" s="2838"/>
    </row>
    <row r="373" spans="10:27" s="658" customFormat="1" ht="21.75" customHeight="1">
      <c r="J373" s="2838"/>
    </row>
    <row r="374" spans="10:27" s="658" customFormat="1" ht="21.75" customHeight="1">
      <c r="J374" s="2838"/>
    </row>
    <row r="375" spans="10:27" s="658" customFormat="1" ht="21.75" customHeight="1">
      <c r="J375" s="2838"/>
    </row>
    <row r="376" spans="10:27" s="658" customFormat="1" ht="21.75" customHeight="1">
      <c r="J376" s="2838"/>
    </row>
    <row r="377" spans="10:27" s="658" customFormat="1" ht="21.75" customHeight="1">
      <c r="J377" s="2838"/>
    </row>
    <row r="378" spans="10:27" s="658" customFormat="1" ht="21.75" customHeight="1">
      <c r="J378" s="2838"/>
    </row>
    <row r="379" spans="10:27" s="658" customFormat="1" ht="21.75" customHeight="1">
      <c r="J379" s="2838"/>
    </row>
    <row r="380" spans="10:27" s="658" customFormat="1" ht="21.75" customHeight="1">
      <c r="J380" s="2838"/>
    </row>
    <row r="381" spans="10:27" s="658" customFormat="1" ht="21.75" customHeight="1">
      <c r="J381" s="2838"/>
    </row>
    <row r="382" spans="10:27" s="658" customFormat="1" ht="21.75" customHeight="1">
      <c r="J382" s="2838"/>
    </row>
    <row r="383" spans="10:27" s="1275" customFormat="1" ht="21.75" customHeight="1">
      <c r="J383" s="2808"/>
      <c r="K383" s="658"/>
      <c r="L383" s="658"/>
      <c r="M383" s="658"/>
      <c r="N383" s="658"/>
      <c r="O383" s="658"/>
      <c r="P383" s="658"/>
      <c r="Q383" s="658"/>
      <c r="R383" s="658"/>
      <c r="S383" s="658"/>
      <c r="T383" s="658"/>
      <c r="U383" s="658"/>
      <c r="V383" s="658"/>
      <c r="W383" s="658"/>
      <c r="X383" s="658"/>
      <c r="Y383" s="658"/>
      <c r="Z383" s="658"/>
      <c r="AA383" s="658"/>
    </row>
    <row r="384" spans="10:27" s="1275" customFormat="1" ht="21.75" customHeight="1">
      <c r="J384" s="2808"/>
      <c r="K384" s="658"/>
      <c r="L384" s="658"/>
      <c r="M384" s="658"/>
      <c r="N384" s="658"/>
      <c r="O384" s="658"/>
      <c r="P384" s="658"/>
      <c r="Q384" s="658"/>
      <c r="R384" s="658"/>
      <c r="S384" s="658"/>
      <c r="T384" s="658"/>
      <c r="U384" s="658"/>
      <c r="V384" s="658"/>
      <c r="W384" s="658"/>
      <c r="X384" s="658"/>
      <c r="Y384" s="658"/>
      <c r="Z384" s="658"/>
      <c r="AA384" s="658"/>
    </row>
    <row r="385" spans="10:27" s="1275" customFormat="1" ht="21.75" customHeight="1">
      <c r="J385" s="2808"/>
      <c r="K385" s="658"/>
      <c r="L385" s="658"/>
      <c r="M385" s="658"/>
      <c r="N385" s="658"/>
      <c r="O385" s="658"/>
      <c r="P385" s="658"/>
      <c r="Q385" s="658"/>
      <c r="R385" s="658"/>
      <c r="S385" s="658"/>
      <c r="T385" s="658"/>
      <c r="U385" s="658"/>
      <c r="V385" s="658"/>
      <c r="W385" s="658"/>
      <c r="X385" s="658"/>
      <c r="Y385" s="658"/>
      <c r="Z385" s="658"/>
      <c r="AA385" s="658"/>
    </row>
    <row r="386" spans="10:27" s="1275" customFormat="1" ht="21.75" customHeight="1">
      <c r="J386" s="2808"/>
      <c r="K386" s="658"/>
      <c r="L386" s="658"/>
      <c r="M386" s="658"/>
      <c r="N386" s="658"/>
      <c r="O386" s="658"/>
      <c r="P386" s="658"/>
      <c r="Q386" s="658"/>
      <c r="R386" s="658"/>
      <c r="S386" s="658"/>
      <c r="T386" s="658"/>
      <c r="U386" s="658"/>
      <c r="V386" s="658"/>
      <c r="W386" s="658"/>
      <c r="X386" s="658"/>
      <c r="Y386" s="658"/>
      <c r="Z386" s="658"/>
      <c r="AA386" s="658"/>
    </row>
    <row r="387" spans="10:27" s="1275" customFormat="1" ht="21.75" customHeight="1">
      <c r="J387" s="2808"/>
      <c r="K387" s="658"/>
      <c r="L387" s="658"/>
      <c r="M387" s="658"/>
      <c r="N387" s="658"/>
      <c r="O387" s="658"/>
      <c r="P387" s="658"/>
      <c r="Q387" s="658"/>
      <c r="R387" s="658"/>
      <c r="S387" s="658"/>
      <c r="T387" s="658"/>
      <c r="U387" s="658"/>
      <c r="V387" s="658"/>
      <c r="W387" s="658"/>
      <c r="X387" s="658"/>
      <c r="Y387" s="658"/>
      <c r="Z387" s="658"/>
      <c r="AA387" s="658"/>
    </row>
    <row r="388" spans="10:27" s="1275" customFormat="1" ht="21.75" customHeight="1">
      <c r="J388" s="2808"/>
      <c r="K388" s="658"/>
      <c r="L388" s="658"/>
      <c r="M388" s="658"/>
      <c r="N388" s="658"/>
      <c r="O388" s="658"/>
      <c r="P388" s="658"/>
      <c r="Q388" s="658"/>
      <c r="R388" s="658"/>
      <c r="S388" s="658"/>
      <c r="T388" s="658"/>
      <c r="U388" s="658"/>
      <c r="V388" s="658"/>
      <c r="W388" s="658"/>
      <c r="X388" s="658"/>
      <c r="Y388" s="658"/>
      <c r="Z388" s="658"/>
      <c r="AA388" s="658"/>
    </row>
    <row r="389" spans="10:27" s="1275" customFormat="1" ht="21.75" customHeight="1">
      <c r="J389" s="2808"/>
      <c r="K389" s="658"/>
      <c r="L389" s="658"/>
      <c r="M389" s="658"/>
      <c r="N389" s="658"/>
      <c r="O389" s="658"/>
      <c r="P389" s="658"/>
      <c r="Q389" s="658"/>
      <c r="R389" s="658"/>
      <c r="S389" s="658"/>
      <c r="T389" s="658"/>
      <c r="U389" s="658"/>
      <c r="V389" s="658"/>
      <c r="W389" s="658"/>
      <c r="X389" s="658"/>
      <c r="Y389" s="658"/>
      <c r="Z389" s="658"/>
      <c r="AA389" s="658"/>
    </row>
    <row r="390" spans="10:27" s="1275" customFormat="1" ht="21.75" customHeight="1">
      <c r="J390" s="2808"/>
      <c r="K390" s="658"/>
      <c r="L390" s="658"/>
      <c r="M390" s="658"/>
      <c r="N390" s="658"/>
      <c r="O390" s="658"/>
      <c r="P390" s="658"/>
      <c r="Q390" s="658"/>
      <c r="R390" s="658"/>
      <c r="S390" s="658"/>
      <c r="T390" s="658"/>
      <c r="U390" s="658"/>
      <c r="V390" s="658"/>
      <c r="W390" s="658"/>
      <c r="X390" s="658"/>
      <c r="Y390" s="658"/>
      <c r="Z390" s="658"/>
      <c r="AA390" s="658"/>
    </row>
    <row r="391" spans="10:27" s="1275" customFormat="1" ht="21.75" customHeight="1">
      <c r="J391" s="2808"/>
      <c r="K391" s="658"/>
      <c r="L391" s="658"/>
      <c r="M391" s="658"/>
      <c r="N391" s="658"/>
      <c r="O391" s="658"/>
      <c r="P391" s="658"/>
      <c r="Q391" s="658"/>
      <c r="R391" s="658"/>
      <c r="S391" s="658"/>
      <c r="T391" s="658"/>
      <c r="U391" s="658"/>
      <c r="V391" s="658"/>
      <c r="W391" s="658"/>
      <c r="X391" s="658"/>
      <c r="Y391" s="658"/>
      <c r="Z391" s="658"/>
      <c r="AA391" s="658"/>
    </row>
    <row r="392" spans="10:27" s="1275" customFormat="1" ht="21.75" customHeight="1">
      <c r="J392" s="2808"/>
      <c r="K392" s="658"/>
      <c r="L392" s="658"/>
      <c r="M392" s="658"/>
      <c r="N392" s="658"/>
      <c r="O392" s="658"/>
      <c r="P392" s="658"/>
      <c r="Q392" s="658"/>
      <c r="R392" s="658"/>
      <c r="S392" s="658"/>
      <c r="T392" s="658"/>
      <c r="U392" s="658"/>
      <c r="V392" s="658"/>
      <c r="W392" s="658"/>
      <c r="X392" s="658"/>
      <c r="Y392" s="658"/>
      <c r="Z392" s="658"/>
      <c r="AA392" s="658"/>
    </row>
    <row r="393" spans="10:27" s="1275" customFormat="1" ht="21.75" customHeight="1">
      <c r="J393" s="2808"/>
      <c r="K393" s="658"/>
      <c r="L393" s="658"/>
      <c r="M393" s="658"/>
      <c r="N393" s="658"/>
      <c r="O393" s="658"/>
      <c r="P393" s="658"/>
      <c r="Q393" s="658"/>
      <c r="R393" s="658"/>
      <c r="S393" s="658"/>
      <c r="T393" s="658"/>
      <c r="U393" s="658"/>
      <c r="V393" s="658"/>
      <c r="W393" s="658"/>
      <c r="X393" s="658"/>
      <c r="Y393" s="658"/>
      <c r="Z393" s="658"/>
      <c r="AA393" s="658"/>
    </row>
    <row r="394" spans="10:27" s="1275" customFormat="1" ht="21.75" customHeight="1">
      <c r="J394" s="2808"/>
      <c r="K394" s="658"/>
      <c r="L394" s="658"/>
      <c r="M394" s="658"/>
      <c r="N394" s="658"/>
      <c r="O394" s="658"/>
      <c r="P394" s="658"/>
      <c r="Q394" s="658"/>
      <c r="R394" s="658"/>
      <c r="S394" s="658"/>
      <c r="T394" s="658"/>
      <c r="U394" s="658"/>
      <c r="V394" s="658"/>
      <c r="W394" s="658"/>
      <c r="X394" s="658"/>
      <c r="Y394" s="658"/>
      <c r="Z394" s="658"/>
      <c r="AA394" s="658"/>
    </row>
    <row r="395" spans="10:27" s="1275" customFormat="1" ht="21.75" customHeight="1">
      <c r="J395" s="2808"/>
      <c r="K395" s="658"/>
      <c r="L395" s="658"/>
      <c r="M395" s="658"/>
      <c r="N395" s="658"/>
      <c r="O395" s="658"/>
      <c r="P395" s="658"/>
      <c r="Q395" s="658"/>
      <c r="R395" s="658"/>
      <c r="S395" s="658"/>
      <c r="T395" s="658"/>
      <c r="U395" s="658"/>
      <c r="V395" s="658"/>
      <c r="W395" s="658"/>
      <c r="X395" s="658"/>
      <c r="Y395" s="658"/>
      <c r="Z395" s="658"/>
      <c r="AA395" s="658"/>
    </row>
    <row r="396" spans="10:27" s="1275" customFormat="1" ht="21.75" customHeight="1">
      <c r="J396" s="2808"/>
      <c r="K396" s="658"/>
      <c r="L396" s="658"/>
      <c r="M396" s="658"/>
      <c r="N396" s="658"/>
      <c r="O396" s="658"/>
      <c r="P396" s="658"/>
      <c r="Q396" s="658"/>
      <c r="R396" s="658"/>
      <c r="S396" s="658"/>
      <c r="T396" s="658"/>
      <c r="U396" s="658"/>
      <c r="V396" s="658"/>
      <c r="W396" s="658"/>
      <c r="X396" s="658"/>
      <c r="Y396" s="658"/>
      <c r="Z396" s="658"/>
      <c r="AA396" s="658"/>
    </row>
    <row r="397" spans="10:27" s="1275" customFormat="1" ht="21.75" customHeight="1">
      <c r="J397" s="2808"/>
      <c r="K397" s="658"/>
      <c r="L397" s="658"/>
      <c r="M397" s="658"/>
      <c r="N397" s="658"/>
      <c r="O397" s="658"/>
      <c r="P397" s="658"/>
      <c r="Q397" s="658"/>
      <c r="R397" s="658"/>
      <c r="S397" s="658"/>
      <c r="T397" s="658"/>
      <c r="U397" s="658"/>
      <c r="V397" s="658"/>
      <c r="W397" s="658"/>
      <c r="X397" s="658"/>
      <c r="Y397" s="658"/>
      <c r="Z397" s="658"/>
      <c r="AA397" s="658"/>
    </row>
    <row r="398" spans="10:27" s="1275" customFormat="1" ht="21.75" customHeight="1">
      <c r="J398" s="2808"/>
      <c r="K398" s="658"/>
      <c r="L398" s="658"/>
      <c r="M398" s="658"/>
      <c r="N398" s="658"/>
      <c r="O398" s="658"/>
      <c r="P398" s="658"/>
      <c r="Q398" s="658"/>
      <c r="R398" s="658"/>
      <c r="S398" s="658"/>
      <c r="T398" s="658"/>
      <c r="U398" s="658"/>
      <c r="V398" s="658"/>
      <c r="W398" s="658"/>
      <c r="X398" s="658"/>
      <c r="Y398" s="658"/>
      <c r="Z398" s="658"/>
      <c r="AA398" s="658"/>
    </row>
    <row r="399" spans="10:27" s="1275" customFormat="1" ht="21.75" customHeight="1">
      <c r="J399" s="2808"/>
      <c r="K399" s="658"/>
      <c r="L399" s="658"/>
      <c r="M399" s="658"/>
      <c r="N399" s="658"/>
      <c r="O399" s="658"/>
      <c r="P399" s="658"/>
      <c r="Q399" s="658"/>
      <c r="R399" s="658"/>
      <c r="S399" s="658"/>
      <c r="T399" s="658"/>
      <c r="U399" s="658"/>
      <c r="V399" s="658"/>
      <c r="W399" s="658"/>
      <c r="X399" s="658"/>
      <c r="Y399" s="658"/>
      <c r="Z399" s="658"/>
      <c r="AA399" s="658"/>
    </row>
    <row r="400" spans="10:27" s="1275" customFormat="1" ht="21.75" customHeight="1">
      <c r="J400" s="2808"/>
      <c r="K400" s="658"/>
      <c r="L400" s="658"/>
      <c r="M400" s="658"/>
      <c r="N400" s="658"/>
      <c r="O400" s="658"/>
      <c r="P400" s="658"/>
      <c r="Q400" s="658"/>
      <c r="R400" s="658"/>
      <c r="S400" s="658"/>
      <c r="T400" s="658"/>
      <c r="U400" s="658"/>
      <c r="V400" s="658"/>
      <c r="W400" s="658"/>
      <c r="X400" s="658"/>
      <c r="Y400" s="658"/>
      <c r="Z400" s="658"/>
      <c r="AA400" s="658"/>
    </row>
    <row r="401" spans="10:27" s="1275" customFormat="1" ht="21.75" customHeight="1">
      <c r="J401" s="2808"/>
      <c r="K401" s="658"/>
      <c r="L401" s="658"/>
      <c r="M401" s="658"/>
      <c r="N401" s="658"/>
      <c r="O401" s="658"/>
      <c r="P401" s="658"/>
      <c r="Q401" s="658"/>
      <c r="R401" s="658"/>
      <c r="S401" s="658"/>
      <c r="T401" s="658"/>
      <c r="U401" s="658"/>
      <c r="V401" s="658"/>
      <c r="W401" s="658"/>
      <c r="X401" s="658"/>
      <c r="Y401" s="658"/>
      <c r="Z401" s="658"/>
      <c r="AA401" s="658"/>
    </row>
    <row r="402" spans="10:27" s="1275" customFormat="1" ht="21.75" customHeight="1">
      <c r="J402" s="2808"/>
      <c r="K402" s="658"/>
      <c r="L402" s="658"/>
      <c r="M402" s="658"/>
      <c r="N402" s="658"/>
      <c r="O402" s="658"/>
      <c r="P402" s="658"/>
      <c r="Q402" s="658"/>
      <c r="R402" s="658"/>
      <c r="S402" s="658"/>
      <c r="T402" s="658"/>
      <c r="U402" s="658"/>
      <c r="V402" s="658"/>
      <c r="W402" s="658"/>
      <c r="X402" s="658"/>
      <c r="Y402" s="658"/>
      <c r="Z402" s="658"/>
      <c r="AA402" s="658"/>
    </row>
    <row r="403" spans="10:27" s="1275" customFormat="1" ht="21.75" customHeight="1">
      <c r="J403" s="2808"/>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8"/>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8"/>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8"/>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8"/>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8"/>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8"/>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8"/>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8"/>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8"/>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8"/>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8"/>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8"/>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8"/>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8"/>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8"/>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8"/>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8"/>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8"/>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8"/>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8"/>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8"/>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8"/>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8"/>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8"/>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8"/>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8"/>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8"/>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8"/>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8"/>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8"/>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8"/>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8"/>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8"/>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8"/>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8"/>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8"/>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8"/>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8"/>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8"/>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8"/>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8"/>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8"/>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8"/>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8"/>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8"/>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8"/>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8"/>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8"/>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8"/>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8"/>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8"/>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8"/>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8"/>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8"/>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8"/>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8"/>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8"/>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8"/>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8"/>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8"/>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8"/>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8"/>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8"/>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8"/>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8"/>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8"/>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8"/>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8"/>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8"/>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8"/>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8"/>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8"/>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8"/>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8"/>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8"/>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8"/>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8"/>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8"/>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8"/>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8"/>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8"/>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8"/>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8"/>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8"/>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8"/>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8"/>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8"/>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8"/>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8"/>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8"/>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8"/>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8"/>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8"/>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8"/>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8"/>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8"/>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8"/>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8"/>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8"/>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8"/>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8"/>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8"/>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8"/>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8"/>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8"/>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8"/>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8"/>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8"/>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8"/>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8"/>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8"/>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8"/>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J516" s="2808"/>
      <c r="K516" s="658"/>
      <c r="L516" s="658"/>
      <c r="M516" s="658"/>
      <c r="N516" s="658"/>
      <c r="O516" s="658"/>
      <c r="P516" s="658"/>
      <c r="Q516" s="658"/>
      <c r="R516" s="658"/>
      <c r="S516" s="658"/>
      <c r="T516" s="658"/>
      <c r="U516" s="658"/>
      <c r="V516" s="658"/>
      <c r="W516" s="658"/>
      <c r="X516" s="658"/>
      <c r="Y516" s="658"/>
      <c r="Z516" s="658"/>
      <c r="AA516" s="658"/>
    </row>
    <row r="517" spans="6:27" s="1275" customFormat="1" ht="21.75" customHeight="1">
      <c r="J517" s="2808"/>
      <c r="K517" s="658"/>
      <c r="L517" s="658"/>
      <c r="M517" s="658"/>
      <c r="N517" s="658"/>
      <c r="O517" s="658"/>
      <c r="P517" s="658"/>
      <c r="Q517" s="658"/>
      <c r="R517" s="658"/>
      <c r="S517" s="658"/>
      <c r="T517" s="658"/>
      <c r="U517" s="658"/>
      <c r="V517" s="658"/>
      <c r="W517" s="658"/>
      <c r="X517" s="658"/>
      <c r="Y517" s="658"/>
      <c r="Z517" s="658"/>
      <c r="AA517" s="658"/>
    </row>
    <row r="518" spans="6:27" s="1275" customFormat="1" ht="21.75" customHeight="1">
      <c r="J518" s="2808"/>
      <c r="K518" s="658"/>
      <c r="L518" s="658"/>
      <c r="M518" s="658"/>
      <c r="N518" s="658"/>
      <c r="O518" s="658"/>
      <c r="P518" s="658"/>
      <c r="Q518" s="658"/>
      <c r="R518" s="658"/>
      <c r="S518" s="658"/>
      <c r="T518" s="658"/>
      <c r="U518" s="658"/>
      <c r="V518" s="658"/>
      <c r="W518" s="658"/>
      <c r="X518" s="658"/>
      <c r="Y518" s="658"/>
      <c r="Z518" s="658"/>
      <c r="AA518" s="658"/>
    </row>
    <row r="519" spans="6:27" s="1275" customFormat="1" ht="21.75" customHeight="1">
      <c r="J519" s="2808"/>
      <c r="K519" s="658"/>
      <c r="L519" s="658"/>
      <c r="M519" s="658"/>
      <c r="N519" s="658"/>
      <c r="O519" s="658"/>
      <c r="P519" s="658"/>
      <c r="Q519" s="658"/>
      <c r="R519" s="658"/>
      <c r="S519" s="658"/>
      <c r="T519" s="658"/>
      <c r="U519" s="658"/>
      <c r="V519" s="658"/>
      <c r="W519" s="658"/>
      <c r="X519" s="658"/>
      <c r="Y519" s="658"/>
      <c r="Z519" s="658"/>
      <c r="AA519" s="658"/>
    </row>
    <row r="520" spans="6:27" s="1275" customFormat="1" ht="21.75" customHeight="1">
      <c r="F520" s="1429"/>
      <c r="G520" s="1429"/>
      <c r="H520" s="1429"/>
      <c r="I520" s="1429"/>
      <c r="J520" s="2808"/>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topLeftCell="A2" zoomScaleNormal="100" zoomScaleSheetLayoutView="100" zoomScalePageLayoutView="80" workbookViewId="0">
      <selection activeCell="E25" sqref="E25"/>
    </sheetView>
  </sheetViews>
  <sheetFormatPr defaultColWidth="12.625" defaultRowHeight="21.75" customHeight="1"/>
  <cols>
    <col min="1" max="2" width="12.625" style="1429"/>
    <col min="3" max="4" width="12.625" style="1429" customWidth="1"/>
    <col min="5" max="9" width="12.625" style="1429"/>
    <col min="10" max="10" width="3.625" style="2808" customWidth="1"/>
    <col min="11" max="12" width="12.625" style="658" customWidth="1"/>
    <col min="13" max="13" width="12.625" style="658"/>
    <col min="14" max="14" width="14.125" style="658" bestFit="1" customWidth="1"/>
    <col min="15" max="27" width="12.625" style="658"/>
    <col min="28" max="36" width="12.625" style="1275"/>
    <col min="37" max="16384" width="12.625" style="1429"/>
  </cols>
  <sheetData>
    <row r="1" spans="1:15" ht="21.75" customHeight="1">
      <c r="A1" s="1427" t="s">
        <v>1652</v>
      </c>
      <c r="B1" s="1428"/>
      <c r="C1" s="1428"/>
      <c r="D1" s="1428"/>
      <c r="E1" s="1428"/>
      <c r="F1" s="1428"/>
      <c r="G1" s="1428"/>
      <c r="H1" s="1428"/>
      <c r="I1" s="1428"/>
    </row>
    <row r="2" spans="1:15" ht="21.75" customHeight="1">
      <c r="A2" s="3568" t="str">
        <f>项目基本情况!B1</f>
        <v>北京市房地产抵押价值预评估</v>
      </c>
      <c r="B2" s="3568"/>
      <c r="C2" s="3568"/>
      <c r="D2" s="3568"/>
      <c r="E2" s="3568"/>
      <c r="F2" s="3568"/>
      <c r="G2" s="3568"/>
      <c r="H2" s="3568"/>
      <c r="I2" s="3568"/>
      <c r="J2" s="2809"/>
    </row>
    <row r="3" spans="1:15" ht="12.75">
      <c r="A3" s="3454" t="s">
        <v>1653</v>
      </c>
      <c r="B3" s="3455"/>
      <c r="C3" s="3455"/>
      <c r="D3" s="3455"/>
      <c r="E3" s="3455"/>
      <c r="F3" s="3455"/>
      <c r="G3" s="3455"/>
      <c r="H3" s="3455"/>
      <c r="I3" s="3455"/>
      <c r="J3" s="2810"/>
    </row>
    <row r="4" spans="1:15" ht="14.25">
      <c r="A4" s="2678" t="s">
        <v>1654</v>
      </c>
      <c r="B4" s="2678" t="s">
        <v>1655</v>
      </c>
      <c r="C4" s="2679" t="s">
        <v>3028</v>
      </c>
      <c r="D4" s="2679" t="s">
        <v>3073</v>
      </c>
      <c r="E4" s="3448" t="s">
        <v>1656</v>
      </c>
      <c r="F4" s="3446"/>
      <c r="G4" s="3446"/>
      <c r="H4" s="3446"/>
      <c r="I4" s="3449"/>
      <c r="J4" s="2811"/>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33" t="s">
        <v>1657</v>
      </c>
      <c r="B5" s="3433">
        <v>25</v>
      </c>
      <c r="C5" s="3434"/>
      <c r="D5" s="3436"/>
      <c r="E5" s="12" t="s">
        <v>1658</v>
      </c>
      <c r="F5" s="2056"/>
      <c r="G5" s="2056"/>
      <c r="H5" s="2056"/>
      <c r="I5" s="2051"/>
      <c r="J5" s="2811"/>
    </row>
    <row r="6" spans="1:15" ht="12.75">
      <c r="A6" s="3433"/>
      <c r="B6" s="3433"/>
      <c r="C6" s="3456"/>
      <c r="D6" s="3436"/>
      <c r="E6" s="12" t="s">
        <v>1659</v>
      </c>
      <c r="F6" s="2056"/>
      <c r="G6" s="2056"/>
      <c r="H6" s="2056"/>
      <c r="I6" s="2051"/>
      <c r="J6" s="2811"/>
    </row>
    <row r="7" spans="1:15" ht="12.75">
      <c r="A7" s="3433"/>
      <c r="B7" s="3433"/>
      <c r="C7" s="3435"/>
      <c r="D7" s="3436"/>
      <c r="E7" s="12" t="s">
        <v>1660</v>
      </c>
      <c r="F7" s="2056"/>
      <c r="G7" s="2056"/>
      <c r="H7" s="2056"/>
      <c r="I7" s="2051"/>
      <c r="J7" s="2811"/>
    </row>
    <row r="8" spans="1:15" ht="12.75">
      <c r="A8" s="3433" t="s">
        <v>1661</v>
      </c>
      <c r="B8" s="3433">
        <v>15</v>
      </c>
      <c r="C8" s="3434"/>
      <c r="D8" s="3436"/>
      <c r="E8" s="12" t="s">
        <v>1662</v>
      </c>
      <c r="F8" s="2056"/>
      <c r="G8" s="2056"/>
      <c r="H8" s="2056"/>
      <c r="I8" s="2051"/>
      <c r="J8" s="2811"/>
    </row>
    <row r="9" spans="1:15" ht="12.75">
      <c r="A9" s="3433"/>
      <c r="B9" s="3433"/>
      <c r="C9" s="3435"/>
      <c r="D9" s="3436"/>
      <c r="E9" s="12" t="s">
        <v>1663</v>
      </c>
      <c r="F9" s="2056"/>
      <c r="G9" s="2056"/>
      <c r="H9" s="2056"/>
      <c r="I9" s="2051"/>
      <c r="J9" s="2811"/>
    </row>
    <row r="10" spans="1:15" ht="12.75">
      <c r="A10" s="3433" t="s">
        <v>1664</v>
      </c>
      <c r="B10" s="3433">
        <v>15</v>
      </c>
      <c r="C10" s="3434"/>
      <c r="D10" s="3436"/>
      <c r="E10" s="12" t="s">
        <v>1665</v>
      </c>
      <c r="F10" s="2056"/>
      <c r="G10" s="2056"/>
      <c r="H10" s="2056"/>
      <c r="I10" s="2051"/>
      <c r="J10" s="2811"/>
    </row>
    <row r="11" spans="1:15" ht="12.75">
      <c r="A11" s="3433"/>
      <c r="B11" s="3433"/>
      <c r="C11" s="3435"/>
      <c r="D11" s="3436"/>
      <c r="E11" s="12" t="s">
        <v>1666</v>
      </c>
      <c r="F11" s="2056"/>
      <c r="G11" s="2056"/>
      <c r="H11" s="2056"/>
      <c r="I11" s="2051"/>
      <c r="J11" s="2811"/>
    </row>
    <row r="12" spans="1:15" ht="12.75">
      <c r="A12" s="3433" t="s">
        <v>1667</v>
      </c>
      <c r="B12" s="3433">
        <v>15</v>
      </c>
      <c r="C12" s="3434"/>
      <c r="D12" s="3436"/>
      <c r="E12" s="12" t="s">
        <v>1668</v>
      </c>
      <c r="F12" s="2056"/>
      <c r="G12" s="2056"/>
      <c r="H12" s="2056"/>
      <c r="I12" s="2051"/>
      <c r="J12" s="2811"/>
    </row>
    <row r="13" spans="1:15" ht="12.75">
      <c r="A13" s="3433"/>
      <c r="B13" s="3433"/>
      <c r="C13" s="3435"/>
      <c r="D13" s="3436"/>
      <c r="E13" s="12" t="s">
        <v>1669</v>
      </c>
      <c r="F13" s="2056"/>
      <c r="G13" s="2056"/>
      <c r="H13" s="2056"/>
      <c r="I13" s="2051"/>
      <c r="J13" s="2811"/>
    </row>
    <row r="14" spans="1:15" ht="12.75">
      <c r="A14" s="3433" t="s">
        <v>1670</v>
      </c>
      <c r="B14" s="3433">
        <v>30</v>
      </c>
      <c r="C14" s="3434">
        <v>5</v>
      </c>
      <c r="D14" s="3436">
        <v>5</v>
      </c>
      <c r="E14" s="12" t="s">
        <v>1671</v>
      </c>
      <c r="F14" s="2056"/>
      <c r="G14" s="2056"/>
      <c r="H14" s="2056"/>
      <c r="I14" s="2051"/>
      <c r="J14" s="2811"/>
    </row>
    <row r="15" spans="1:15" ht="12.75">
      <c r="A15" s="3433"/>
      <c r="B15" s="3433"/>
      <c r="C15" s="3456"/>
      <c r="D15" s="3436"/>
      <c r="E15" s="12" t="s">
        <v>1672</v>
      </c>
      <c r="F15" s="2056"/>
      <c r="G15" s="2056"/>
      <c r="H15" s="2056"/>
      <c r="I15" s="2051"/>
      <c r="J15" s="2811"/>
    </row>
    <row r="16" spans="1:15" ht="12.75">
      <c r="A16" s="3433"/>
      <c r="B16" s="3433"/>
      <c r="C16" s="3435"/>
      <c r="D16" s="3436"/>
      <c r="E16" s="12" t="s">
        <v>1673</v>
      </c>
      <c r="F16" s="2056"/>
      <c r="G16" s="2056"/>
      <c r="H16" s="2056"/>
      <c r="I16" s="2051"/>
      <c r="J16" s="2811"/>
    </row>
    <row r="17" spans="1:36" ht="15">
      <c r="A17" s="2680" t="s">
        <v>1674</v>
      </c>
      <c r="B17" s="2061"/>
      <c r="C17" s="2681">
        <f>SUM(C5:C16)</f>
        <v>5</v>
      </c>
      <c r="D17" s="2681">
        <f>SUM(D5:D16)</f>
        <v>5</v>
      </c>
      <c r="E17" s="2530"/>
      <c r="F17" s="2530"/>
      <c r="G17" s="2530"/>
      <c r="H17" s="2530"/>
      <c r="I17" s="2530"/>
      <c r="J17" s="2812"/>
    </row>
    <row r="18" spans="1:36" ht="30" customHeight="1" thickBot="1">
      <c r="A18" s="2682" t="s">
        <v>1675</v>
      </c>
      <c r="B18" s="2683"/>
      <c r="C18" s="2684">
        <f>ROUND(C17/SUM(C17:D17),2)</f>
        <v>0.5</v>
      </c>
      <c r="D18" s="2684">
        <f>1-C18</f>
        <v>0.5</v>
      </c>
      <c r="E18" s="3461" t="s">
        <v>2759</v>
      </c>
      <c r="F18" s="3462"/>
      <c r="G18" s="3462"/>
      <c r="H18" s="3462"/>
      <c r="I18" s="3462"/>
      <c r="J18" s="2812"/>
      <c r="K18" s="658">
        <f>1700/B121</f>
        <v>4.6852607209789445</v>
      </c>
    </row>
    <row r="19" spans="1:36" ht="15">
      <c r="A19" s="2685" t="s">
        <v>1676</v>
      </c>
      <c r="B19" s="2686" t="s">
        <v>1677</v>
      </c>
      <c r="C19" s="2687">
        <f ca="1">SUMIF(INDIRECT("'"&amp;C4&amp;"'"&amp;"!A:A"),结果表!B19,INDIRECT("'"&amp;C4&amp;"'"&amp;"!B:B"))</f>
        <v>1429</v>
      </c>
      <c r="D19" s="2688">
        <f ca="1">SUMIF(INDIRECT("'"&amp;D4&amp;"'"&amp;"!A:A"),结果表!B19,INDIRECT("'"&amp;D4&amp;"'"&amp;"!B:B"))</f>
        <v>1321</v>
      </c>
      <c r="E19" s="2685" t="s">
        <v>1678</v>
      </c>
      <c r="F19" s="2686" t="s">
        <v>1677</v>
      </c>
      <c r="G19" s="2689">
        <f ca="1">ROUND(C19*$C$18+D19*$D$18,0)</f>
        <v>1375</v>
      </c>
      <c r="H19" s="2690" t="str">
        <f>'数据-取费表'!B3</f>
        <v>万元</v>
      </c>
      <c r="I19" s="2738"/>
      <c r="J19" s="2813"/>
      <c r="K19" s="658">
        <f>1100/'数据-取费表'!B5</f>
        <v>3.0316392900451992</v>
      </c>
    </row>
    <row r="20" spans="1:36" ht="15">
      <c r="A20" s="2691"/>
      <c r="B20" s="1661" t="s">
        <v>1679</v>
      </c>
      <c r="C20" s="1886">
        <f ca="1">SUMIF(INDIRECT("'"&amp;C4&amp;"'"&amp;"!A:A"),结果表!B20,INDIRECT("'"&amp;C4&amp;"'"&amp;"!B:B"))</f>
        <v>39384</v>
      </c>
      <c r="D20" s="1889">
        <f ca="1">SUMIF(INDIRECT("'"&amp;D4&amp;"'"&amp;"!A:A"),结果表!B20,INDIRECT("'"&amp;D4&amp;"'"&amp;"!B:B"))</f>
        <v>36420</v>
      </c>
      <c r="E20" s="2691"/>
      <c r="F20" s="1661" t="s">
        <v>1679</v>
      </c>
      <c r="G20" s="2060">
        <f ca="1">ROUND(C20*$C$18+D20*$D$18,0)</f>
        <v>37902</v>
      </c>
      <c r="H20" s="2692" t="s">
        <v>1680</v>
      </c>
      <c r="I20" s="2530"/>
      <c r="J20" s="2812"/>
    </row>
    <row r="21" spans="1:36" ht="15" customHeight="1" thickBot="1">
      <c r="A21" s="2693"/>
      <c r="B21" s="2694"/>
      <c r="C21" s="2694"/>
      <c r="D21" s="2695"/>
      <c r="E21" s="2693"/>
      <c r="F21" s="2694"/>
      <c r="G21" s="2696"/>
      <c r="H21" s="2697"/>
      <c r="I21" s="2530"/>
      <c r="J21" s="2812"/>
    </row>
    <row r="22" spans="1:36" ht="15" thickBot="1">
      <c r="A22" s="2698" t="s">
        <v>1681</v>
      </c>
      <c r="B22" s="2699"/>
      <c r="C22" s="2614"/>
      <c r="D22" s="2700">
        <f ca="1">IF(C19&lt;D19,D19/C19-1,C19/D19-1)</f>
        <v>8.1756245268735706E-2</v>
      </c>
      <c r="E22" s="945"/>
      <c r="F22" s="945"/>
      <c r="G22" s="945"/>
      <c r="H22" s="945"/>
      <c r="I22" s="945"/>
      <c r="J22" s="2812"/>
    </row>
    <row r="23" spans="1:36" ht="13.5" thickBot="1">
      <c r="A23" s="2530"/>
      <c r="B23" s="2530"/>
      <c r="C23" s="2530"/>
      <c r="D23" s="2530"/>
      <c r="E23" s="945"/>
      <c r="F23" s="945"/>
      <c r="G23" s="945"/>
      <c r="H23" s="945"/>
      <c r="I23" s="945"/>
      <c r="J23" s="2812"/>
    </row>
    <row r="24" spans="1:36" ht="21.75" customHeight="1">
      <c r="A24" s="3457" t="s">
        <v>1682</v>
      </c>
      <c r="B24" s="2686" t="s">
        <v>1677</v>
      </c>
      <c r="C24" s="2689">
        <f>D30</f>
        <v>0</v>
      </c>
      <c r="D24" s="2641"/>
      <c r="E24" s="945"/>
      <c r="F24" s="945"/>
      <c r="G24" s="945"/>
      <c r="H24" s="945"/>
      <c r="I24" s="945"/>
      <c r="J24" s="2812"/>
    </row>
    <row r="25" spans="1:36" ht="21.75" customHeight="1">
      <c r="A25" s="3458"/>
      <c r="B25" s="1661" t="s">
        <v>1679</v>
      </c>
      <c r="C25" s="2701">
        <f>IF(B30=0,0,C30)</f>
        <v>0</v>
      </c>
      <c r="D25" s="2702"/>
      <c r="E25" s="945"/>
      <c r="F25" s="945"/>
      <c r="G25" s="945"/>
      <c r="H25" s="945"/>
      <c r="I25" s="945"/>
      <c r="J25" s="2812"/>
    </row>
    <row r="26" spans="1:36" ht="13.5" customHeight="1">
      <c r="A26" s="2703" t="s">
        <v>1683</v>
      </c>
      <c r="B26" s="2704" t="s">
        <v>1684</v>
      </c>
      <c r="C26" s="2704" t="s">
        <v>1685</v>
      </c>
      <c r="D26" s="2705" t="s">
        <v>1686</v>
      </c>
      <c r="E26" s="945"/>
      <c r="F26" s="945"/>
      <c r="G26" s="945"/>
      <c r="H26" s="945"/>
      <c r="I26" s="945"/>
      <c r="J26" s="2812"/>
    </row>
    <row r="27" spans="1:36" ht="14.25">
      <c r="A27" s="2706"/>
      <c r="B27" s="2704">
        <v>0</v>
      </c>
      <c r="C27" s="2704">
        <v>0</v>
      </c>
      <c r="D27" s="2705">
        <f>ROUND(C27*B27/10000,0)</f>
        <v>0</v>
      </c>
      <c r="E27" s="945"/>
      <c r="F27" s="945"/>
      <c r="G27" s="945"/>
      <c r="H27" s="945"/>
      <c r="I27" s="945"/>
      <c r="J27" s="2812"/>
    </row>
    <row r="28" spans="1:36" ht="14.25">
      <c r="A28" s="2703"/>
      <c r="B28" s="2704"/>
      <c r="C28" s="2704"/>
      <c r="D28" s="2705">
        <f t="shared" ref="D28:D29" si="0">ROUND(C28*B28/10000,0)</f>
        <v>0</v>
      </c>
      <c r="E28" s="945"/>
      <c r="F28" s="945"/>
      <c r="G28" s="945"/>
      <c r="H28" s="945"/>
      <c r="I28" s="945"/>
      <c r="J28" s="2812"/>
    </row>
    <row r="29" spans="1:36" ht="14.25">
      <c r="A29" s="2703"/>
      <c r="B29" s="2704"/>
      <c r="C29" s="2704"/>
      <c r="D29" s="2705">
        <f t="shared" si="0"/>
        <v>0</v>
      </c>
      <c r="E29" s="945"/>
      <c r="F29" s="945"/>
      <c r="G29" s="945"/>
      <c r="H29" s="945"/>
      <c r="I29" s="945"/>
      <c r="J29" s="2812"/>
    </row>
    <row r="30" spans="1:36" ht="15" thickBot="1">
      <c r="A30" s="2740" t="s">
        <v>1687</v>
      </c>
      <c r="B30" s="2740"/>
      <c r="C30" s="2740"/>
      <c r="D30" s="2740"/>
      <c r="E30" s="2707" t="s">
        <v>2763</v>
      </c>
      <c r="F30" s="2530"/>
      <c r="G30" s="2530"/>
      <c r="H30" s="2530"/>
      <c r="I30" s="2530"/>
      <c r="J30" s="2812"/>
    </row>
    <row r="31" spans="1:36" s="2805" customFormat="1" ht="26.45"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总价</v>
      </c>
      <c r="C32" s="2795">
        <f ca="1">IF(B32="总价",G19-C24,G20-C25)</f>
        <v>1375</v>
      </c>
      <c r="D32" s="2796" t="str">
        <f>IF(B32="楼面单价","元/平方米",H19)</f>
        <v>万元</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取值（总价）</v>
      </c>
      <c r="G33" s="945"/>
      <c r="H33" s="945"/>
      <c r="I33" s="945"/>
      <c r="J33" s="2812"/>
    </row>
    <row r="34" spans="1:17" ht="15">
      <c r="A34" s="1433"/>
      <c r="B34" s="2713" t="s">
        <v>1691</v>
      </c>
      <c r="C34" s="2714">
        <f ca="1">IF(D33="自定义",F34,C32-C35)</f>
        <v>1200</v>
      </c>
      <c r="D34" s="2715">
        <f ca="1">IF(D33="自定义",ROUND(C34/C32,3),1-D35)</f>
        <v>0.873</v>
      </c>
      <c r="E34" s="1402" t="s">
        <v>1692</v>
      </c>
      <c r="F34" s="2716">
        <v>2000</v>
      </c>
      <c r="G34" s="945"/>
      <c r="H34" s="945"/>
      <c r="I34" s="945"/>
      <c r="J34" s="2812"/>
    </row>
    <row r="35" spans="1:17" ht="15.75" thickBot="1">
      <c r="A35" s="1434"/>
      <c r="B35" s="2717" t="s">
        <v>1693</v>
      </c>
      <c r="C35" s="2718">
        <f ca="1">IF(D33="自定义",F35,ROUND(C32*D35,0))</f>
        <v>175</v>
      </c>
      <c r="D35" s="2719">
        <f ca="1">IF(D33="自定义",ROUND(C35/C32,3),IF(D33="成本法成本比率",成本法!C56,IF(D33="收益法收益比率",收益法!J38,收益法!J41)))</f>
        <v>0.127</v>
      </c>
      <c r="E35" s="2720" t="s">
        <v>1694</v>
      </c>
      <c r="F35" s="2721">
        <v>4460</v>
      </c>
      <c r="G35" s="945"/>
      <c r="H35" s="945"/>
      <c r="I35" s="945"/>
      <c r="J35" s="2812"/>
    </row>
    <row r="36" spans="1:17" ht="15.75" thickBot="1">
      <c r="A36" s="3457" t="s">
        <v>1695</v>
      </c>
      <c r="B36" s="1435" t="s">
        <v>1696</v>
      </c>
      <c r="C36" s="2722">
        <v>0</v>
      </c>
      <c r="D36" s="2723"/>
      <c r="E36" s="1647"/>
      <c r="F36" s="1647"/>
      <c r="G36" s="945"/>
      <c r="H36" s="945"/>
      <c r="I36" s="945"/>
      <c r="J36" s="2812"/>
    </row>
    <row r="37" spans="1:17" ht="15.75" thickBot="1">
      <c r="A37" s="3459"/>
      <c r="B37" s="2061" t="s">
        <v>1697</v>
      </c>
      <c r="C37" s="2724">
        <v>0</v>
      </c>
      <c r="D37" s="1278"/>
      <c r="E37" s="1278"/>
      <c r="F37" s="1647"/>
      <c r="G37" s="1278"/>
      <c r="H37" s="1278"/>
      <c r="I37" s="1278"/>
      <c r="J37" s="2816"/>
    </row>
    <row r="38" spans="1:17" ht="15.75" thickBot="1">
      <c r="A38" s="3460"/>
      <c r="B38" s="1436" t="s">
        <v>1698</v>
      </c>
      <c r="C38" s="2725">
        <v>0</v>
      </c>
      <c r="D38" s="2726" t="s">
        <v>1699</v>
      </c>
      <c r="E38" s="1278"/>
      <c r="F38" s="1647"/>
      <c r="G38" s="1278"/>
      <c r="H38" s="1278"/>
      <c r="I38" s="1278"/>
      <c r="J38" s="2816"/>
    </row>
    <row r="39" spans="1:17" ht="15">
      <c r="A39" s="2691" t="s">
        <v>1700</v>
      </c>
      <c r="B39" s="2727" t="s">
        <v>1684</v>
      </c>
      <c r="C39" s="2728" t="s">
        <v>1685</v>
      </c>
      <c r="D39" s="2728" t="s">
        <v>1701</v>
      </c>
      <c r="E39" s="2729" t="s">
        <v>1686</v>
      </c>
      <c r="F39" s="1647"/>
      <c r="G39" s="1278"/>
      <c r="H39" s="1278"/>
      <c r="I39" s="1278"/>
      <c r="J39" s="2816"/>
    </row>
    <row r="40" spans="1:17" ht="14.25">
      <c r="A40" s="2730" t="s">
        <v>1702</v>
      </c>
      <c r="B40" s="2731"/>
      <c r="C40" s="2732"/>
      <c r="D40" s="2732"/>
      <c r="E40" s="2733"/>
      <c r="F40" s="1647"/>
      <c r="G40" s="1278"/>
      <c r="H40" s="1278"/>
      <c r="I40" s="1278"/>
      <c r="J40" s="2816"/>
    </row>
    <row r="41" spans="1:17" ht="14.25">
      <c r="A41" s="2730" t="s">
        <v>1703</v>
      </c>
      <c r="B41" s="2731"/>
      <c r="C41" s="2732"/>
      <c r="D41" s="2732"/>
      <c r="E41" s="2733"/>
      <c r="F41" s="1647"/>
      <c r="G41" s="1278"/>
      <c r="H41" s="1278"/>
      <c r="I41" s="1278"/>
      <c r="J41" s="2816"/>
    </row>
    <row r="42" spans="1:17" ht="15" thickBot="1">
      <c r="A42" s="2734"/>
      <c r="B42" s="2735"/>
      <c r="C42" s="2736"/>
      <c r="D42" s="2736"/>
      <c r="E42" s="2721"/>
      <c r="F42" s="1647"/>
      <c r="G42" s="1278"/>
      <c r="H42" s="1278"/>
      <c r="I42" s="1278"/>
      <c r="J42" s="2816"/>
    </row>
    <row r="43" spans="1:17" ht="12.75">
      <c r="A43" s="2942"/>
      <c r="B43" s="2942"/>
      <c r="C43" s="2942"/>
      <c r="D43" s="2942"/>
      <c r="E43" s="2942"/>
      <c r="F43" s="2941"/>
      <c r="G43" s="2941"/>
      <c r="H43" s="2941"/>
      <c r="I43" s="2628"/>
      <c r="J43" s="2817"/>
    </row>
    <row r="44" spans="1:17" ht="18.75">
      <c r="A44" s="1438" t="s">
        <v>1704</v>
      </c>
      <c r="B44" s="1439"/>
      <c r="C44" s="1439"/>
      <c r="D44" s="1440"/>
      <c r="E44" s="1440"/>
      <c r="F44" s="1441"/>
      <c r="G44" s="1441"/>
      <c r="H44" s="1441"/>
      <c r="I44" s="2806" t="s">
        <v>2758</v>
      </c>
      <c r="J44" s="2818"/>
      <c r="K44" s="1442" t="s">
        <v>1705</v>
      </c>
      <c r="L44" s="1443"/>
      <c r="M44" s="1443"/>
      <c r="N44" s="1443"/>
      <c r="O44" s="1443"/>
      <c r="P44" s="1443"/>
      <c r="Q44" s="1275"/>
    </row>
    <row r="45" spans="1:17" ht="14.25" customHeight="1" thickBot="1">
      <c r="A45" s="3437" t="s">
        <v>1706</v>
      </c>
      <c r="B45" s="3438"/>
      <c r="C45" s="3439"/>
      <c r="D45" s="246">
        <f ca="1">ROUND(I102*F45,0)</f>
        <v>1375</v>
      </c>
      <c r="E45" s="1509" t="s">
        <v>1707</v>
      </c>
      <c r="F45" s="2528">
        <v>1</v>
      </c>
      <c r="G45" s="2529" t="s">
        <v>1708</v>
      </c>
      <c r="H45" s="945"/>
      <c r="I45" s="945"/>
      <c r="J45" s="2812"/>
      <c r="K45" s="3554" t="s">
        <v>2688</v>
      </c>
      <c r="L45" s="3554"/>
      <c r="M45" s="3554"/>
      <c r="N45" s="3554"/>
      <c r="O45" s="3554"/>
      <c r="P45" s="3554"/>
      <c r="Q45" s="1275"/>
    </row>
    <row r="46" spans="1:17" ht="14.25" customHeight="1">
      <c r="A46" s="3441" t="s">
        <v>1710</v>
      </c>
      <c r="B46" s="3442"/>
      <c r="C46" s="3442"/>
      <c r="D46" s="3442"/>
      <c r="E46" s="3442"/>
      <c r="F46" s="3442"/>
      <c r="G46" s="3443"/>
      <c r="H46" s="2944"/>
      <c r="I46" s="945"/>
      <c r="J46" s="2812"/>
      <c r="K46" s="2503">
        <v>1</v>
      </c>
      <c r="L46" s="3555" t="s">
        <v>2689</v>
      </c>
      <c r="M46" s="3555"/>
      <c r="N46" s="3556" t="str">
        <f>项目基本情况!B1</f>
        <v>北京市房地产抵押价值预评估</v>
      </c>
      <c r="O46" s="3556"/>
      <c r="P46" s="3556"/>
      <c r="Q46" s="1275"/>
    </row>
    <row r="47" spans="1:17" ht="12" customHeight="1">
      <c r="A47" s="38" t="s">
        <v>1712</v>
      </c>
      <c r="B47" s="39"/>
      <c r="C47" s="40"/>
      <c r="D47" s="1067" t="s">
        <v>1713</v>
      </c>
      <c r="E47" s="235" t="s">
        <v>1714</v>
      </c>
      <c r="F47" s="41" t="s">
        <v>1715</v>
      </c>
      <c r="G47" s="2531" t="s">
        <v>1716</v>
      </c>
      <c r="H47" s="2944"/>
      <c r="I47" s="945"/>
      <c r="J47" s="2812"/>
      <c r="K47" s="2503">
        <v>2</v>
      </c>
      <c r="L47" s="3555" t="s">
        <v>2690</v>
      </c>
      <c r="M47" s="3555"/>
      <c r="N47" s="3557">
        <f>'数据-取费表'!B2</f>
        <v>44554</v>
      </c>
      <c r="O47" s="3557"/>
      <c r="P47" s="3557"/>
      <c r="Q47" s="1275"/>
    </row>
    <row r="48" spans="1:17" ht="25.5">
      <c r="A48" s="3451" t="s">
        <v>1718</v>
      </c>
      <c r="B48" s="3452"/>
      <c r="C48" s="3452"/>
      <c r="D48" s="12">
        <f ca="1">IF(H48="情况1",0,IF(H48="情况2",D52,IF(H48="情况3",D53,IF(H48="情况4",D54))))</f>
        <v>72</v>
      </c>
      <c r="E48" s="2059" t="str">
        <f>IF(H48="情况4","(销售额-原购置价)×税（费）率","销售额×税（费）率")</f>
        <v>销售额×税（费）率</v>
      </c>
      <c r="F48" s="2532">
        <f>IF(H48="情况1","免征",'数据-取费表'!E29)</f>
        <v>5.5000000000000007E-2</v>
      </c>
      <c r="G48" s="2533" t="s">
        <v>1719</v>
      </c>
      <c r="H48" s="2534" t="s">
        <v>1720</v>
      </c>
      <c r="I48" s="2944"/>
      <c r="J48" s="2819"/>
      <c r="K48" s="2503">
        <v>3</v>
      </c>
      <c r="L48" s="3555" t="s">
        <v>2691</v>
      </c>
      <c r="M48" s="3555"/>
      <c r="N48" s="3556">
        <f ca="1">I102</f>
        <v>1375</v>
      </c>
      <c r="O48" s="3556"/>
      <c r="P48" s="3556"/>
      <c r="Q48" s="1275"/>
    </row>
    <row r="49" spans="1:17" ht="25.5" customHeight="1">
      <c r="A49" s="2058" t="s">
        <v>1722</v>
      </c>
      <c r="B49" s="3446" t="s">
        <v>1723</v>
      </c>
      <c r="C49" s="3446"/>
      <c r="D49" s="2535">
        <v>0</v>
      </c>
      <c r="E49" s="261" t="s">
        <v>1724</v>
      </c>
      <c r="F49" s="2536" t="s">
        <v>48</v>
      </c>
      <c r="G49" s="3464"/>
      <c r="H49" s="2537" t="s">
        <v>2765</v>
      </c>
      <c r="I49" s="2538"/>
      <c r="J49" s="2820"/>
      <c r="K49" s="2503">
        <v>4</v>
      </c>
      <c r="L49" s="3555" t="str">
        <f>IF(项目基本情况!F5="房地产抵押价值","房地产抵押价值","抵押担保权已注销时的房地产抵押价值")</f>
        <v>房地产抵押价值</v>
      </c>
      <c r="M49" s="3555"/>
      <c r="N49" s="3556">
        <f ca="1">IF(项目基本情况!F5="房地产抵押价值",I110,I112)</f>
        <v>1375</v>
      </c>
      <c r="O49" s="3556"/>
      <c r="P49" s="3556"/>
      <c r="Q49" s="1275"/>
    </row>
    <row r="50" spans="1:17" ht="25.5" customHeight="1">
      <c r="A50" s="2048"/>
      <c r="B50" s="3446" t="s">
        <v>1725</v>
      </c>
      <c r="C50" s="3446"/>
      <c r="D50" s="2539"/>
      <c r="E50" s="269"/>
      <c r="F50" s="2536"/>
      <c r="G50" s="3465"/>
      <c r="H50" s="2540" t="s">
        <v>2684</v>
      </c>
      <c r="I50" s="2538"/>
      <c r="J50" s="2820"/>
      <c r="K50" s="3555" t="s">
        <v>2692</v>
      </c>
      <c r="L50" s="3555"/>
      <c r="M50" s="3555"/>
      <c r="N50" s="3555"/>
      <c r="O50" s="3555"/>
      <c r="P50" s="3555"/>
      <c r="Q50" s="1275"/>
    </row>
    <row r="51" spans="1:17" ht="20.45" customHeight="1">
      <c r="A51" s="2541"/>
      <c r="B51" s="3446" t="s">
        <v>1727</v>
      </c>
      <c r="C51" s="3446"/>
      <c r="D51" s="1067"/>
      <c r="E51" s="264"/>
      <c r="F51" s="2536"/>
      <c r="G51" s="3466"/>
      <c r="H51" s="2540" t="s">
        <v>2685</v>
      </c>
      <c r="I51" s="2538"/>
      <c r="J51" s="2820"/>
      <c r="K51" s="2504" t="s">
        <v>2693</v>
      </c>
      <c r="L51" s="3555" t="s">
        <v>2694</v>
      </c>
      <c r="M51" s="3555"/>
      <c r="N51" s="2504" t="s">
        <v>2695</v>
      </c>
      <c r="O51" s="2504" t="s">
        <v>2696</v>
      </c>
      <c r="P51" s="2504" t="s">
        <v>2697</v>
      </c>
      <c r="Q51" s="1275"/>
    </row>
    <row r="52" spans="1:17" ht="24" customHeight="1">
      <c r="A52" s="2049" t="s">
        <v>1733</v>
      </c>
      <c r="B52" s="3446" t="s">
        <v>1734</v>
      </c>
      <c r="C52" s="3446"/>
      <c r="D52" s="1067">
        <f ca="1">ROUND(D45*'数据-取费表'!E29/(1+'数据-取费表'!F30),0)</f>
        <v>72</v>
      </c>
      <c r="E52" s="2059" t="s">
        <v>1735</v>
      </c>
      <c r="F52" s="2542">
        <f>'数据-取费表'!E29</f>
        <v>5.5000000000000007E-2</v>
      </c>
      <c r="G52" s="2543"/>
      <c r="H52" s="945"/>
      <c r="I52" s="2945"/>
      <c r="J52" s="2820"/>
      <c r="K52" s="2503">
        <v>1</v>
      </c>
      <c r="L52" s="3553" t="s">
        <v>2698</v>
      </c>
      <c r="M52" s="3553"/>
      <c r="N52" s="2505">
        <f ca="1">D48</f>
        <v>72</v>
      </c>
      <c r="O52" s="2503" t="str">
        <f>E48</f>
        <v>销售额×税（费）率</v>
      </c>
      <c r="P52" s="2506">
        <f>F48</f>
        <v>5.5000000000000007E-2</v>
      </c>
      <c r="Q52" s="1275"/>
    </row>
    <row r="53" spans="1:17" ht="12" customHeight="1">
      <c r="A53" s="2049" t="s">
        <v>1737</v>
      </c>
      <c r="B53" s="3448" t="s">
        <v>2777</v>
      </c>
      <c r="C53" s="3449"/>
      <c r="D53" s="1067">
        <f ca="1">ROUND(D45*'数据-取费表'!E29/(1+'数据-取费表'!F30),0)</f>
        <v>72</v>
      </c>
      <c r="E53" s="2059" t="s">
        <v>1735</v>
      </c>
      <c r="F53" s="2542">
        <f>'数据-取费表'!E29</f>
        <v>5.5000000000000007E-2</v>
      </c>
      <c r="G53" s="2543"/>
      <c r="H53" s="945"/>
      <c r="I53" s="2945"/>
      <c r="J53" s="2820"/>
      <c r="K53" s="2503">
        <v>2</v>
      </c>
      <c r="L53" s="3553" t="s">
        <v>2699</v>
      </c>
      <c r="M53" s="3553"/>
      <c r="N53" s="2505">
        <f t="shared" ref="N53:P54" si="1">D55</f>
        <v>0</v>
      </c>
      <c r="O53" s="2503" t="str">
        <f t="shared" si="1"/>
        <v>销售额×税（费）率</v>
      </c>
      <c r="P53" s="2506" t="str">
        <f t="shared" si="1"/>
        <v>免征</v>
      </c>
      <c r="Q53" s="1275"/>
    </row>
    <row r="54" spans="1:17" ht="12" customHeight="1">
      <c r="A54" s="2049" t="s">
        <v>1739</v>
      </c>
      <c r="B54" s="3448" t="s">
        <v>2778</v>
      </c>
      <c r="C54" s="3449"/>
      <c r="D54" s="1067">
        <f ca="1">C68</f>
        <v>72</v>
      </c>
      <c r="E54" s="264" t="s">
        <v>1740</v>
      </c>
      <c r="F54" s="2542">
        <f>'数据-取费表'!E29</f>
        <v>5.5000000000000007E-2</v>
      </c>
      <c r="G54" s="2543"/>
      <c r="H54" s="2946"/>
      <c r="I54" s="2945"/>
      <c r="J54" s="2820"/>
      <c r="K54" s="2503">
        <v>3</v>
      </c>
      <c r="L54" s="3553" t="s">
        <v>2700</v>
      </c>
      <c r="M54" s="3553"/>
      <c r="N54" s="2505">
        <f t="shared" si="1"/>
        <v>0</v>
      </c>
      <c r="O54" s="2503" t="str">
        <f t="shared" si="1"/>
        <v>增值额×税（费）率</v>
      </c>
      <c r="P54" s="2507" t="str">
        <f t="shared" si="1"/>
        <v>免征</v>
      </c>
      <c r="Q54" s="1275"/>
    </row>
    <row r="55" spans="1:17" ht="24" customHeight="1">
      <c r="A55" s="3474" t="s">
        <v>1742</v>
      </c>
      <c r="B55" s="3452"/>
      <c r="C55" s="3452"/>
      <c r="D55" s="12">
        <f>IF(H55="个人住宅",0,ROUND(D45*I55,0))</f>
        <v>0</v>
      </c>
      <c r="E55" s="2059" t="s">
        <v>1743</v>
      </c>
      <c r="F55" s="2542" t="str">
        <f>IF(H55="正常",I55,"免征")</f>
        <v>免征</v>
      </c>
      <c r="G55" s="2543"/>
      <c r="H55" s="2534" t="s">
        <v>2681</v>
      </c>
      <c r="I55" s="74">
        <f>'数据-取费表'!E37</f>
        <v>5.0000000000000001E-4</v>
      </c>
      <c r="J55" s="2820"/>
      <c r="K55" s="2503" t="str">
        <f>IF(H59="非个人房产","",4)</f>
        <v/>
      </c>
      <c r="L55" s="3553" t="str">
        <f>IF(H59="非个人房产","——","个人所得税")</f>
        <v>——</v>
      </c>
      <c r="M55" s="3553"/>
      <c r="N55" s="2508" t="str">
        <f>D59</f>
        <v>——</v>
      </c>
      <c r="O55" s="2509" t="str">
        <f>E59</f>
        <v>——</v>
      </c>
      <c r="P55" s="2510" t="str">
        <f>F59</f>
        <v>——</v>
      </c>
      <c r="Q55" s="1275"/>
    </row>
    <row r="56" spans="1:17" ht="24.75">
      <c r="A56" s="3474" t="s">
        <v>1745</v>
      </c>
      <c r="B56" s="3452"/>
      <c r="C56" s="3452"/>
      <c r="D56" s="12">
        <f>IF(H56="个人住宅",D57,D58)</f>
        <v>0</v>
      </c>
      <c r="E56" s="2059" t="s">
        <v>1746</v>
      </c>
      <c r="F56" s="2542" t="str">
        <f>IF(H56="正常",F58,"免征")</f>
        <v>免征</v>
      </c>
      <c r="G56" s="2544" t="s">
        <v>1747</v>
      </c>
      <c r="H56" s="2545" t="s">
        <v>2681</v>
      </c>
      <c r="I56" s="2947"/>
      <c r="J56" s="2820"/>
      <c r="K56" s="2503" t="str">
        <f>IF(项目基本情况!I6="上海银行",IF(K55="",4,K55+1),"")</f>
        <v/>
      </c>
      <c r="L56" s="3551" t="str">
        <f>IF(项目基本情况!I6="上海银行","其他处置费用","")</f>
        <v/>
      </c>
      <c r="M56" s="3558"/>
      <c r="N56" s="2505" t="str">
        <f>IF(项目基本情况!I6="上海银行",N69,"")</f>
        <v/>
      </c>
      <c r="O56" s="3551" t="str">
        <f>IF(项目基本情况!I6="上海银行","包含处置中涉及的律师、诉讼、拍卖、评估等费用","")</f>
        <v/>
      </c>
      <c r="P56" s="3552"/>
      <c r="Q56" s="1275"/>
    </row>
    <row r="57" spans="1:17" ht="12.75">
      <c r="A57" s="2049" t="s">
        <v>1722</v>
      </c>
      <c r="B57" s="3448" t="s">
        <v>1748</v>
      </c>
      <c r="C57" s="3449"/>
      <c r="D57" s="2535">
        <v>0</v>
      </c>
      <c r="E57" s="261" t="s">
        <v>1724</v>
      </c>
      <c r="F57" s="235"/>
      <c r="G57" s="2543"/>
      <c r="H57" s="2947"/>
      <c r="I57" s="2947"/>
      <c r="J57" s="2820"/>
      <c r="K57" s="3553">
        <f>IF(AND(K55="",K56=""),4,IF(项目基本情况!I6="上海银行",K56+1,K55+1))</f>
        <v>4</v>
      </c>
      <c r="L57" s="3553" t="s">
        <v>2701</v>
      </c>
      <c r="M57" s="2511" t="s">
        <v>2702</v>
      </c>
      <c r="N57" s="2512"/>
      <c r="O57" s="2513">
        <f ca="1">SUMIF(N52:N56,"&lt;9e307")</f>
        <v>72</v>
      </c>
      <c r="P57" s="2514"/>
      <c r="Q57" s="1273">
        <f ca="1">O57/N49</f>
        <v>5.2363636363636362E-2</v>
      </c>
    </row>
    <row r="58" spans="1:17" ht="24.75">
      <c r="A58" s="2049" t="s">
        <v>1733</v>
      </c>
      <c r="B58" s="3448" t="s">
        <v>1751</v>
      </c>
      <c r="C58" s="3446"/>
      <c r="D58" s="12">
        <f ca="1">IF(H58="转让取得",C81,C97)</f>
        <v>779</v>
      </c>
      <c r="E58" s="2059" t="s">
        <v>1746</v>
      </c>
      <c r="F58" s="235" t="s">
        <v>48</v>
      </c>
      <c r="G58" s="2543"/>
      <c r="H58" s="2545" t="s">
        <v>1752</v>
      </c>
      <c r="I58" s="2947"/>
      <c r="J58" s="2820"/>
      <c r="K58" s="3553"/>
      <c r="L58" s="3553"/>
      <c r="M58" s="2511" t="s">
        <v>2703</v>
      </c>
      <c r="N58" s="2515"/>
      <c r="O58" s="2516" t="str">
        <f ca="1">IF(H19="元",NUMBERSTRING(INT(O57),2)&amp;"元整",NUMBERSTRING(INT(O57*10000),2)&amp;"元整")</f>
        <v>柒拾贰万元整</v>
      </c>
      <c r="P58" s="2517"/>
      <c r="Q58" s="1275"/>
    </row>
    <row r="59" spans="1:17" ht="24.75" thickBot="1">
      <c r="A59" s="3471" t="s">
        <v>1754</v>
      </c>
      <c r="B59" s="3472"/>
      <c r="C59" s="3472"/>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0" t="s">
        <v>2756</v>
      </c>
      <c r="H59" s="2063" t="s">
        <v>2766</v>
      </c>
      <c r="I59" s="2849" t="s">
        <v>2767</v>
      </c>
      <c r="J59" s="2820"/>
      <c r="K59" s="3565">
        <f>K57+1</f>
        <v>5</v>
      </c>
      <c r="L59" s="3553" t="s">
        <v>2704</v>
      </c>
      <c r="M59" s="2503" t="s">
        <v>2702</v>
      </c>
      <c r="N59" s="2518"/>
      <c r="O59" s="2519">
        <f ca="1">N49-O57</f>
        <v>1303</v>
      </c>
      <c r="P59" s="2520"/>
      <c r="Q59" s="1275"/>
    </row>
    <row r="60" spans="1:17" ht="12" customHeight="1">
      <c r="A60" s="1424"/>
      <c r="B60" s="1428"/>
      <c r="C60" s="1428"/>
      <c r="D60" s="1428"/>
      <c r="E60" s="811"/>
      <c r="F60" s="2948"/>
      <c r="G60" s="2948"/>
      <c r="H60" s="2949"/>
      <c r="I60" s="31"/>
      <c r="K60" s="3566"/>
      <c r="L60" s="3553"/>
      <c r="M60" s="2511" t="s">
        <v>2703</v>
      </c>
      <c r="N60" s="2515"/>
      <c r="O60" s="2516" t="str">
        <f ca="1">IF(H19="元",NUMBERSTRING(INT(O59),2)&amp;"元整",NUMBERSTRING(INT(O59*10000),2)&amp;"元整")</f>
        <v>壹仟叁佰零叁万元整</v>
      </c>
      <c r="P60" s="2517"/>
      <c r="Q60" s="1275"/>
    </row>
    <row r="61" spans="1:17" ht="13.5" thickBot="1">
      <c r="A61" s="3569" t="s">
        <v>1756</v>
      </c>
      <c r="B61" s="3569"/>
      <c r="C61" s="3569"/>
      <c r="D61" s="3569"/>
      <c r="E61" s="3569"/>
      <c r="F61" s="2948"/>
      <c r="G61" s="2948"/>
      <c r="H61" s="2950"/>
      <c r="I61" s="31"/>
      <c r="K61" s="2503">
        <f>K59+1</f>
        <v>6</v>
      </c>
      <c r="L61" s="3553" t="s">
        <v>2705</v>
      </c>
      <c r="M61" s="3553"/>
      <c r="N61" s="2521"/>
      <c r="O61" s="2522">
        <f ca="1">IF(H19="元",ROUND(O59/项目基本情况!C12,0),ROUND(O59*10000/项目基本情况!C12,0))</f>
        <v>35911</v>
      </c>
      <c r="P61" s="2523"/>
      <c r="Q61" s="1275"/>
    </row>
    <row r="62" spans="1:17" ht="12.75">
      <c r="A62" s="3476" t="s">
        <v>1758</v>
      </c>
      <c r="B62" s="3477"/>
      <c r="C62" s="1574"/>
      <c r="D62" s="1574" t="s">
        <v>1759</v>
      </c>
      <c r="E62" s="45" t="s">
        <v>1760</v>
      </c>
      <c r="F62" s="2948"/>
      <c r="G62" s="2948"/>
      <c r="H62" s="2950"/>
      <c r="I62" s="31"/>
      <c r="K62" s="2524"/>
      <c r="L62" s="2524"/>
      <c r="M62" s="2524"/>
      <c r="N62" s="2524"/>
      <c r="O62" s="2524"/>
      <c r="P62" s="2524"/>
      <c r="Q62" s="1275"/>
    </row>
    <row r="63" spans="1:17" ht="12.75">
      <c r="A63" s="46">
        <v>1</v>
      </c>
      <c r="B63" s="47" t="s">
        <v>1761</v>
      </c>
      <c r="C63" s="2751">
        <f ca="1">ROUND((C64+C65)/(1+'数据-取费表'!F30),0)</f>
        <v>1310</v>
      </c>
      <c r="D63" s="47"/>
      <c r="E63" s="48"/>
      <c r="F63" s="2948"/>
      <c r="G63" s="2948"/>
      <c r="H63" s="2950"/>
      <c r="I63" s="31"/>
      <c r="K63" s="3559" t="s">
        <v>2706</v>
      </c>
      <c r="L63" s="2525" t="s">
        <v>2707</v>
      </c>
      <c r="M63" s="2525">
        <f ca="1">IF(N49&gt;10000,N49*0.5%,IF(AND(N49&gt;1000,N49&lt;=10000),N49*1%,IF(AND(N49&gt;100,N49&lt;=1000),N49*3%,IF(AND(N49&gt;10,N49&lt;=100),N49*5%,N49*8%))))</f>
        <v>13.75</v>
      </c>
      <c r="N63" s="2526">
        <f ca="1">ROUND(M63,1)</f>
        <v>13.8</v>
      </c>
      <c r="O63" s="2524"/>
      <c r="P63" s="2524"/>
      <c r="Q63" s="1275"/>
    </row>
    <row r="64" spans="1:17" ht="12.75">
      <c r="A64" s="49" t="s">
        <v>71</v>
      </c>
      <c r="B64" s="50" t="s">
        <v>1764</v>
      </c>
      <c r="C64" s="2752">
        <f ca="1">D45</f>
        <v>1375</v>
      </c>
      <c r="D64" s="50" t="s">
        <v>41</v>
      </c>
      <c r="E64" s="52"/>
      <c r="F64" s="2948"/>
      <c r="G64" s="2948"/>
      <c r="H64" s="2950"/>
      <c r="I64" s="31"/>
      <c r="K64" s="3559"/>
      <c r="L64" s="2525" t="s">
        <v>2708</v>
      </c>
      <c r="M64" s="2525">
        <f ca="1">IF(N49&gt;2000,N49*0.5%,IF(AND(N49&gt;1000,N49&lt;=2000),N49*0.6%,IF(AND(N49&gt;500,N49&lt;=1000),N49*0.7%,IF(AND(N49&gt;200,N49&lt;=500),N49*0.8%,IF(AND(N49&gt;100,N49&lt;=200),N49*0.9%,IF(AND(N49&gt;50,N49&lt;=100),N49*1%,IF(AND(N49&gt;20,N49&lt;=50),N49*1.5%,IF(AND(N49&gt;10,N49&lt;=20),N49*2%,IF(AND(N49&gt;1,N49&lt;=10),N49*2.5%)))))))))</f>
        <v>8.25</v>
      </c>
      <c r="N64" s="2526">
        <f t="shared" ref="N64:N65" ca="1" si="2">ROUND(M64,1)</f>
        <v>8.3000000000000007</v>
      </c>
      <c r="O64" s="2524" t="s">
        <v>2709</v>
      </c>
      <c r="P64" s="2524"/>
      <c r="Q64" s="1275"/>
    </row>
    <row r="65" spans="1:36" ht="12.75">
      <c r="A65" s="49" t="s">
        <v>72</v>
      </c>
      <c r="B65" s="50" t="s">
        <v>1767</v>
      </c>
      <c r="C65" s="2753"/>
      <c r="D65" s="50"/>
      <c r="E65" s="52"/>
      <c r="F65" s="2948"/>
      <c r="G65" s="2948"/>
      <c r="H65" s="2950"/>
      <c r="I65" s="31"/>
      <c r="K65" s="3559"/>
      <c r="L65" s="2525" t="s">
        <v>2710</v>
      </c>
      <c r="M65" s="2525">
        <f ca="1">IF(N49&gt;1000,N49*0.1%,IF(AND(N49&gt;500,N49&lt;=1000),N49*0.5%,IF(AND(N49&gt;50,N49&lt;=500),N49*1%,IF(AND(N49&gt;1,N49&lt;=50),N49*1.5%))))</f>
        <v>1.375</v>
      </c>
      <c r="N65" s="2526">
        <f t="shared" ca="1" si="2"/>
        <v>1.4</v>
      </c>
      <c r="O65" s="2524" t="s">
        <v>2709</v>
      </c>
      <c r="P65" s="2524"/>
      <c r="Q65" s="1275"/>
    </row>
    <row r="66" spans="1:36" ht="12.75">
      <c r="A66" s="53" t="s">
        <v>47</v>
      </c>
      <c r="B66" s="54" t="s">
        <v>1769</v>
      </c>
      <c r="C66" s="2754"/>
      <c r="D66" s="54" t="s">
        <v>41</v>
      </c>
      <c r="E66" s="1283" t="s">
        <v>1770</v>
      </c>
      <c r="F66" s="2948"/>
      <c r="G66" s="2948"/>
      <c r="H66" s="2950"/>
      <c r="I66" s="31"/>
      <c r="K66" s="3559"/>
      <c r="L66" s="2525" t="s">
        <v>2711</v>
      </c>
      <c r="M66" s="2525">
        <f ca="1">N49*0.5%</f>
        <v>6.875</v>
      </c>
      <c r="N66" s="2526">
        <f ca="1">IF(M66&gt;0.5,0.5,ROUND(M66,0))</f>
        <v>0.5</v>
      </c>
      <c r="O66" s="2524" t="s">
        <v>2712</v>
      </c>
      <c r="P66" s="2524"/>
      <c r="Q66" s="1275"/>
    </row>
    <row r="67" spans="1:36" ht="12.75">
      <c r="A67" s="53" t="s">
        <v>42</v>
      </c>
      <c r="B67" s="54" t="s">
        <v>1773</v>
      </c>
      <c r="C67" s="2755">
        <f ca="1">C63-C66</f>
        <v>1310</v>
      </c>
      <c r="D67" s="50" t="s">
        <v>41</v>
      </c>
      <c r="E67" s="52"/>
      <c r="F67" s="2948"/>
      <c r="G67" s="2948"/>
      <c r="H67" s="2950"/>
      <c r="I67" s="31"/>
      <c r="K67" s="3559"/>
      <c r="L67" s="2525" t="s">
        <v>2713</v>
      </c>
      <c r="M67" s="2525">
        <f ca="1">IF(N49&gt;=10000,(8.25+(N49-10000)*0.01%),IF(AND(N49&gt;=8000,N49&lt;10000),(7.85+(N49-8000)*0.02%),IF(AND(N49&gt;=5000,N49&lt;8000),(6.65+(N49-5000)*0.04%),IF(AND(N49&gt;=2000,N49&lt;5000),(4.25+(PN49-2000)*0.08%),IF(AND(N49&gt;=1000,N49&lt;2000),(2.75+(N49-1000)*0.15%),IF(AND(N49&gt;=100,N49&lt;1000),(0.5+(N49-100)*0.25%),IF(AND(N49&gt;0,N49&lt;100),N49*0.5%)))))))</f>
        <v>3.3125</v>
      </c>
      <c r="N67" s="2526">
        <f ca="1">ROUND(M67*0.9,1)</f>
        <v>3</v>
      </c>
      <c r="O67" s="2524"/>
      <c r="P67" s="2524"/>
      <c r="Q67" s="1275"/>
    </row>
    <row r="68" spans="1:36" ht="13.5" thickBot="1">
      <c r="A68" s="55" t="s">
        <v>46</v>
      </c>
      <c r="B68" s="56" t="s">
        <v>1775</v>
      </c>
      <c r="C68" s="2756">
        <f ca="1">IF(C67&lt;=0,0,ROUND(C67*D68,0))</f>
        <v>72</v>
      </c>
      <c r="D68" s="2209">
        <f>'数据-取费表'!E29</f>
        <v>5.5000000000000007E-2</v>
      </c>
      <c r="E68" s="57"/>
      <c r="F68" s="2948"/>
      <c r="G68" s="2948"/>
      <c r="H68" s="2950"/>
      <c r="I68" s="31"/>
      <c r="K68" s="3559"/>
      <c r="L68" s="2525" t="s">
        <v>2714</v>
      </c>
      <c r="M68" s="2525">
        <f ca="1">IF(N49&gt;10000,N49*0.5%,IF(AND(N49&gt;5000,N49&lt;=10000),N49*1%,IF(AND(N49&gt;1000,N49&lt;=5000),N49*2%,IF(AND(N49&gt;200,N49&lt;=1000),N49*3%,N49*5%))))</f>
        <v>27.5</v>
      </c>
      <c r="N68" s="2526">
        <f ca="1">ROUND(M68,1)</f>
        <v>27.5</v>
      </c>
      <c r="O68" s="2524"/>
      <c r="P68" s="2524"/>
      <c r="Q68" s="1275"/>
    </row>
    <row r="69" spans="1:36" s="1432" customFormat="1" ht="7.5" customHeight="1">
      <c r="A69" s="1444"/>
      <c r="B69" s="1445"/>
      <c r="C69" s="1446"/>
      <c r="D69" s="1447"/>
      <c r="E69" s="1448"/>
      <c r="F69" s="811"/>
      <c r="G69" s="811"/>
      <c r="H69" s="1437"/>
      <c r="I69" s="1428"/>
      <c r="J69" s="2808"/>
      <c r="K69" s="3559"/>
      <c r="L69" s="2525" t="s">
        <v>54</v>
      </c>
      <c r="M69" s="2525"/>
      <c r="N69" s="2526">
        <f ca="1">ROUND(SUM(N63:N68),0)</f>
        <v>55</v>
      </c>
      <c r="O69" s="2527">
        <f ca="1">N69/N49</f>
        <v>0.04</v>
      </c>
      <c r="P69" s="2524"/>
      <c r="Q69" s="1275"/>
      <c r="R69" s="658"/>
      <c r="S69" s="658"/>
      <c r="T69" s="658"/>
      <c r="U69" s="658"/>
      <c r="V69" s="658"/>
      <c r="W69" s="658"/>
      <c r="X69" s="658"/>
      <c r="Y69" s="658"/>
      <c r="Z69" s="658"/>
      <c r="AA69" s="658"/>
      <c r="AB69" s="1275"/>
      <c r="AC69" s="1275"/>
      <c r="AD69" s="1275"/>
      <c r="AE69" s="1275"/>
      <c r="AF69" s="1275"/>
      <c r="AG69" s="1275"/>
      <c r="AH69" s="1275"/>
      <c r="AI69" s="1275"/>
      <c r="AJ69" s="1275"/>
    </row>
    <row r="70" spans="1:36" s="1450" customFormat="1" ht="15" thickBot="1">
      <c r="A70" s="3563" t="s">
        <v>1778</v>
      </c>
      <c r="B70" s="3564"/>
      <c r="C70" s="3564"/>
      <c r="D70" s="3564"/>
      <c r="E70" s="3564"/>
      <c r="F70" s="3564"/>
      <c r="G70" s="3564"/>
      <c r="H70" s="3564"/>
      <c r="I70" s="1449"/>
      <c r="J70" s="2821"/>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25">
      <c r="A71" s="3476" t="s">
        <v>1758</v>
      </c>
      <c r="B71" s="3477"/>
      <c r="C71" s="1574"/>
      <c r="D71" s="1574" t="s">
        <v>1759</v>
      </c>
      <c r="E71" s="58" t="s">
        <v>1760</v>
      </c>
      <c r="F71" s="59"/>
      <c r="G71" s="59"/>
      <c r="H71" s="60"/>
      <c r="I71" s="1452"/>
      <c r="J71" s="2822"/>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25">
      <c r="A72" s="61">
        <v>1</v>
      </c>
      <c r="B72" s="54" t="s">
        <v>1779</v>
      </c>
      <c r="C72" s="2755">
        <f ca="1">ROUND(D45/(1+'数据-取费表'!F30),0)</f>
        <v>1310</v>
      </c>
      <c r="D72" s="50" t="s">
        <v>41</v>
      </c>
      <c r="E72" s="12" t="s">
        <v>1780</v>
      </c>
      <c r="F72" s="2056"/>
      <c r="G72" s="2056"/>
      <c r="H72" s="62"/>
      <c r="I72" s="1452"/>
      <c r="J72" s="2822"/>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63">
        <v>2</v>
      </c>
      <c r="B73" s="41" t="s">
        <v>1781</v>
      </c>
      <c r="C73" s="2755">
        <f ca="1">C74+C78</f>
        <v>7</v>
      </c>
      <c r="D73" s="50" t="s">
        <v>41</v>
      </c>
      <c r="E73" s="2055"/>
      <c r="F73" s="2056"/>
      <c r="G73" s="2056"/>
      <c r="H73" s="62"/>
      <c r="I73" s="1452"/>
      <c r="J73" s="2822"/>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2"/>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59" t="s">
        <v>1785</v>
      </c>
      <c r="G75" s="64" t="s">
        <v>1786</v>
      </c>
      <c r="H75" s="2760"/>
      <c r="I75" s="9"/>
      <c r="J75" s="2823"/>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1">
        <v>0.05</v>
      </c>
      <c r="E76" s="3448" t="s">
        <v>1788</v>
      </c>
      <c r="F76" s="3446"/>
      <c r="G76" s="3446"/>
      <c r="H76" s="3489"/>
      <c r="I76" s="1452"/>
      <c r="J76" s="2822"/>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2"/>
      <c r="G77" s="1453" t="s">
        <v>1791</v>
      </c>
      <c r="H77" s="2057" t="str">
        <f>IF(G77="个人买卖住房","免征印花税"," ")</f>
        <v xml:space="preserve"> </v>
      </c>
      <c r="I77" s="1452"/>
      <c r="J77" s="2822"/>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63">
        <f ca="1">ROUND(D45*D78/(1+'数据-取费表'!F30),0)</f>
        <v>7</v>
      </c>
      <c r="D78" s="2764">
        <f>'数据-取费表'!E31</f>
        <v>5.000000000000001E-3</v>
      </c>
      <c r="E78" s="3478" t="s">
        <v>1793</v>
      </c>
      <c r="F78" s="3479"/>
      <c r="G78" s="3479"/>
      <c r="H78" s="3480"/>
      <c r="I78" s="1454"/>
      <c r="J78" s="2824"/>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25">
      <c r="A79" s="53" t="s">
        <v>42</v>
      </c>
      <c r="B79" s="54" t="s">
        <v>1794</v>
      </c>
      <c r="C79" s="2755">
        <f ca="1">C72-C73</f>
        <v>1303</v>
      </c>
      <c r="D79" s="50" t="s">
        <v>41</v>
      </c>
      <c r="E79" s="2055"/>
      <c r="F79" s="2056"/>
      <c r="G79" s="2056"/>
      <c r="H79" s="62"/>
      <c r="I79" s="1452"/>
      <c r="J79" s="2822"/>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c r="A80" s="53" t="s">
        <v>43</v>
      </c>
      <c r="B80" s="54" t="s">
        <v>1795</v>
      </c>
      <c r="C80" s="2765">
        <f ca="1">IF(C79&lt;=0,0,C79/C73)</f>
        <v>186.14285714285714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2"/>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75" thickBot="1">
      <c r="A81" s="55" t="s">
        <v>44</v>
      </c>
      <c r="B81" s="56" t="s">
        <v>1796</v>
      </c>
      <c r="C81" s="2766">
        <f ca="1">ROUND(IF(C79&lt;=0,0,IF(C80&gt;=200%,C79*60%-C73*35%,IF(C80&gt;=100%,C79*50%-C73*15%,IF(C80&gt;=50%,C79*40%-C73*5%,IF(C80&lt;50%,C79*30%,0))))),0)</f>
        <v>779</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2"/>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6"/>
      <c r="B82" s="607"/>
      <c r="C82" s="9"/>
      <c r="D82" s="9"/>
      <c r="E82" s="607"/>
      <c r="F82" s="607"/>
      <c r="G82" s="607"/>
      <c r="H82" s="608"/>
      <c r="I82" s="1454"/>
      <c r="J82" s="2824"/>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3563" t="s">
        <v>1797</v>
      </c>
      <c r="B83" s="3564"/>
      <c r="C83" s="3564"/>
      <c r="D83" s="3564"/>
      <c r="E83" s="3564"/>
      <c r="F83" s="3564"/>
      <c r="G83" s="3564"/>
      <c r="H83" s="3564"/>
      <c r="I83" s="9"/>
      <c r="J83" s="2823"/>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25">
      <c r="A84" s="3476" t="s">
        <v>1758</v>
      </c>
      <c r="B84" s="3477"/>
      <c r="C84" s="1574"/>
      <c r="D84" s="1574" t="s">
        <v>1759</v>
      </c>
      <c r="E84" s="58" t="s">
        <v>1760</v>
      </c>
      <c r="F84" s="59"/>
      <c r="G84" s="59"/>
      <c r="H84" s="72"/>
      <c r="I84" s="9"/>
      <c r="J84" s="2823"/>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c r="A85" s="61">
        <v>1</v>
      </c>
      <c r="B85" s="54" t="s">
        <v>1779</v>
      </c>
      <c r="C85" s="2755">
        <f ca="1">ROUND(D45/(1+'数据-取费表'!F30),0)</f>
        <v>1310</v>
      </c>
      <c r="D85" s="50" t="s">
        <v>41</v>
      </c>
      <c r="E85" s="2055" t="s">
        <v>1780</v>
      </c>
      <c r="F85" s="2056"/>
      <c r="G85" s="2056"/>
      <c r="H85" s="73"/>
      <c r="I85" s="9"/>
      <c r="J85" s="2823"/>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63">
        <v>2</v>
      </c>
      <c r="B86" s="41" t="s">
        <v>1781</v>
      </c>
      <c r="C86" s="2755">
        <f ca="1">IF(H88="仅含出让金",C87+C90+C91+C92+C93+C94,C87+C91+C92+C93+C94)</f>
        <v>7</v>
      </c>
      <c r="D86" s="2767"/>
      <c r="E86" s="2055"/>
      <c r="F86" s="2056"/>
      <c r="G86" s="2056"/>
      <c r="H86" s="73"/>
      <c r="I86" s="9"/>
      <c r="J86" s="2823"/>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49" t="s">
        <v>73</v>
      </c>
      <c r="B87" s="50" t="s">
        <v>1798</v>
      </c>
      <c r="C87" s="2763">
        <f>C88+C89</f>
        <v>0</v>
      </c>
      <c r="D87" s="2764"/>
      <c r="E87" s="2052"/>
      <c r="F87" s="2053"/>
      <c r="G87" s="2053"/>
      <c r="H87" s="2054"/>
      <c r="I87" s="9"/>
      <c r="J87" s="2823"/>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49" t="s">
        <v>74</v>
      </c>
      <c r="B88" s="50" t="s">
        <v>1799</v>
      </c>
      <c r="C88" s="2768"/>
      <c r="D88" s="2764"/>
      <c r="E88" s="74" t="s">
        <v>1800</v>
      </c>
      <c r="F88" s="2053"/>
      <c r="G88" s="75" t="s">
        <v>1801</v>
      </c>
      <c r="H88" s="1455"/>
      <c r="I88" s="9"/>
      <c r="J88" s="2823"/>
      <c r="K88" s="2939" t="s">
        <v>2760</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75</v>
      </c>
      <c r="B89" s="50" t="s">
        <v>1789</v>
      </c>
      <c r="C89" s="2763">
        <f>ROUND(C88*D89,0)</f>
        <v>0</v>
      </c>
      <c r="D89" s="2764">
        <f>'数据-取费表'!E36+'数据-取费表'!E37</f>
        <v>3.0499999999999999E-2</v>
      </c>
      <c r="E89" s="74" t="s">
        <v>1802</v>
      </c>
      <c r="F89" s="2053"/>
      <c r="G89" s="2053"/>
      <c r="H89" s="2054"/>
      <c r="I89" s="9"/>
      <c r="J89" s="2823"/>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8"/>
      <c r="D90" s="2764"/>
      <c r="E90" s="74" t="str">
        <f>IF(H88="-","土地取得成本中已包含该笔费用"," ")</f>
        <v xml:space="preserve"> </v>
      </c>
      <c r="F90" s="2053"/>
      <c r="G90" s="3490" t="s">
        <v>2676</v>
      </c>
      <c r="H90" s="3490"/>
      <c r="I90" s="9"/>
      <c r="J90" s="2823"/>
      <c r="K90" s="2939" t="s">
        <v>2761</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63">
        <f>IF(H91="——",成本法!C33,I91)</f>
        <v>0</v>
      </c>
      <c r="D91" s="2764"/>
      <c r="E91" s="3478" t="s">
        <v>1805</v>
      </c>
      <c r="F91" s="3479"/>
      <c r="G91" s="3479"/>
      <c r="H91" s="1456" t="s">
        <v>1806</v>
      </c>
      <c r="I91" s="1457"/>
      <c r="J91" s="2825"/>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63">
        <f>ROUND((C87+C90+C91)*D92,0)</f>
        <v>0</v>
      </c>
      <c r="D92" s="2807">
        <v>0.1</v>
      </c>
      <c r="E92" s="3478" t="s">
        <v>1808</v>
      </c>
      <c r="F92" s="3479"/>
      <c r="G92" s="3479"/>
      <c r="H92" s="3480"/>
      <c r="I92" s="9"/>
      <c r="J92" s="2823"/>
      <c r="K92" s="2940" t="s">
        <v>2762</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63">
        <f ca="1">ROUND(D45*D93/(1+'数据-取费表'!F30),0)</f>
        <v>7</v>
      </c>
      <c r="D93" s="2764">
        <f>'数据-取费表'!E31</f>
        <v>5.000000000000001E-3</v>
      </c>
      <c r="E93" s="3478" t="s">
        <v>1793</v>
      </c>
      <c r="F93" s="3479"/>
      <c r="G93" s="3479"/>
      <c r="H93" s="3480"/>
      <c r="I93" s="9"/>
      <c r="J93" s="2823"/>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63">
        <f>ROUND((C87+C90+C91)*D94,0)</f>
        <v>0</v>
      </c>
      <c r="D94" s="2764">
        <v>0.2</v>
      </c>
      <c r="E94" s="3478" t="s">
        <v>1810</v>
      </c>
      <c r="F94" s="3479"/>
      <c r="G94" s="3479"/>
      <c r="H94" s="3480"/>
      <c r="I94" s="9"/>
      <c r="J94" s="2823"/>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25">
      <c r="A95" s="53" t="s">
        <v>42</v>
      </c>
      <c r="B95" s="54" t="s">
        <v>1794</v>
      </c>
      <c r="C95" s="2755">
        <f ca="1">ROUND(C85-C86,0)</f>
        <v>1303</v>
      </c>
      <c r="D95" s="50" t="s">
        <v>41</v>
      </c>
      <c r="E95" s="2055"/>
      <c r="F95" s="2056"/>
      <c r="G95" s="2056"/>
      <c r="H95" s="73"/>
      <c r="I95" s="9"/>
      <c r="J95" s="2823"/>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c r="A96" s="53" t="s">
        <v>43</v>
      </c>
      <c r="B96" s="54" t="s">
        <v>1795</v>
      </c>
      <c r="C96" s="2765">
        <f ca="1">IF(C95&lt;=0,0,C95/C86)</f>
        <v>186.14285714285714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3"/>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75" thickBot="1">
      <c r="A97" s="55" t="s">
        <v>44</v>
      </c>
      <c r="B97" s="56" t="s">
        <v>1796</v>
      </c>
      <c r="C97" s="2766">
        <f ca="1">ROUND(IF(C95&lt;=0,0,IF(C96&gt;=200%,C95*60%-C86*35%,IF(C96&gt;=100%,C95*50%-C86*15%,IF(C96&gt;=50%,C95*40%-C86*5%,IF(C96&lt;50%,C95*30%,0))))),0)</f>
        <v>779</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1"/>
      <c r="F98" s="811"/>
      <c r="G98" s="811"/>
      <c r="H98" s="1437"/>
      <c r="I98" s="1428"/>
    </row>
    <row r="99" spans="1:36" ht="15.75">
      <c r="A99" s="3481" t="s">
        <v>1812</v>
      </c>
      <c r="B99" s="3482"/>
      <c r="C99" s="3482"/>
      <c r="D99" s="3483"/>
      <c r="E99" s="1428"/>
      <c r="F99" s="3560" t="s">
        <v>1813</v>
      </c>
      <c r="G99" s="3561"/>
      <c r="H99" s="3561"/>
      <c r="I99" s="3562"/>
      <c r="J99" s="2826"/>
    </row>
    <row r="100" spans="1:36" ht="15">
      <c r="A100" s="3492" t="s">
        <v>1814</v>
      </c>
      <c r="B100" s="3493"/>
      <c r="C100" s="1274" t="str">
        <f>C4</f>
        <v>典型户型修正</v>
      </c>
      <c r="D100" s="2774" t="str">
        <f>D4</f>
        <v>收益法</v>
      </c>
      <c r="E100" s="1428"/>
      <c r="F100" s="3494" t="s">
        <v>2720</v>
      </c>
      <c r="G100" s="3495"/>
      <c r="H100" s="3494" t="s">
        <v>2721</v>
      </c>
      <c r="I100" s="3497"/>
      <c r="J100" s="2827"/>
    </row>
    <row r="101" spans="1:36" ht="12.75">
      <c r="A101" s="3567" t="s">
        <v>2753</v>
      </c>
      <c r="B101" s="2274" t="str">
        <f>IF(H19="元","总价（元）","总价（万元）")</f>
        <v>总价（万元）</v>
      </c>
      <c r="C101" s="1274">
        <f ca="1">C19</f>
        <v>1429</v>
      </c>
      <c r="D101" s="2774">
        <f ca="1">D19</f>
        <v>1321</v>
      </c>
      <c r="E101" s="1428"/>
      <c r="F101" s="3494" t="str">
        <f>项目基本情况!I1</f>
        <v>北京市房地产</v>
      </c>
      <c r="G101" s="3495"/>
      <c r="H101" s="3501">
        <f>项目基本情况!C12</f>
        <v>362.84</v>
      </c>
      <c r="I101" s="3497"/>
      <c r="J101" s="2827"/>
    </row>
    <row r="102" spans="1:36" ht="12.75">
      <c r="A102" s="3567"/>
      <c r="B102" s="2274" t="s">
        <v>2754</v>
      </c>
      <c r="C102" s="2775">
        <f ca="1">C20</f>
        <v>39384</v>
      </c>
      <c r="D102" s="2776">
        <f ca="1">D20</f>
        <v>36420</v>
      </c>
      <c r="E102" s="1428"/>
      <c r="F102" s="3502" t="s">
        <v>2750</v>
      </c>
      <c r="G102" s="3503"/>
      <c r="H102" s="2784" t="str">
        <f>C106</f>
        <v>总价（万元）</v>
      </c>
      <c r="I102" s="2785">
        <f ca="1">H121</f>
        <v>1375</v>
      </c>
      <c r="J102" s="2827"/>
    </row>
    <row r="103" spans="1:36" ht="12.75">
      <c r="A103" s="3567" t="s">
        <v>2755</v>
      </c>
      <c r="B103" s="2212" t="str">
        <f>B101</f>
        <v>总价（万元）</v>
      </c>
      <c r="C103" s="2779">
        <f ca="1">H121</f>
        <v>1375</v>
      </c>
      <c r="D103" s="2777"/>
      <c r="E103" s="1428"/>
      <c r="F103" s="3502"/>
      <c r="G103" s="3503"/>
      <c r="H103" s="2784" t="s">
        <v>2723</v>
      </c>
      <c r="I103" s="52">
        <f ca="1">I121</f>
        <v>37895</v>
      </c>
      <c r="J103" s="2811"/>
    </row>
    <row r="104" spans="1:36" ht="13.5" thickBot="1">
      <c r="A104" s="3539"/>
      <c r="B104" s="2781" t="s">
        <v>2754</v>
      </c>
      <c r="C104" s="2782">
        <f ca="1">I121</f>
        <v>37895</v>
      </c>
      <c r="D104" s="2783"/>
      <c r="E104" s="1428"/>
      <c r="F104" s="3502"/>
      <c r="G104" s="3503"/>
      <c r="H104" s="3504"/>
      <c r="I104" s="3505"/>
      <c r="J104" s="2828"/>
    </row>
    <row r="105" spans="1:36" ht="15">
      <c r="A105" s="3481" t="s">
        <v>1815</v>
      </c>
      <c r="B105" s="3482"/>
      <c r="C105" s="3482"/>
      <c r="D105" s="3483"/>
      <c r="E105" s="1428"/>
      <c r="F105" s="3511" t="s">
        <v>2724</v>
      </c>
      <c r="G105" s="3512"/>
      <c r="H105" s="2786" t="str">
        <f>C108</f>
        <v>总额（万元）</v>
      </c>
      <c r="I105" s="2785">
        <f>SUMIF(I106:I108,"&lt;9E307")</f>
        <v>0</v>
      </c>
      <c r="J105" s="2827"/>
    </row>
    <row r="106" spans="1:36" ht="14.25">
      <c r="A106" s="3502" t="s">
        <v>2747</v>
      </c>
      <c r="B106" s="3503"/>
      <c r="C106" s="2784" t="str">
        <f>B101</f>
        <v>总价（万元）</v>
      </c>
      <c r="D106" s="2785">
        <f ca="1">H121</f>
        <v>1375</v>
      </c>
      <c r="E106" s="1428"/>
      <c r="F106" s="3509" t="s">
        <v>2725</v>
      </c>
      <c r="G106" s="3510"/>
      <c r="H106" s="2786" t="str">
        <f>C109</f>
        <v>总额（万元）</v>
      </c>
      <c r="I106" s="2787">
        <f>IF(D36="同一抵押权人同一抵押物续贷",C36&amp;"（续贷，未扣减，详见特别提示）",C36)</f>
        <v>0</v>
      </c>
      <c r="J106" s="2811"/>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502"/>
      <c r="B107" s="3503"/>
      <c r="C107" s="2784" t="s">
        <v>2748</v>
      </c>
      <c r="D107" s="52">
        <f ca="1">I121</f>
        <v>37895</v>
      </c>
      <c r="E107" s="1428"/>
      <c r="F107" s="3509" t="s">
        <v>2726</v>
      </c>
      <c r="G107" s="3510"/>
      <c r="H107" s="2786" t="str">
        <f>C110</f>
        <v>总额（万元）</v>
      </c>
      <c r="I107" s="52">
        <f>C37</f>
        <v>0</v>
      </c>
      <c r="J107" s="2811"/>
    </row>
    <row r="108" spans="1:36" ht="12.75">
      <c r="A108" s="3513" t="s">
        <v>2724</v>
      </c>
      <c r="B108" s="3514"/>
      <c r="C108" s="2786" t="str">
        <f>IF(H19="元","总额（元）","总额（万元）")</f>
        <v>总额（万元）</v>
      </c>
      <c r="D108" s="2785">
        <f>IF(D36="正常操作",I106+I107+I108,I107+I108)</f>
        <v>0</v>
      </c>
      <c r="E108" s="1428"/>
      <c r="F108" s="3509" t="s">
        <v>2751</v>
      </c>
      <c r="G108" s="3510"/>
      <c r="H108" s="2786" t="str">
        <f>C111</f>
        <v>总额（万元）</v>
      </c>
      <c r="I108" s="52">
        <f>C38</f>
        <v>0</v>
      </c>
      <c r="J108" s="2811"/>
    </row>
    <row r="109" spans="1:36" ht="12.75">
      <c r="A109" s="3509" t="s">
        <v>2725</v>
      </c>
      <c r="B109" s="3510"/>
      <c r="C109" s="2786" t="str">
        <f>C108</f>
        <v>总额（万元）</v>
      </c>
      <c r="D109" s="52">
        <f>IF(D36="同一抵押权人同一抵押物续贷",C36&amp;"（未扣减，详见特别提示）",C36)</f>
        <v>0</v>
      </c>
      <c r="E109" s="1428"/>
      <c r="F109" s="3502"/>
      <c r="G109" s="3503"/>
      <c r="H109" s="3515"/>
      <c r="I109" s="3516"/>
      <c r="J109" s="2829"/>
    </row>
    <row r="110" spans="1:36" ht="28.5" customHeight="1">
      <c r="A110" s="3509" t="s">
        <v>2749</v>
      </c>
      <c r="B110" s="3510"/>
      <c r="C110" s="2786" t="str">
        <f>C108</f>
        <v>总额（万元）</v>
      </c>
      <c r="D110" s="52">
        <f>C37</f>
        <v>0</v>
      </c>
      <c r="E110" s="1428"/>
      <c r="F110" s="3517" t="str">
        <f>IF(项目基本情况!F5="已注销","——","3.房地产抵押价值")</f>
        <v>3.房地产抵押价值</v>
      </c>
      <c r="G110" s="3439"/>
      <c r="H110" s="2772" t="str">
        <f>C112</f>
        <v>总价（万元）</v>
      </c>
      <c r="I110" s="2785">
        <f ca="1">IF(F110="——","——",I102-I105)</f>
        <v>1375</v>
      </c>
      <c r="J110" s="2827"/>
    </row>
    <row r="111" spans="1:36" ht="12.75">
      <c r="A111" s="3509" t="s">
        <v>2728</v>
      </c>
      <c r="B111" s="3510"/>
      <c r="C111" s="2786" t="str">
        <f>C108</f>
        <v>总额（万元）</v>
      </c>
      <c r="D111" s="52">
        <f>C38</f>
        <v>0</v>
      </c>
      <c r="E111" s="1428"/>
      <c r="F111" s="3518"/>
      <c r="G111" s="3519"/>
      <c r="H111" s="2784" t="s">
        <v>2723</v>
      </c>
      <c r="I111" s="2788">
        <f ca="1">D113</f>
        <v>37895</v>
      </c>
      <c r="J111" s="2830"/>
    </row>
    <row r="112" spans="1:36" ht="26.25" customHeight="1">
      <c r="A112" s="3502" t="str">
        <f>IF(项目基本情况!F5="已注销","——","3.房地产抵押价值")</f>
        <v>3.房地产抵押价值</v>
      </c>
      <c r="B112" s="3503"/>
      <c r="C112" s="2784" t="str">
        <f>B101</f>
        <v>总价（万元）</v>
      </c>
      <c r="D112" s="2785">
        <f ca="1">IF(A112="——","——",D106-D108)</f>
        <v>1375</v>
      </c>
      <c r="E112" s="1428"/>
      <c r="F112" s="3517" t="str">
        <f>IF(项目基本情况!F5="已注销及未注销","4.抵押担保权已注销时的房地产抵押价值",IF(项目基本情况!F5="已注销","3.抵押担保权已注销时的房地产抵押价值","——"))</f>
        <v>——</v>
      </c>
      <c r="G112" s="3439"/>
      <c r="H112" s="2772" t="str">
        <f>C114</f>
        <v>总价（万元）</v>
      </c>
      <c r="I112" s="2785" t="str">
        <f>IF(F112="——","——",I102-I107-I108)</f>
        <v>——</v>
      </c>
      <c r="J112" s="2827"/>
    </row>
    <row r="113" spans="1:16" ht="12.75">
      <c r="A113" s="3502"/>
      <c r="B113" s="3503"/>
      <c r="C113" s="2784" t="s">
        <v>2716</v>
      </c>
      <c r="D113" s="52">
        <f ca="1">ROUND(IF(D112=D106,D107,IF(H19="元",D112/项目基本情况!C12,D112*10000/项目基本情况!C12)),0)</f>
        <v>37895</v>
      </c>
      <c r="E113" s="1428"/>
      <c r="F113" s="3518"/>
      <c r="G113" s="3519"/>
      <c r="H113" s="2784" t="s">
        <v>2752</v>
      </c>
      <c r="I113" s="52" t="str">
        <f>D115</f>
        <v>——</v>
      </c>
      <c r="J113" s="2811"/>
    </row>
    <row r="114" spans="1:16" ht="12.75">
      <c r="A114" s="3502" t="str">
        <f>IF(项目基本情况!F5="已注销及未注销","4.抵押担保权已注销时的房地产抵押价值",IF(项目基本情况!F5="已注销","3.抵押担保权已注销时的房地产抵押价值","——"))</f>
        <v>——</v>
      </c>
      <c r="B114" s="3503"/>
      <c r="C114" s="2784" t="str">
        <f>B101</f>
        <v>总价（万元）</v>
      </c>
      <c r="D114" s="2785" t="str">
        <f>IF(A114="——","——",D106-D110-D111)</f>
        <v>——</v>
      </c>
      <c r="E114" s="1428"/>
      <c r="F114" s="3517" t="str">
        <f>IF(项目基本情况!G5="抵押净值",IF(OR(项目基本情况!F5="已注销",项目基本情况!F5="房地产抵押价值"),"4.抵押净值","5.抵押净值"),"——")</f>
        <v>——</v>
      </c>
      <c r="G114" s="3439"/>
      <c r="H114" s="2784" t="str">
        <f>C116</f>
        <v>总价（万元）</v>
      </c>
      <c r="I114" s="2785" t="str">
        <f>IF(F114="——","——",O59)</f>
        <v>——</v>
      </c>
      <c r="J114" s="2827"/>
    </row>
    <row r="115" spans="1:16" ht="13.5" thickBot="1">
      <c r="A115" s="3502"/>
      <c r="B115" s="3503"/>
      <c r="C115" s="2784" t="s">
        <v>2716</v>
      </c>
      <c r="D115" s="52" t="str">
        <f>IF(A114="——","——",ROUND(IF(D114=D106,D107,IF(H19="元",D114/项目基本情况!C12,D114*10000/项目基本情况!C12)),0))</f>
        <v>——</v>
      </c>
      <c r="E115" s="1428"/>
      <c r="F115" s="3525"/>
      <c r="G115" s="3526"/>
      <c r="H115" s="2789" t="s">
        <v>2716</v>
      </c>
      <c r="I115" s="2773" t="str">
        <f ca="1">D117</f>
        <v>——</v>
      </c>
      <c r="J115" s="2811"/>
    </row>
    <row r="116" spans="1:16" ht="15.75">
      <c r="A116" s="3502" t="str">
        <f>IF(项目基本情况!G5="抵押净值",IF(OR(项目基本情况!F5="已注销",项目基本情况!F5="房地产抵押价值"),"4.抵押净值","5.抵押净值"),"——")</f>
        <v>——</v>
      </c>
      <c r="B116" s="3503"/>
      <c r="C116" s="2784" t="str">
        <f>B101</f>
        <v>总价（万元）</v>
      </c>
      <c r="D116" s="2785" t="str">
        <f>IF(A116="——","——",O59)</f>
        <v>——</v>
      </c>
      <c r="E116" s="1428"/>
      <c r="F116" s="3529"/>
      <c r="G116" s="3529"/>
      <c r="H116" s="3530"/>
      <c r="I116" s="3530"/>
      <c r="J116" s="2831"/>
      <c r="O116" s="32"/>
      <c r="P116" s="32"/>
    </row>
    <row r="117" spans="1:16" ht="13.5" thickBot="1">
      <c r="A117" s="3527"/>
      <c r="B117" s="3528"/>
      <c r="C117" s="2789" t="s">
        <v>2716</v>
      </c>
      <c r="D117" s="2773" t="str">
        <f ca="1">IF(D116=D112,D113,IF(A116="——","——",O61))</f>
        <v>——</v>
      </c>
      <c r="E117" s="1428"/>
      <c r="F117" s="3570" t="str">
        <f>IF(B32="总价","（以上估价结果中单价为总价除以建筑面积得出）","（以上估价结果中总价为楼面单价乘以建筑面积得出）")</f>
        <v>（以上估价结果中单价为总价除以建筑面积得出）</v>
      </c>
      <c r="G117" s="3570"/>
      <c r="H117" s="3570"/>
      <c r="I117" s="3570"/>
      <c r="J117" s="2832"/>
      <c r="O117" s="32"/>
      <c r="P117" s="32"/>
    </row>
    <row r="118" spans="1:16" ht="15">
      <c r="A118" s="3532" t="s">
        <v>1816</v>
      </c>
      <c r="B118" s="3533"/>
      <c r="C118" s="3533"/>
      <c r="D118" s="3533"/>
      <c r="E118" s="3533"/>
      <c r="F118" s="3533"/>
      <c r="G118" s="3533"/>
      <c r="H118" s="3533"/>
      <c r="I118" s="3533"/>
      <c r="J118" s="2833"/>
    </row>
    <row r="119" spans="1:16" ht="12.75">
      <c r="A119" s="3474" t="s">
        <v>2734</v>
      </c>
      <c r="B119" s="3520" t="s">
        <v>2744</v>
      </c>
      <c r="C119" s="3520" t="s">
        <v>2745</v>
      </c>
      <c r="D119" s="3522" t="s">
        <v>2736</v>
      </c>
      <c r="E119" s="3523"/>
      <c r="F119" s="3452" t="s">
        <v>2746</v>
      </c>
      <c r="G119" s="3452"/>
      <c r="H119" s="3452" t="s">
        <v>2737</v>
      </c>
      <c r="I119" s="3524"/>
      <c r="J119" s="2811"/>
    </row>
    <row r="120" spans="1:16" ht="12.75">
      <c r="A120" s="3474"/>
      <c r="B120" s="3521"/>
      <c r="C120" s="3521"/>
      <c r="D120" s="2059" t="s">
        <v>2738</v>
      </c>
      <c r="E120" s="2059" t="s">
        <v>2743</v>
      </c>
      <c r="F120" s="2059" t="s">
        <v>2738</v>
      </c>
      <c r="G120" s="2059" t="s">
        <v>2739</v>
      </c>
      <c r="H120" s="2059" t="s">
        <v>2738</v>
      </c>
      <c r="I120" s="52" t="s">
        <v>2739</v>
      </c>
      <c r="J120" s="2811"/>
    </row>
    <row r="121" spans="1:16" ht="12.75">
      <c r="A121" s="2049" t="str">
        <f>项目基本情况!I1</f>
        <v>北京市房地产</v>
      </c>
      <c r="B121" s="2059">
        <f>项目基本情况!C12</f>
        <v>362.84</v>
      </c>
      <c r="C121" s="2059">
        <f>项目基本情况!C13</f>
        <v>0</v>
      </c>
      <c r="D121" s="2059">
        <f ca="1">ROUND(IF(B32="总价",C34,IF('数据-取费表'!B3="万元",E121*B121/10000,E121*B121)),0)</f>
        <v>1200</v>
      </c>
      <c r="E121" s="2059">
        <f ca="1">ROUND(IF(B32="楼面单价",C34,IF(H19="元",D121/B121,D121*10000/B121)),0)</f>
        <v>33072</v>
      </c>
      <c r="F121" s="2059">
        <f ca="1">ROUND(IF(B32="总价",C35,IF('数据-取费表'!B3="万元",G121*B121/10000,G121*B121)),0)</f>
        <v>175</v>
      </c>
      <c r="G121" s="2059">
        <f ca="1">ROUND(IF(B32="楼面单价",C35,IF(H19="元",F121/B121,F121*10000/B121)),0)</f>
        <v>4823</v>
      </c>
      <c r="H121" s="2059">
        <f ca="1">ROUND(IF(B32="总价",C32,IF('数据-取费表'!B3="万元",I121*B121/10000,I121*B121)),0)</f>
        <v>1375</v>
      </c>
      <c r="I121" s="52">
        <f ca="1">ROUND(IF(B32="楼面单价",C32,IF(H19="元",H121/B121,H121*10000/B121)),0)</f>
        <v>37895</v>
      </c>
      <c r="J121" s="2811"/>
    </row>
    <row r="122" spans="1:16" ht="12.75">
      <c r="A122" s="3474" t="s">
        <v>2740</v>
      </c>
      <c r="B122" s="3452"/>
      <c r="C122" s="3452"/>
      <c r="D122" s="3548" t="str">
        <f ca="1">IF(H19="元",NUMBERSTRING(INT(D121),2)&amp;"元整",NUMBERSTRING(INT(D121*10000),2)&amp;"元整")</f>
        <v>壹仟贰佰万元整</v>
      </c>
      <c r="E122" s="3549"/>
      <c r="F122" s="3548" t="str">
        <f ca="1">IF(H19="元",NUMBERSTRING(INT(F121),2)&amp;"元整",NUMBERSTRING(INT(F121*10000),2)&amp;"元整")</f>
        <v>壹佰柒拾伍万元整</v>
      </c>
      <c r="G122" s="3549"/>
      <c r="H122" s="3548" t="str">
        <f ca="1">IF(H19="元",NUMBERSTRING(INT(H121),2)&amp;"元整",NUMBERSTRING(INT(H121*10000),2)&amp;"元整")</f>
        <v>壹仟叁佰柒拾伍万元整</v>
      </c>
      <c r="I122" s="3550"/>
      <c r="J122" s="2834"/>
    </row>
    <row r="123" spans="1:16" ht="12.75">
      <c r="A123" s="3494" t="str">
        <f>IF(项目基本情况!D5="房地产市场价值","——",MID(A108,3,LEN(A108)-2))</f>
        <v>估价师所知悉的法定优先受偿款</v>
      </c>
      <c r="B123" s="3496"/>
      <c r="C123" s="3495"/>
      <c r="D123" s="3501">
        <f>I105</f>
        <v>0</v>
      </c>
      <c r="E123" s="3496"/>
      <c r="F123" s="3496"/>
      <c r="G123" s="3496"/>
      <c r="H123" s="3496"/>
      <c r="I123" s="3497"/>
      <c r="J123" s="2827"/>
    </row>
    <row r="124" spans="1:16" ht="12.75">
      <c r="A124" s="3544" t="s">
        <v>2740</v>
      </c>
      <c r="B124" s="3446"/>
      <c r="C124" s="3449"/>
      <c r="D124" s="3545">
        <f>H109</f>
        <v>0</v>
      </c>
      <c r="E124" s="3546"/>
      <c r="F124" s="3546"/>
      <c r="G124" s="3546"/>
      <c r="H124" s="3546"/>
      <c r="I124" s="3547"/>
      <c r="J124" s="2835"/>
    </row>
    <row r="125" spans="1:16" ht="12.75">
      <c r="A125" s="3502" t="str">
        <f>IF(项目基本情况!D5="房地产市场价值","——",MID(A112,3,LEN(A112)-2))</f>
        <v>房地产抵押价值</v>
      </c>
      <c r="B125" s="3503"/>
      <c r="C125" s="3503"/>
      <c r="D125" s="3501">
        <f ca="1">I110</f>
        <v>1375</v>
      </c>
      <c r="E125" s="3496"/>
      <c r="F125" s="3496"/>
      <c r="G125" s="3496"/>
      <c r="H125" s="3496"/>
      <c r="I125" s="3497"/>
      <c r="J125" s="2827"/>
    </row>
    <row r="126" spans="1:16" ht="12.75">
      <c r="A126" s="3474" t="s">
        <v>2740</v>
      </c>
      <c r="B126" s="3452"/>
      <c r="C126" s="3452"/>
      <c r="D126" s="3545">
        <f ca="1">I111</f>
        <v>37895</v>
      </c>
      <c r="E126" s="3546"/>
      <c r="F126" s="3546"/>
      <c r="G126" s="3546"/>
      <c r="H126" s="3546"/>
      <c r="I126" s="3547"/>
      <c r="J126" s="2835"/>
    </row>
    <row r="127" spans="1:16" ht="13.5" thickBot="1">
      <c r="A127" s="3502" t="str">
        <f>IF(项目基本情况!D5="房地产市场价值","——",MID(A114,3,LEN(A114)-2))</f>
        <v/>
      </c>
      <c r="B127" s="3503"/>
      <c r="C127" s="3503"/>
      <c r="D127" s="3437" t="str">
        <f>I112</f>
        <v>——</v>
      </c>
      <c r="E127" s="3438"/>
      <c r="F127" s="3438"/>
      <c r="G127" s="3438"/>
      <c r="H127" s="3438"/>
      <c r="I127" s="3541"/>
      <c r="J127" s="2827"/>
    </row>
    <row r="128" spans="1:16" ht="14.25" thickTop="1" thickBot="1">
      <c r="A128" s="3474" t="s">
        <v>2740</v>
      </c>
      <c r="B128" s="3452"/>
      <c r="C128" s="3448"/>
      <c r="D128" s="3542" t="str">
        <f>I113</f>
        <v>——</v>
      </c>
      <c r="E128" s="3542"/>
      <c r="F128" s="3542"/>
      <c r="G128" s="3542"/>
      <c r="H128" s="3542"/>
      <c r="I128" s="3542"/>
      <c r="J128" s="2835"/>
    </row>
    <row r="129" spans="1:10" ht="14.25" thickTop="1" thickBot="1">
      <c r="A129" s="3502" t="str">
        <f>IF(项目基本情况!D5="房地产市场价值","——",MID(F114,3,LEN(F114)-2))</f>
        <v/>
      </c>
      <c r="B129" s="3503"/>
      <c r="C129" s="3501"/>
      <c r="D129" s="3543" t="str">
        <f>I114</f>
        <v>——</v>
      </c>
      <c r="E129" s="3543"/>
      <c r="F129" s="3543"/>
      <c r="G129" s="3543"/>
      <c r="H129" s="3543"/>
      <c r="I129" s="3543"/>
      <c r="J129" s="2827"/>
    </row>
    <row r="130" spans="1:10" ht="14.25" thickTop="1" thickBot="1">
      <c r="A130" s="3471" t="s">
        <v>2740</v>
      </c>
      <c r="B130" s="3472"/>
      <c r="C130" s="3472"/>
      <c r="D130" s="3534">
        <f>H116</f>
        <v>0</v>
      </c>
      <c r="E130" s="3535"/>
      <c r="F130" s="3535"/>
      <c r="G130" s="3535"/>
      <c r="H130" s="3535"/>
      <c r="I130" s="3536"/>
      <c r="J130" s="2835"/>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6"/>
    </row>
    <row r="132" spans="1:10" ht="13.5" thickBot="1">
      <c r="A132" s="3537" t="str">
        <f>IF(B32="总价","（以上估价结果中楼面单价为总价除以建筑面积得出）","（以上估价结果中总价为楼面单价乘以建筑面积得出）")</f>
        <v>（以上估价结果中楼面单价为总价除以建筑面积得出）</v>
      </c>
      <c r="B132" s="3537"/>
      <c r="C132" s="3537"/>
      <c r="D132" s="3537"/>
      <c r="E132" s="3537"/>
      <c r="F132" s="3537"/>
      <c r="G132" s="3537"/>
      <c r="H132" s="3537"/>
      <c r="I132" s="3537"/>
      <c r="J132" s="2829"/>
    </row>
    <row r="133" spans="1:10" ht="21.75" customHeight="1">
      <c r="A133" s="1458" t="s">
        <v>1817</v>
      </c>
      <c r="B133" s="1459"/>
      <c r="C133" s="1460" t="s">
        <v>1818</v>
      </c>
      <c r="D133" s="1461"/>
      <c r="E133" s="1461"/>
      <c r="F133" s="1461"/>
      <c r="G133" s="1461"/>
      <c r="H133" s="1462"/>
      <c r="I133" s="1463"/>
      <c r="J133" s="2837"/>
    </row>
    <row r="134" spans="1:10" ht="21.75" customHeight="1">
      <c r="A134" s="1464">
        <v>1</v>
      </c>
      <c r="B134" s="1465"/>
      <c r="C134" s="1465"/>
      <c r="D134" s="1461"/>
      <c r="E134" s="1461"/>
      <c r="F134" s="1461"/>
      <c r="G134" s="1461"/>
      <c r="H134" s="1462"/>
      <c r="I134" s="1463"/>
      <c r="J134" s="2837"/>
    </row>
    <row r="135" spans="1:10" ht="21.75" customHeight="1">
      <c r="A135" s="1464">
        <v>2</v>
      </c>
      <c r="B135" s="1465"/>
      <c r="C135" s="1465"/>
      <c r="D135" s="1461"/>
      <c r="E135" s="1461"/>
      <c r="F135" s="1461"/>
      <c r="G135" s="1461"/>
      <c r="H135" s="1462"/>
      <c r="I135" s="1463"/>
      <c r="J135" s="2837"/>
    </row>
    <row r="136" spans="1:10" ht="21.75" customHeight="1">
      <c r="A136" s="1464">
        <v>3</v>
      </c>
      <c r="B136" s="1465"/>
      <c r="C136" s="1465"/>
      <c r="D136" s="1461"/>
      <c r="E136" s="1461"/>
      <c r="F136" s="32"/>
      <c r="G136" s="32"/>
      <c r="H136" s="32"/>
      <c r="I136" s="32"/>
      <c r="J136" s="2838"/>
    </row>
    <row r="137" spans="1:10" ht="21.75" customHeight="1">
      <c r="A137" s="1466"/>
      <c r="B137" s="1467"/>
      <c r="C137" s="1467"/>
      <c r="D137" s="1468"/>
      <c r="E137" s="1468"/>
      <c r="F137" s="1468"/>
      <c r="G137" s="1468"/>
      <c r="H137" s="1469"/>
      <c r="I137" s="1470"/>
      <c r="J137" s="2837"/>
    </row>
    <row r="138" spans="1:10" ht="21.75" customHeight="1">
      <c r="A138" s="1465"/>
      <c r="B138" s="1465"/>
      <c r="C138" s="1465"/>
      <c r="D138" s="1461"/>
      <c r="E138" s="1461"/>
      <c r="F138" s="1461"/>
      <c r="G138" s="1461"/>
      <c r="H138" s="1462"/>
      <c r="I138" s="658"/>
      <c r="J138" s="2838"/>
    </row>
    <row r="139" spans="1:10" ht="21.75" customHeight="1">
      <c r="A139" s="658"/>
      <c r="B139" s="658"/>
      <c r="C139" s="658"/>
      <c r="D139" s="658"/>
      <c r="E139" s="658"/>
      <c r="F139" s="1471" t="s">
        <v>1819</v>
      </c>
      <c r="G139" s="1472"/>
      <c r="H139" s="1472"/>
      <c r="I139" s="1473" t="s">
        <v>1820</v>
      </c>
      <c r="J139" s="2839"/>
    </row>
    <row r="140" spans="1:10" ht="21.75" customHeight="1">
      <c r="A140" s="658"/>
      <c r="B140" s="1474" t="s">
        <v>1821</v>
      </c>
      <c r="C140" s="658"/>
      <c r="D140" s="658"/>
      <c r="E140" s="658"/>
      <c r="F140" s="658"/>
      <c r="G140" s="658"/>
      <c r="H140" s="658"/>
      <c r="I140" s="658"/>
      <c r="J140" s="2838"/>
    </row>
    <row r="141" spans="1:10" ht="21.75" customHeight="1">
      <c r="A141" s="658"/>
      <c r="B141" s="658"/>
      <c r="C141" s="658"/>
      <c r="D141" s="658"/>
      <c r="E141" s="658"/>
      <c r="F141" s="658"/>
      <c r="G141" s="658"/>
      <c r="H141" s="658"/>
      <c r="I141" s="658"/>
      <c r="J141" s="2838"/>
    </row>
    <row r="142" spans="1:10" ht="21.75" customHeight="1">
      <c r="A142" s="658"/>
      <c r="B142" s="1472"/>
      <c r="C142" s="1472"/>
      <c r="D142" s="1472"/>
      <c r="E142" s="1472"/>
      <c r="F142" s="1472"/>
      <c r="G142" s="1472"/>
      <c r="H142" s="1472"/>
      <c r="I142" s="1473" t="s">
        <v>1822</v>
      </c>
      <c r="J142" s="2839"/>
    </row>
    <row r="143" spans="1:10" ht="21.75" customHeight="1">
      <c r="A143" s="658"/>
      <c r="B143" s="1474" t="s">
        <v>1823</v>
      </c>
      <c r="C143" s="658"/>
      <c r="D143" s="658"/>
      <c r="E143" s="658"/>
      <c r="F143" s="658"/>
      <c r="G143" s="658"/>
      <c r="H143" s="658"/>
      <c r="I143" s="658"/>
      <c r="J143" s="2838"/>
    </row>
    <row r="144" spans="1:10" ht="21.75" customHeight="1">
      <c r="A144" s="658"/>
      <c r="B144" s="1474"/>
      <c r="C144" s="658"/>
      <c r="D144" s="658"/>
      <c r="E144" s="658"/>
      <c r="F144" s="658"/>
      <c r="G144" s="658"/>
      <c r="H144" s="658"/>
      <c r="I144" s="658"/>
      <c r="J144" s="2838"/>
    </row>
    <row r="145" spans="1:36" ht="21.75" customHeight="1">
      <c r="A145" s="658"/>
      <c r="B145" s="1472"/>
      <c r="C145" s="1472"/>
      <c r="D145" s="1472"/>
      <c r="E145" s="1472"/>
      <c r="F145" s="1472"/>
      <c r="G145" s="1472"/>
      <c r="H145" s="1472"/>
      <c r="I145" s="1473" t="s">
        <v>1822</v>
      </c>
      <c r="J145" s="2839"/>
    </row>
    <row r="146" spans="1:36" ht="21.75" customHeight="1">
      <c r="A146" s="658"/>
      <c r="B146" s="1474"/>
      <c r="C146" s="1475"/>
      <c r="D146" s="1476"/>
      <c r="E146" s="1476"/>
      <c r="F146" s="1477"/>
      <c r="G146" s="658"/>
      <c r="H146" s="658"/>
      <c r="I146" s="658"/>
      <c r="J146" s="2838"/>
    </row>
    <row r="147" spans="1:36" s="32" customFormat="1" ht="21.75" customHeight="1">
      <c r="A147" s="658"/>
      <c r="B147" s="1474"/>
      <c r="C147" s="1475"/>
      <c r="D147" s="1476"/>
      <c r="E147" s="1476"/>
      <c r="F147" s="658"/>
      <c r="G147" s="658"/>
      <c r="H147" s="658"/>
      <c r="I147" s="658"/>
      <c r="J147" s="2838"/>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8"/>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8"/>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8"/>
    </row>
    <row r="151" spans="1:36" s="658" customFormat="1" ht="21.75" customHeight="1">
      <c r="J151" s="2838"/>
    </row>
    <row r="152" spans="1:36" s="658" customFormat="1" ht="21.75" customHeight="1">
      <c r="J152" s="2838"/>
    </row>
    <row r="153" spans="1:36" s="658" customFormat="1" ht="21.75" customHeight="1">
      <c r="J153" s="2838"/>
    </row>
    <row r="154" spans="1:36" s="658" customFormat="1" ht="21.75" customHeight="1">
      <c r="J154" s="2838"/>
    </row>
    <row r="155" spans="1:36" s="658" customFormat="1" ht="21.75" customHeight="1">
      <c r="J155" s="2838"/>
    </row>
    <row r="156" spans="1:36" s="658" customFormat="1" ht="21.75" customHeight="1">
      <c r="J156" s="2838"/>
    </row>
    <row r="157" spans="1:36" s="658" customFormat="1" ht="21.75" customHeight="1">
      <c r="J157" s="2838"/>
    </row>
    <row r="158" spans="1:36" s="658" customFormat="1" ht="21.75" customHeight="1">
      <c r="J158" s="2838"/>
    </row>
    <row r="159" spans="1:36" s="658" customFormat="1" ht="21.75" customHeight="1">
      <c r="J159" s="2838"/>
    </row>
    <row r="160" spans="1:36" s="658" customFormat="1" ht="21.75" customHeight="1">
      <c r="J160" s="2838"/>
    </row>
    <row r="161" spans="10:10" s="658" customFormat="1" ht="21.75" customHeight="1">
      <c r="J161" s="2838"/>
    </row>
    <row r="162" spans="10:10" s="658" customFormat="1" ht="21.75" customHeight="1">
      <c r="J162" s="2838"/>
    </row>
    <row r="163" spans="10:10" s="658" customFormat="1" ht="21.75" customHeight="1">
      <c r="J163" s="2838"/>
    </row>
    <row r="164" spans="10:10" s="658" customFormat="1" ht="21.75" customHeight="1">
      <c r="J164" s="2838"/>
    </row>
    <row r="165" spans="10:10" s="658" customFormat="1" ht="21.75" customHeight="1">
      <c r="J165" s="2838"/>
    </row>
    <row r="166" spans="10:10" s="658" customFormat="1" ht="21.75" customHeight="1">
      <c r="J166" s="2838"/>
    </row>
    <row r="167" spans="10:10" s="658" customFormat="1" ht="21.75" customHeight="1">
      <c r="J167" s="2838"/>
    </row>
    <row r="168" spans="10:10" s="658" customFormat="1" ht="21.75" customHeight="1">
      <c r="J168" s="2838"/>
    </row>
    <row r="169" spans="10:10" s="658" customFormat="1" ht="21.75" customHeight="1">
      <c r="J169" s="2838"/>
    </row>
    <row r="170" spans="10:10" s="658" customFormat="1" ht="21.75" customHeight="1">
      <c r="J170" s="2838"/>
    </row>
    <row r="171" spans="10:10" s="658" customFormat="1" ht="21.75" customHeight="1">
      <c r="J171" s="2838"/>
    </row>
    <row r="172" spans="10:10" s="658" customFormat="1" ht="21.75" customHeight="1">
      <c r="J172" s="2838"/>
    </row>
    <row r="173" spans="10:10" s="658" customFormat="1" ht="21.75" customHeight="1">
      <c r="J173" s="2838"/>
    </row>
    <row r="174" spans="10:10" s="658" customFormat="1" ht="21.75" customHeight="1">
      <c r="J174" s="2838"/>
    </row>
    <row r="175" spans="10:10" s="658" customFormat="1" ht="21.75" customHeight="1">
      <c r="J175" s="2838"/>
    </row>
    <row r="176" spans="10:10" s="658" customFormat="1" ht="21.75" customHeight="1">
      <c r="J176" s="2838"/>
    </row>
    <row r="177" spans="10:10" s="658" customFormat="1" ht="21.75" customHeight="1">
      <c r="J177" s="2838"/>
    </row>
    <row r="178" spans="10:10" s="658" customFormat="1" ht="21.75" customHeight="1">
      <c r="J178" s="2838"/>
    </row>
    <row r="179" spans="10:10" s="658" customFormat="1" ht="21.75" customHeight="1">
      <c r="J179" s="2838"/>
    </row>
    <row r="180" spans="10:10" s="658" customFormat="1" ht="21.75" customHeight="1">
      <c r="J180" s="2838"/>
    </row>
    <row r="181" spans="10:10" s="658" customFormat="1" ht="21.75" customHeight="1">
      <c r="J181" s="2838"/>
    </row>
    <row r="182" spans="10:10" s="658" customFormat="1" ht="21.75" customHeight="1">
      <c r="J182" s="2838"/>
    </row>
    <row r="183" spans="10:10" s="658" customFormat="1" ht="21.75" customHeight="1">
      <c r="J183" s="2838"/>
    </row>
    <row r="184" spans="10:10" s="658" customFormat="1" ht="21.75" customHeight="1">
      <c r="J184" s="2838"/>
    </row>
    <row r="185" spans="10:10" s="658" customFormat="1" ht="21.75" customHeight="1">
      <c r="J185" s="2838"/>
    </row>
    <row r="186" spans="10:10" s="658" customFormat="1" ht="21.75" customHeight="1">
      <c r="J186" s="2838"/>
    </row>
    <row r="187" spans="10:10" s="658" customFormat="1" ht="21.75" customHeight="1">
      <c r="J187" s="2838"/>
    </row>
    <row r="188" spans="10:10" s="658" customFormat="1" ht="21.75" customHeight="1">
      <c r="J188" s="2838"/>
    </row>
    <row r="189" spans="10:10" s="658" customFormat="1" ht="21.75" customHeight="1">
      <c r="J189" s="2838"/>
    </row>
    <row r="190" spans="10:10" s="658" customFormat="1" ht="21.75" customHeight="1">
      <c r="J190" s="2838"/>
    </row>
    <row r="191" spans="10:10" s="658" customFormat="1" ht="21.75" customHeight="1">
      <c r="J191" s="2838"/>
    </row>
    <row r="192" spans="10:10" s="658" customFormat="1" ht="21.75" customHeight="1">
      <c r="J192" s="2838"/>
    </row>
    <row r="193" spans="10:10" s="658" customFormat="1" ht="21.75" customHeight="1">
      <c r="J193" s="2838"/>
    </row>
    <row r="194" spans="10:10" s="658" customFormat="1" ht="21.75" customHeight="1">
      <c r="J194" s="2838"/>
    </row>
    <row r="195" spans="10:10" s="658" customFormat="1" ht="21.75" customHeight="1">
      <c r="J195" s="2838"/>
    </row>
    <row r="196" spans="10:10" s="658" customFormat="1" ht="21.75" customHeight="1">
      <c r="J196" s="2838"/>
    </row>
    <row r="197" spans="10:10" s="658" customFormat="1" ht="21.75" customHeight="1">
      <c r="J197" s="2838"/>
    </row>
    <row r="198" spans="10:10" s="658" customFormat="1" ht="21.75" customHeight="1">
      <c r="J198" s="2838"/>
    </row>
    <row r="199" spans="10:10" s="658" customFormat="1" ht="21.75" customHeight="1">
      <c r="J199" s="2838"/>
    </row>
    <row r="200" spans="10:10" s="658" customFormat="1" ht="21.75" customHeight="1">
      <c r="J200" s="2838"/>
    </row>
    <row r="201" spans="10:10" s="658" customFormat="1" ht="21.75" customHeight="1">
      <c r="J201" s="2838"/>
    </row>
    <row r="202" spans="10:10" s="658" customFormat="1" ht="21.75" customHeight="1">
      <c r="J202" s="2838"/>
    </row>
    <row r="203" spans="10:10" s="658" customFormat="1" ht="21.75" customHeight="1">
      <c r="J203" s="2838"/>
    </row>
    <row r="204" spans="10:10" s="658" customFormat="1" ht="21.75" customHeight="1">
      <c r="J204" s="2838"/>
    </row>
    <row r="205" spans="10:10" s="658" customFormat="1" ht="21.75" customHeight="1">
      <c r="J205" s="2838"/>
    </row>
    <row r="206" spans="10:10" s="658" customFormat="1" ht="21.75" customHeight="1">
      <c r="J206" s="2838"/>
    </row>
    <row r="207" spans="10:10" s="658" customFormat="1" ht="21.75" customHeight="1">
      <c r="J207" s="2838"/>
    </row>
    <row r="208" spans="10:10" s="658" customFormat="1" ht="21.75" customHeight="1">
      <c r="J208" s="2838"/>
    </row>
    <row r="209" spans="10:10" s="658" customFormat="1" ht="21.75" customHeight="1">
      <c r="J209" s="2838"/>
    </row>
    <row r="210" spans="10:10" s="658" customFormat="1" ht="21.75" customHeight="1">
      <c r="J210" s="2838"/>
    </row>
    <row r="211" spans="10:10" s="658" customFormat="1" ht="21.75" customHeight="1">
      <c r="J211" s="2838"/>
    </row>
    <row r="212" spans="10:10" s="658" customFormat="1" ht="21.75" customHeight="1">
      <c r="J212" s="2838"/>
    </row>
    <row r="213" spans="10:10" s="658" customFormat="1" ht="21.75" customHeight="1">
      <c r="J213" s="2838"/>
    </row>
    <row r="214" spans="10:10" s="658" customFormat="1" ht="21.75" customHeight="1">
      <c r="J214" s="2838"/>
    </row>
    <row r="215" spans="10:10" s="658" customFormat="1" ht="21.75" customHeight="1">
      <c r="J215" s="2838"/>
    </row>
    <row r="216" spans="10:10" s="658" customFormat="1" ht="21.75" customHeight="1">
      <c r="J216" s="2838"/>
    </row>
    <row r="217" spans="10:10" s="658" customFormat="1" ht="21.75" customHeight="1">
      <c r="J217" s="2838"/>
    </row>
    <row r="218" spans="10:10" s="658" customFormat="1" ht="21.75" customHeight="1">
      <c r="J218" s="2838"/>
    </row>
    <row r="219" spans="10:10" s="658" customFormat="1" ht="21.75" customHeight="1">
      <c r="J219" s="2838"/>
    </row>
    <row r="220" spans="10:10" s="658" customFormat="1" ht="21.75" customHeight="1">
      <c r="J220" s="2838"/>
    </row>
    <row r="221" spans="10:10" s="658" customFormat="1" ht="21.75" customHeight="1">
      <c r="J221" s="2838"/>
    </row>
    <row r="222" spans="10:10" s="658" customFormat="1" ht="21.75" customHeight="1">
      <c r="J222" s="2838"/>
    </row>
    <row r="223" spans="10:10" s="658" customFormat="1" ht="21.75" customHeight="1">
      <c r="J223" s="2838"/>
    </row>
    <row r="224" spans="10:10" s="658" customFormat="1" ht="21.75" customHeight="1">
      <c r="J224" s="2838"/>
    </row>
    <row r="225" spans="10:10" s="658" customFormat="1" ht="21.75" customHeight="1">
      <c r="J225" s="2838"/>
    </row>
    <row r="226" spans="10:10" s="658" customFormat="1" ht="21.75" customHeight="1">
      <c r="J226" s="2838"/>
    </row>
    <row r="227" spans="10:10" s="658" customFormat="1" ht="21.75" customHeight="1">
      <c r="J227" s="2838"/>
    </row>
    <row r="228" spans="10:10" s="658" customFormat="1" ht="21.75" customHeight="1">
      <c r="J228" s="2838"/>
    </row>
    <row r="229" spans="10:10" s="658" customFormat="1" ht="21.75" customHeight="1">
      <c r="J229" s="2838"/>
    </row>
    <row r="230" spans="10:10" s="658" customFormat="1" ht="21.75" customHeight="1">
      <c r="J230" s="2838"/>
    </row>
    <row r="231" spans="10:10" s="658" customFormat="1" ht="21.75" customHeight="1">
      <c r="J231" s="2838"/>
    </row>
    <row r="232" spans="10:10" s="658" customFormat="1" ht="21.75" customHeight="1">
      <c r="J232" s="2838"/>
    </row>
    <row r="233" spans="10:10" s="658" customFormat="1" ht="21.75" customHeight="1">
      <c r="J233" s="2838"/>
    </row>
    <row r="234" spans="10:10" s="658" customFormat="1" ht="21.75" customHeight="1">
      <c r="J234" s="2838"/>
    </row>
    <row r="235" spans="10:10" s="658" customFormat="1" ht="21.75" customHeight="1">
      <c r="J235" s="2838"/>
    </row>
    <row r="236" spans="10:10" s="658" customFormat="1" ht="21.75" customHeight="1">
      <c r="J236" s="2838"/>
    </row>
    <row r="237" spans="10:10" s="658" customFormat="1" ht="21.75" customHeight="1">
      <c r="J237" s="2838"/>
    </row>
    <row r="238" spans="10:10" s="658" customFormat="1" ht="21.75" customHeight="1">
      <c r="J238" s="2838"/>
    </row>
    <row r="239" spans="10:10" s="658" customFormat="1" ht="21.75" customHeight="1">
      <c r="J239" s="2838"/>
    </row>
    <row r="240" spans="10:10" s="658" customFormat="1" ht="21.75" customHeight="1">
      <c r="J240" s="2838"/>
    </row>
    <row r="241" spans="10:10" s="658" customFormat="1" ht="21.75" customHeight="1">
      <c r="J241" s="2838"/>
    </row>
    <row r="242" spans="10:10" s="658" customFormat="1" ht="21.75" customHeight="1">
      <c r="J242" s="2838"/>
    </row>
    <row r="243" spans="10:10" s="658" customFormat="1" ht="21.75" customHeight="1">
      <c r="J243" s="2838"/>
    </row>
    <row r="244" spans="10:10" s="658" customFormat="1" ht="21.75" customHeight="1">
      <c r="J244" s="2838"/>
    </row>
    <row r="245" spans="10:10" s="658" customFormat="1" ht="21.75" customHeight="1">
      <c r="J245" s="2838"/>
    </row>
    <row r="246" spans="10:10" s="658" customFormat="1" ht="21.75" customHeight="1">
      <c r="J246" s="2838"/>
    </row>
    <row r="247" spans="10:10" s="658" customFormat="1" ht="21.75" customHeight="1">
      <c r="J247" s="2838"/>
    </row>
    <row r="248" spans="10:10" s="658" customFormat="1" ht="21.75" customHeight="1">
      <c r="J248" s="2838"/>
    </row>
    <row r="249" spans="10:10" s="658" customFormat="1" ht="21.75" customHeight="1">
      <c r="J249" s="2838"/>
    </row>
    <row r="250" spans="10:10" s="658" customFormat="1" ht="21.75" customHeight="1">
      <c r="J250" s="2838"/>
    </row>
    <row r="251" spans="10:10" s="658" customFormat="1" ht="21.75" customHeight="1">
      <c r="J251" s="2838"/>
    </row>
    <row r="252" spans="10:10" s="658" customFormat="1" ht="21.75" customHeight="1">
      <c r="J252" s="2838"/>
    </row>
    <row r="253" spans="10:10" s="658" customFormat="1" ht="21.75" customHeight="1">
      <c r="J253" s="2838"/>
    </row>
    <row r="254" spans="10:10" s="658" customFormat="1" ht="21.75" customHeight="1">
      <c r="J254" s="2838"/>
    </row>
    <row r="255" spans="10:10" s="658" customFormat="1" ht="21.75" customHeight="1">
      <c r="J255" s="2838"/>
    </row>
    <row r="256" spans="10:10" s="658" customFormat="1" ht="21.75" customHeight="1">
      <c r="J256" s="2838"/>
    </row>
    <row r="257" spans="10:10" s="658" customFormat="1" ht="21.75" customHeight="1">
      <c r="J257" s="2838"/>
    </row>
    <row r="258" spans="10:10" s="658" customFormat="1" ht="21.75" customHeight="1">
      <c r="J258" s="2838"/>
    </row>
    <row r="259" spans="10:10" s="658" customFormat="1" ht="21.75" customHeight="1">
      <c r="J259" s="2838"/>
    </row>
    <row r="260" spans="10:10" s="658" customFormat="1" ht="21.75" customHeight="1">
      <c r="J260" s="2838"/>
    </row>
    <row r="261" spans="10:10" s="658" customFormat="1" ht="21.75" customHeight="1">
      <c r="J261" s="2838"/>
    </row>
    <row r="262" spans="10:10" s="658" customFormat="1" ht="21.75" customHeight="1">
      <c r="J262" s="2838"/>
    </row>
    <row r="263" spans="10:10" s="658" customFormat="1" ht="21.75" customHeight="1">
      <c r="J263" s="2838"/>
    </row>
    <row r="264" spans="10:10" s="658" customFormat="1" ht="21.75" customHeight="1">
      <c r="J264" s="2838"/>
    </row>
    <row r="265" spans="10:10" s="658" customFormat="1" ht="21.75" customHeight="1">
      <c r="J265" s="2838"/>
    </row>
    <row r="266" spans="10:10" s="658" customFormat="1" ht="21.75" customHeight="1">
      <c r="J266" s="2838"/>
    </row>
    <row r="267" spans="10:10" s="658" customFormat="1" ht="21.75" customHeight="1">
      <c r="J267" s="2838"/>
    </row>
    <row r="268" spans="10:10" s="658" customFormat="1" ht="21.75" customHeight="1">
      <c r="J268" s="2838"/>
    </row>
    <row r="269" spans="10:10" s="658" customFormat="1" ht="21.75" customHeight="1">
      <c r="J269" s="2838"/>
    </row>
    <row r="270" spans="10:10" s="658" customFormat="1" ht="21.75" customHeight="1">
      <c r="J270" s="2838"/>
    </row>
    <row r="271" spans="10:10" s="658" customFormat="1" ht="21.75" customHeight="1">
      <c r="J271" s="2838"/>
    </row>
    <row r="272" spans="10:10" s="658" customFormat="1" ht="21.75" customHeight="1">
      <c r="J272" s="2838"/>
    </row>
    <row r="273" spans="10:10" s="658" customFormat="1" ht="21.75" customHeight="1">
      <c r="J273" s="2838"/>
    </row>
    <row r="274" spans="10:10" s="658" customFormat="1" ht="21.75" customHeight="1">
      <c r="J274" s="2838"/>
    </row>
    <row r="275" spans="10:10" s="658" customFormat="1" ht="21.75" customHeight="1">
      <c r="J275" s="2838"/>
    </row>
    <row r="276" spans="10:10" s="658" customFormat="1" ht="21.75" customHeight="1">
      <c r="J276" s="2838"/>
    </row>
    <row r="277" spans="10:10" s="658" customFormat="1" ht="21.75" customHeight="1">
      <c r="J277" s="2838"/>
    </row>
    <row r="278" spans="10:10" s="658" customFormat="1" ht="21.75" customHeight="1">
      <c r="J278" s="2838"/>
    </row>
    <row r="279" spans="10:10" s="658" customFormat="1" ht="21.75" customHeight="1">
      <c r="J279" s="2838"/>
    </row>
    <row r="280" spans="10:10" s="658" customFormat="1" ht="21.75" customHeight="1">
      <c r="J280" s="2838"/>
    </row>
    <row r="281" spans="10:10" s="658" customFormat="1" ht="21.75" customHeight="1">
      <c r="J281" s="2838"/>
    </row>
    <row r="282" spans="10:10" s="658" customFormat="1" ht="21.75" customHeight="1">
      <c r="J282" s="2838"/>
    </row>
    <row r="283" spans="10:10" s="658" customFormat="1" ht="21.75" customHeight="1">
      <c r="J283" s="2838"/>
    </row>
    <row r="284" spans="10:10" s="658" customFormat="1" ht="21.75" customHeight="1">
      <c r="J284" s="2838"/>
    </row>
    <row r="285" spans="10:10" s="658" customFormat="1" ht="21.75" customHeight="1">
      <c r="J285" s="2838"/>
    </row>
    <row r="286" spans="10:10" s="658" customFormat="1" ht="21.75" customHeight="1">
      <c r="J286" s="2838"/>
    </row>
    <row r="287" spans="10:10" s="658" customFormat="1" ht="21.75" customHeight="1">
      <c r="J287" s="2838"/>
    </row>
    <row r="288" spans="10:10" s="658" customFormat="1" ht="21.75" customHeight="1">
      <c r="J288" s="2838"/>
    </row>
    <row r="289" spans="10:10" s="658" customFormat="1" ht="21.75" customHeight="1">
      <c r="J289" s="2838"/>
    </row>
    <row r="290" spans="10:10" s="658" customFormat="1" ht="21.75" customHeight="1">
      <c r="J290" s="2838"/>
    </row>
    <row r="291" spans="10:10" s="658" customFormat="1" ht="21.75" customHeight="1">
      <c r="J291" s="2838"/>
    </row>
    <row r="292" spans="10:10" s="658" customFormat="1" ht="21.75" customHeight="1">
      <c r="J292" s="2838"/>
    </row>
    <row r="293" spans="10:10" s="658" customFormat="1" ht="21.75" customHeight="1">
      <c r="J293" s="2838"/>
    </row>
    <row r="294" spans="10:10" s="658" customFormat="1" ht="21.75" customHeight="1">
      <c r="J294" s="2838"/>
    </row>
    <row r="295" spans="10:10" s="658" customFormat="1" ht="21.75" customHeight="1">
      <c r="J295" s="2838"/>
    </row>
    <row r="296" spans="10:10" s="658" customFormat="1" ht="21.75" customHeight="1">
      <c r="J296" s="2838"/>
    </row>
    <row r="297" spans="10:10" s="658" customFormat="1" ht="21.75" customHeight="1">
      <c r="J297" s="2838"/>
    </row>
    <row r="298" spans="10:10" s="658" customFormat="1" ht="21.75" customHeight="1">
      <c r="J298" s="2838"/>
    </row>
    <row r="299" spans="10:10" s="658" customFormat="1" ht="21.75" customHeight="1">
      <c r="J299" s="2838"/>
    </row>
    <row r="300" spans="10:10" s="658" customFormat="1" ht="21.75" customHeight="1">
      <c r="J300" s="2838"/>
    </row>
    <row r="301" spans="10:10" s="658" customFormat="1" ht="21.75" customHeight="1">
      <c r="J301" s="2838"/>
    </row>
    <row r="302" spans="10:10" s="658" customFormat="1" ht="21.75" customHeight="1">
      <c r="J302" s="2838"/>
    </row>
    <row r="303" spans="10:10" s="658" customFormat="1" ht="21.75" customHeight="1">
      <c r="J303" s="2838"/>
    </row>
    <row r="304" spans="10:10" s="658" customFormat="1" ht="21.75" customHeight="1">
      <c r="J304" s="2838"/>
    </row>
    <row r="305" spans="10:10" s="658" customFormat="1" ht="21.75" customHeight="1">
      <c r="J305" s="2838"/>
    </row>
    <row r="306" spans="10:10" s="658" customFormat="1" ht="21.75" customHeight="1">
      <c r="J306" s="2838"/>
    </row>
    <row r="307" spans="10:10" s="658" customFormat="1" ht="21.75" customHeight="1">
      <c r="J307" s="2838"/>
    </row>
    <row r="308" spans="10:10" s="658" customFormat="1" ht="21.75" customHeight="1">
      <c r="J308" s="2838"/>
    </row>
    <row r="309" spans="10:10" s="658" customFormat="1" ht="21.75" customHeight="1">
      <c r="J309" s="2838"/>
    </row>
    <row r="310" spans="10:10" s="658" customFormat="1" ht="21.75" customHeight="1">
      <c r="J310" s="2838"/>
    </row>
    <row r="311" spans="10:10" s="658" customFormat="1" ht="21.75" customHeight="1">
      <c r="J311" s="2838"/>
    </row>
    <row r="312" spans="10:10" s="658" customFormat="1" ht="21.75" customHeight="1">
      <c r="J312" s="2838"/>
    </row>
    <row r="313" spans="10:10" s="658" customFormat="1" ht="21.75" customHeight="1">
      <c r="J313" s="2838"/>
    </row>
    <row r="314" spans="10:10" s="658" customFormat="1" ht="21.75" customHeight="1">
      <c r="J314" s="2838"/>
    </row>
    <row r="315" spans="10:10" s="658" customFormat="1" ht="21.75" customHeight="1">
      <c r="J315" s="2838"/>
    </row>
    <row r="316" spans="10:10" s="658" customFormat="1" ht="21.75" customHeight="1">
      <c r="J316" s="2838"/>
    </row>
    <row r="317" spans="10:10" s="658" customFormat="1" ht="21.75" customHeight="1">
      <c r="J317" s="2838"/>
    </row>
    <row r="318" spans="10:10" s="658" customFormat="1" ht="21.75" customHeight="1">
      <c r="J318" s="2838"/>
    </row>
    <row r="319" spans="10:10" s="658" customFormat="1" ht="21.75" customHeight="1">
      <c r="J319" s="2838"/>
    </row>
    <row r="320" spans="10:10" s="658" customFormat="1" ht="21.75" customHeight="1">
      <c r="J320" s="2838"/>
    </row>
    <row r="321" spans="10:10" s="658" customFormat="1" ht="21.75" customHeight="1">
      <c r="J321" s="2838"/>
    </row>
    <row r="322" spans="10:10" s="658" customFormat="1" ht="21.75" customHeight="1">
      <c r="J322" s="2838"/>
    </row>
    <row r="323" spans="10:10" s="658" customFormat="1" ht="21.75" customHeight="1">
      <c r="J323" s="2838"/>
    </row>
    <row r="324" spans="10:10" s="658" customFormat="1" ht="21.75" customHeight="1">
      <c r="J324" s="2838"/>
    </row>
    <row r="325" spans="10:10" s="658" customFormat="1" ht="21.75" customHeight="1">
      <c r="J325" s="2838"/>
    </row>
    <row r="326" spans="10:10" s="658" customFormat="1" ht="21.75" customHeight="1">
      <c r="J326" s="2838"/>
    </row>
    <row r="327" spans="10:10" s="658" customFormat="1" ht="21.75" customHeight="1">
      <c r="J327" s="2838"/>
    </row>
    <row r="328" spans="10:10" s="658" customFormat="1" ht="21.75" customHeight="1">
      <c r="J328" s="2838"/>
    </row>
    <row r="329" spans="10:10" s="658" customFormat="1" ht="21.75" customHeight="1">
      <c r="J329" s="2838"/>
    </row>
    <row r="330" spans="10:10" s="658" customFormat="1" ht="21.75" customHeight="1">
      <c r="J330" s="2838"/>
    </row>
    <row r="331" spans="10:10" s="658" customFormat="1" ht="21.75" customHeight="1">
      <c r="J331" s="2838"/>
    </row>
    <row r="332" spans="10:10" s="658" customFormat="1" ht="21.75" customHeight="1">
      <c r="J332" s="2838"/>
    </row>
    <row r="333" spans="10:10" s="658" customFormat="1" ht="21.75" customHeight="1">
      <c r="J333" s="2838"/>
    </row>
    <row r="334" spans="10:10" s="658" customFormat="1" ht="21.75" customHeight="1">
      <c r="J334" s="2838"/>
    </row>
    <row r="335" spans="10:10" s="658" customFormat="1" ht="21.75" customHeight="1">
      <c r="J335" s="2838"/>
    </row>
    <row r="336" spans="10:10" s="658" customFormat="1" ht="21.75" customHeight="1">
      <c r="J336" s="2838"/>
    </row>
    <row r="337" spans="10:10" s="658" customFormat="1" ht="21.75" customHeight="1">
      <c r="J337" s="2838"/>
    </row>
    <row r="338" spans="10:10" s="658" customFormat="1" ht="21.75" customHeight="1">
      <c r="J338" s="2838"/>
    </row>
    <row r="339" spans="10:10" s="658" customFormat="1" ht="21.75" customHeight="1">
      <c r="J339" s="2838"/>
    </row>
    <row r="340" spans="10:10" s="658" customFormat="1" ht="21.75" customHeight="1">
      <c r="J340" s="2838"/>
    </row>
    <row r="341" spans="10:10" s="658" customFormat="1" ht="21.75" customHeight="1">
      <c r="J341" s="2838"/>
    </row>
    <row r="342" spans="10:10" s="658" customFormat="1" ht="21.75" customHeight="1">
      <c r="J342" s="2838"/>
    </row>
    <row r="343" spans="10:10" s="658" customFormat="1" ht="21.75" customHeight="1">
      <c r="J343" s="2838"/>
    </row>
    <row r="344" spans="10:10" s="658" customFormat="1" ht="21.75" customHeight="1">
      <c r="J344" s="2838"/>
    </row>
    <row r="345" spans="10:10" s="658" customFormat="1" ht="21.75" customHeight="1">
      <c r="J345" s="2838"/>
    </row>
    <row r="346" spans="10:10" s="658" customFormat="1" ht="21.75" customHeight="1">
      <c r="J346" s="2838"/>
    </row>
    <row r="347" spans="10:10" s="658" customFormat="1" ht="21.75" customHeight="1">
      <c r="J347" s="2838"/>
    </row>
    <row r="348" spans="10:10" s="658" customFormat="1" ht="21.75" customHeight="1">
      <c r="J348" s="2838"/>
    </row>
    <row r="349" spans="10:10" s="658" customFormat="1" ht="21.75" customHeight="1">
      <c r="J349" s="2838"/>
    </row>
    <row r="350" spans="10:10" s="658" customFormat="1" ht="21.75" customHeight="1">
      <c r="J350" s="2838"/>
    </row>
    <row r="351" spans="10:10" s="658" customFormat="1" ht="21.75" customHeight="1">
      <c r="J351" s="2838"/>
    </row>
    <row r="352" spans="10:10" s="658" customFormat="1" ht="21.75" customHeight="1">
      <c r="J352" s="2838"/>
    </row>
    <row r="353" spans="10:10" s="658" customFormat="1" ht="21.75" customHeight="1">
      <c r="J353" s="2838"/>
    </row>
    <row r="354" spans="10:10" s="658" customFormat="1" ht="21.75" customHeight="1">
      <c r="J354" s="2838"/>
    </row>
    <row r="355" spans="10:10" s="658" customFormat="1" ht="21.75" customHeight="1">
      <c r="J355" s="2838"/>
    </row>
    <row r="356" spans="10:10" s="658" customFormat="1" ht="21.75" customHeight="1">
      <c r="J356" s="2838"/>
    </row>
    <row r="357" spans="10:10" s="658" customFormat="1" ht="21.75" customHeight="1">
      <c r="J357" s="2838"/>
    </row>
    <row r="358" spans="10:10" s="658" customFormat="1" ht="21.75" customHeight="1">
      <c r="J358" s="2838"/>
    </row>
    <row r="359" spans="10:10" s="658" customFormat="1" ht="21.75" customHeight="1">
      <c r="J359" s="2838"/>
    </row>
    <row r="360" spans="10:10" s="658" customFormat="1" ht="21.75" customHeight="1">
      <c r="J360" s="2838"/>
    </row>
    <row r="361" spans="10:10" s="658" customFormat="1" ht="21.75" customHeight="1">
      <c r="J361" s="2838"/>
    </row>
    <row r="362" spans="10:10" s="658" customFormat="1" ht="21.75" customHeight="1">
      <c r="J362" s="2838"/>
    </row>
    <row r="363" spans="10:10" s="658" customFormat="1" ht="21.75" customHeight="1">
      <c r="J363" s="2838"/>
    </row>
    <row r="364" spans="10:10" s="658" customFormat="1" ht="21.75" customHeight="1">
      <c r="J364" s="2838"/>
    </row>
    <row r="365" spans="10:10" s="658" customFormat="1" ht="21.75" customHeight="1">
      <c r="J365" s="2838"/>
    </row>
    <row r="366" spans="10:10" s="658" customFormat="1" ht="21.75" customHeight="1">
      <c r="J366" s="2838"/>
    </row>
    <row r="367" spans="10:10" s="658" customFormat="1" ht="21.75" customHeight="1">
      <c r="J367" s="2838"/>
    </row>
    <row r="368" spans="10:10" s="658" customFormat="1" ht="21.75" customHeight="1">
      <c r="J368" s="2838"/>
    </row>
    <row r="369" spans="10:10" s="658" customFormat="1" ht="21.75" customHeight="1">
      <c r="J369" s="2838"/>
    </row>
    <row r="370" spans="10:10" s="658" customFormat="1" ht="21.75" customHeight="1">
      <c r="J370" s="2838"/>
    </row>
    <row r="371" spans="10:10" s="658" customFormat="1" ht="21.75" customHeight="1">
      <c r="J371" s="2838"/>
    </row>
    <row r="372" spans="10:10" s="658" customFormat="1" ht="21.75" customHeight="1">
      <c r="J372" s="2838"/>
    </row>
    <row r="373" spans="10:10" s="658" customFormat="1" ht="21.75" customHeight="1">
      <c r="J373" s="2838"/>
    </row>
    <row r="374" spans="10:10" s="658" customFormat="1" ht="21.75" customHeight="1">
      <c r="J374" s="2838"/>
    </row>
    <row r="375" spans="10:10" s="658" customFormat="1" ht="21.75" customHeight="1">
      <c r="J375" s="2838"/>
    </row>
    <row r="376" spans="10:10" s="658" customFormat="1" ht="21.75" customHeight="1">
      <c r="J376" s="2838"/>
    </row>
    <row r="377" spans="10:10" s="658" customFormat="1" ht="21.75" customHeight="1">
      <c r="J377" s="2838"/>
    </row>
    <row r="378" spans="10:10" s="658" customFormat="1" ht="21.75" customHeight="1">
      <c r="J378" s="2838"/>
    </row>
    <row r="379" spans="10:10" s="658" customFormat="1" ht="21.75" customHeight="1">
      <c r="J379" s="2838"/>
    </row>
    <row r="380" spans="10:10" s="658" customFormat="1" ht="21.75" customHeight="1">
      <c r="J380" s="2838"/>
    </row>
    <row r="381" spans="10:10" s="658" customFormat="1" ht="21.75" customHeight="1">
      <c r="J381" s="2838"/>
    </row>
    <row r="382" spans="10:10" s="658" customFormat="1" ht="21.75" customHeight="1">
      <c r="J382" s="2838"/>
    </row>
    <row r="383" spans="10:10" s="658" customFormat="1" ht="21.75" customHeight="1">
      <c r="J383" s="2838"/>
    </row>
    <row r="384" spans="10:10" s="658" customFormat="1" ht="21.75" customHeight="1">
      <c r="J384" s="2838"/>
    </row>
    <row r="385" spans="10:10" s="658" customFormat="1" ht="21.75" customHeight="1">
      <c r="J385" s="2838"/>
    </row>
    <row r="386" spans="10:10" s="658" customFormat="1" ht="21.75" customHeight="1">
      <c r="J386" s="2838"/>
    </row>
    <row r="387" spans="10:10" s="658" customFormat="1" ht="21.75" customHeight="1">
      <c r="J387" s="2838"/>
    </row>
    <row r="388" spans="10:10" s="658" customFormat="1" ht="21.75" customHeight="1">
      <c r="J388" s="2838"/>
    </row>
    <row r="389" spans="10:10" s="658" customFormat="1" ht="21.75" customHeight="1">
      <c r="J389" s="2838"/>
    </row>
    <row r="390" spans="10:10" s="658" customFormat="1" ht="21.75" customHeight="1">
      <c r="J390" s="2838"/>
    </row>
    <row r="391" spans="10:10" s="658" customFormat="1" ht="21.75" customHeight="1">
      <c r="J391" s="2838"/>
    </row>
    <row r="392" spans="10:10" s="658" customFormat="1" ht="21.75" customHeight="1">
      <c r="J392" s="2838"/>
    </row>
    <row r="393" spans="10:10" s="658" customFormat="1" ht="21.75" customHeight="1">
      <c r="J393" s="2838"/>
    </row>
    <row r="394" spans="10:10" s="658" customFormat="1" ht="21.75" customHeight="1">
      <c r="J394" s="2838"/>
    </row>
    <row r="395" spans="10:10" s="658" customFormat="1" ht="21.75" customHeight="1">
      <c r="J395" s="2838"/>
    </row>
    <row r="396" spans="10:10" s="658" customFormat="1" ht="21.75" customHeight="1">
      <c r="J396" s="2838"/>
    </row>
    <row r="397" spans="10:10" s="658" customFormat="1" ht="21.75" customHeight="1">
      <c r="J397" s="2838"/>
    </row>
    <row r="398" spans="10:10" s="658" customFormat="1" ht="21.75" customHeight="1">
      <c r="J398" s="2838"/>
    </row>
    <row r="399" spans="10:10" s="658" customFormat="1" ht="21.75" customHeight="1">
      <c r="J399" s="2838"/>
    </row>
    <row r="400" spans="10:10" s="658" customFormat="1" ht="21.75" customHeight="1">
      <c r="J400" s="2838"/>
    </row>
    <row r="401" spans="10:27" s="658" customFormat="1" ht="21.75" customHeight="1">
      <c r="J401" s="2838"/>
    </row>
    <row r="402" spans="10:27" s="658" customFormat="1" ht="21.75" customHeight="1">
      <c r="J402" s="2838"/>
    </row>
    <row r="403" spans="10:27" s="1275" customFormat="1" ht="21.75" customHeight="1">
      <c r="J403" s="2808"/>
      <c r="K403" s="658"/>
      <c r="L403" s="658"/>
      <c r="M403" s="658"/>
      <c r="N403" s="658"/>
      <c r="O403" s="658"/>
      <c r="P403" s="658"/>
      <c r="Q403" s="658"/>
      <c r="R403" s="658"/>
      <c r="S403" s="658"/>
      <c r="T403" s="658"/>
      <c r="U403" s="658"/>
      <c r="V403" s="658"/>
      <c r="W403" s="658"/>
      <c r="X403" s="658"/>
      <c r="Y403" s="658"/>
      <c r="Z403" s="658"/>
      <c r="AA403" s="658"/>
    </row>
    <row r="404" spans="10:27" s="1275" customFormat="1" ht="21.75" customHeight="1">
      <c r="J404" s="2808"/>
      <c r="K404" s="658"/>
      <c r="L404" s="658"/>
      <c r="M404" s="658"/>
      <c r="N404" s="658"/>
      <c r="O404" s="658"/>
      <c r="P404" s="658"/>
      <c r="Q404" s="658"/>
      <c r="R404" s="658"/>
      <c r="S404" s="658"/>
      <c r="T404" s="658"/>
      <c r="U404" s="658"/>
      <c r="V404" s="658"/>
      <c r="W404" s="658"/>
      <c r="X404" s="658"/>
      <c r="Y404" s="658"/>
      <c r="Z404" s="658"/>
      <c r="AA404" s="658"/>
    </row>
    <row r="405" spans="10:27" s="1275" customFormat="1" ht="21.75" customHeight="1">
      <c r="J405" s="2808"/>
      <c r="K405" s="658"/>
      <c r="L405" s="658"/>
      <c r="M405" s="658"/>
      <c r="N405" s="658"/>
      <c r="O405" s="658"/>
      <c r="P405" s="658"/>
      <c r="Q405" s="658"/>
      <c r="R405" s="658"/>
      <c r="S405" s="658"/>
      <c r="T405" s="658"/>
      <c r="U405" s="658"/>
      <c r="V405" s="658"/>
      <c r="W405" s="658"/>
      <c r="X405" s="658"/>
      <c r="Y405" s="658"/>
      <c r="Z405" s="658"/>
      <c r="AA405" s="658"/>
    </row>
    <row r="406" spans="10:27" s="1275" customFormat="1" ht="21.75" customHeight="1">
      <c r="J406" s="2808"/>
      <c r="K406" s="658"/>
      <c r="L406" s="658"/>
      <c r="M406" s="658"/>
      <c r="N406" s="658"/>
      <c r="O406" s="658"/>
      <c r="P406" s="658"/>
      <c r="Q406" s="658"/>
      <c r="R406" s="658"/>
      <c r="S406" s="658"/>
      <c r="T406" s="658"/>
      <c r="U406" s="658"/>
      <c r="V406" s="658"/>
      <c r="W406" s="658"/>
      <c r="X406" s="658"/>
      <c r="Y406" s="658"/>
      <c r="Z406" s="658"/>
      <c r="AA406" s="658"/>
    </row>
    <row r="407" spans="10:27" s="1275" customFormat="1" ht="21.75" customHeight="1">
      <c r="J407" s="2808"/>
      <c r="K407" s="658"/>
      <c r="L407" s="658"/>
      <c r="M407" s="658"/>
      <c r="N407" s="658"/>
      <c r="O407" s="658"/>
      <c r="P407" s="658"/>
      <c r="Q407" s="658"/>
      <c r="R407" s="658"/>
      <c r="S407" s="658"/>
      <c r="T407" s="658"/>
      <c r="U407" s="658"/>
      <c r="V407" s="658"/>
      <c r="W407" s="658"/>
      <c r="X407" s="658"/>
      <c r="Y407" s="658"/>
      <c r="Z407" s="658"/>
      <c r="AA407" s="658"/>
    </row>
    <row r="408" spans="10:27" s="1275" customFormat="1" ht="21.75" customHeight="1">
      <c r="J408" s="2808"/>
      <c r="K408" s="658"/>
      <c r="L408" s="658"/>
      <c r="M408" s="658"/>
      <c r="N408" s="658"/>
      <c r="O408" s="658"/>
      <c r="P408" s="658"/>
      <c r="Q408" s="658"/>
      <c r="R408" s="658"/>
      <c r="S408" s="658"/>
      <c r="T408" s="658"/>
      <c r="U408" s="658"/>
      <c r="V408" s="658"/>
      <c r="W408" s="658"/>
      <c r="X408" s="658"/>
      <c r="Y408" s="658"/>
      <c r="Z408" s="658"/>
      <c r="AA408" s="658"/>
    </row>
    <row r="409" spans="10:27" s="1275" customFormat="1" ht="21.75" customHeight="1">
      <c r="J409" s="2808"/>
      <c r="K409" s="658"/>
      <c r="L409" s="658"/>
      <c r="M409" s="658"/>
      <c r="N409" s="658"/>
      <c r="O409" s="658"/>
      <c r="P409" s="658"/>
      <c r="Q409" s="658"/>
      <c r="R409" s="658"/>
      <c r="S409" s="658"/>
      <c r="T409" s="658"/>
      <c r="U409" s="658"/>
      <c r="V409" s="658"/>
      <c r="W409" s="658"/>
      <c r="X409" s="658"/>
      <c r="Y409" s="658"/>
      <c r="Z409" s="658"/>
      <c r="AA409" s="658"/>
    </row>
    <row r="410" spans="10:27" s="1275" customFormat="1" ht="21.75" customHeight="1">
      <c r="J410" s="2808"/>
      <c r="K410" s="658"/>
      <c r="L410" s="658"/>
      <c r="M410" s="658"/>
      <c r="N410" s="658"/>
      <c r="O410" s="658"/>
      <c r="P410" s="658"/>
      <c r="Q410" s="658"/>
      <c r="R410" s="658"/>
      <c r="S410" s="658"/>
      <c r="T410" s="658"/>
      <c r="U410" s="658"/>
      <c r="V410" s="658"/>
      <c r="W410" s="658"/>
      <c r="X410" s="658"/>
      <c r="Y410" s="658"/>
      <c r="Z410" s="658"/>
      <c r="AA410" s="658"/>
    </row>
    <row r="411" spans="10:27" s="1275" customFormat="1" ht="21.75" customHeight="1">
      <c r="J411" s="2808"/>
      <c r="K411" s="658"/>
      <c r="L411" s="658"/>
      <c r="M411" s="658"/>
      <c r="N411" s="658"/>
      <c r="O411" s="658"/>
      <c r="P411" s="658"/>
      <c r="Q411" s="658"/>
      <c r="R411" s="658"/>
      <c r="S411" s="658"/>
      <c r="T411" s="658"/>
      <c r="U411" s="658"/>
      <c r="V411" s="658"/>
      <c r="W411" s="658"/>
      <c r="X411" s="658"/>
      <c r="Y411" s="658"/>
      <c r="Z411" s="658"/>
      <c r="AA411" s="658"/>
    </row>
    <row r="412" spans="10:27" s="1275" customFormat="1" ht="21.75" customHeight="1">
      <c r="J412" s="2808"/>
      <c r="K412" s="658"/>
      <c r="L412" s="658"/>
      <c r="M412" s="658"/>
      <c r="N412" s="658"/>
      <c r="O412" s="658"/>
      <c r="P412" s="658"/>
      <c r="Q412" s="658"/>
      <c r="R412" s="658"/>
      <c r="S412" s="658"/>
      <c r="T412" s="658"/>
      <c r="U412" s="658"/>
      <c r="V412" s="658"/>
      <c r="W412" s="658"/>
      <c r="X412" s="658"/>
      <c r="Y412" s="658"/>
      <c r="Z412" s="658"/>
      <c r="AA412" s="658"/>
    </row>
    <row r="413" spans="10:27" s="1275" customFormat="1" ht="21.75" customHeight="1">
      <c r="J413" s="2808"/>
      <c r="K413" s="658"/>
      <c r="L413" s="658"/>
      <c r="M413" s="658"/>
      <c r="N413" s="658"/>
      <c r="O413" s="658"/>
      <c r="P413" s="658"/>
      <c r="Q413" s="658"/>
      <c r="R413" s="658"/>
      <c r="S413" s="658"/>
      <c r="T413" s="658"/>
      <c r="U413" s="658"/>
      <c r="V413" s="658"/>
      <c r="W413" s="658"/>
      <c r="X413" s="658"/>
      <c r="Y413" s="658"/>
      <c r="Z413" s="658"/>
      <c r="AA413" s="658"/>
    </row>
    <row r="414" spans="10:27" s="1275" customFormat="1" ht="21.75" customHeight="1">
      <c r="J414" s="2808"/>
      <c r="K414" s="658"/>
      <c r="L414" s="658"/>
      <c r="M414" s="658"/>
      <c r="N414" s="658"/>
      <c r="O414" s="658"/>
      <c r="P414" s="658"/>
      <c r="Q414" s="658"/>
      <c r="R414" s="658"/>
      <c r="S414" s="658"/>
      <c r="T414" s="658"/>
      <c r="U414" s="658"/>
      <c r="V414" s="658"/>
      <c r="W414" s="658"/>
      <c r="X414" s="658"/>
      <c r="Y414" s="658"/>
      <c r="Z414" s="658"/>
      <c r="AA414" s="658"/>
    </row>
    <row r="415" spans="10:27" s="1275" customFormat="1" ht="21.75" customHeight="1">
      <c r="J415" s="2808"/>
      <c r="K415" s="658"/>
      <c r="L415" s="658"/>
      <c r="M415" s="658"/>
      <c r="N415" s="658"/>
      <c r="O415" s="658"/>
      <c r="P415" s="658"/>
      <c r="Q415" s="658"/>
      <c r="R415" s="658"/>
      <c r="S415" s="658"/>
      <c r="T415" s="658"/>
      <c r="U415" s="658"/>
      <c r="V415" s="658"/>
      <c r="W415" s="658"/>
      <c r="X415" s="658"/>
      <c r="Y415" s="658"/>
      <c r="Z415" s="658"/>
      <c r="AA415" s="658"/>
    </row>
    <row r="416" spans="10:27" s="1275" customFormat="1" ht="21.75" customHeight="1">
      <c r="J416" s="2808"/>
      <c r="K416" s="658"/>
      <c r="L416" s="658"/>
      <c r="M416" s="658"/>
      <c r="N416" s="658"/>
      <c r="O416" s="658"/>
      <c r="P416" s="658"/>
      <c r="Q416" s="658"/>
      <c r="R416" s="658"/>
      <c r="S416" s="658"/>
      <c r="T416" s="658"/>
      <c r="U416" s="658"/>
      <c r="V416" s="658"/>
      <c r="W416" s="658"/>
      <c r="X416" s="658"/>
      <c r="Y416" s="658"/>
      <c r="Z416" s="658"/>
      <c r="AA416" s="658"/>
    </row>
    <row r="417" spans="10:27" s="1275" customFormat="1" ht="21.75" customHeight="1">
      <c r="J417" s="2808"/>
      <c r="K417" s="658"/>
      <c r="L417" s="658"/>
      <c r="M417" s="658"/>
      <c r="N417" s="658"/>
      <c r="O417" s="658"/>
      <c r="P417" s="658"/>
      <c r="Q417" s="658"/>
      <c r="R417" s="658"/>
      <c r="S417" s="658"/>
      <c r="T417" s="658"/>
      <c r="U417" s="658"/>
      <c r="V417" s="658"/>
      <c r="W417" s="658"/>
      <c r="X417" s="658"/>
      <c r="Y417" s="658"/>
      <c r="Z417" s="658"/>
      <c r="AA417" s="658"/>
    </row>
    <row r="418" spans="10:27" s="1275" customFormat="1" ht="21.75" customHeight="1">
      <c r="J418" s="2808"/>
      <c r="K418" s="658"/>
      <c r="L418" s="658"/>
      <c r="M418" s="658"/>
      <c r="N418" s="658"/>
      <c r="O418" s="658"/>
      <c r="P418" s="658"/>
      <c r="Q418" s="658"/>
      <c r="R418" s="658"/>
      <c r="S418" s="658"/>
      <c r="T418" s="658"/>
      <c r="U418" s="658"/>
      <c r="V418" s="658"/>
      <c r="W418" s="658"/>
      <c r="X418" s="658"/>
      <c r="Y418" s="658"/>
      <c r="Z418" s="658"/>
      <c r="AA418" s="658"/>
    </row>
    <row r="419" spans="10:27" s="1275" customFormat="1" ht="21.75" customHeight="1">
      <c r="J419" s="2808"/>
      <c r="K419" s="658"/>
      <c r="L419" s="658"/>
      <c r="M419" s="658"/>
      <c r="N419" s="658"/>
      <c r="O419" s="658"/>
      <c r="P419" s="658"/>
      <c r="Q419" s="658"/>
      <c r="R419" s="658"/>
      <c r="S419" s="658"/>
      <c r="T419" s="658"/>
      <c r="U419" s="658"/>
      <c r="V419" s="658"/>
      <c r="W419" s="658"/>
      <c r="X419" s="658"/>
      <c r="Y419" s="658"/>
      <c r="Z419" s="658"/>
      <c r="AA419" s="658"/>
    </row>
    <row r="420" spans="10:27" s="1275" customFormat="1" ht="21.75" customHeight="1">
      <c r="J420" s="2808"/>
      <c r="K420" s="658"/>
      <c r="L420" s="658"/>
      <c r="M420" s="658"/>
      <c r="N420" s="658"/>
      <c r="O420" s="658"/>
      <c r="P420" s="658"/>
      <c r="Q420" s="658"/>
      <c r="R420" s="658"/>
      <c r="S420" s="658"/>
      <c r="T420" s="658"/>
      <c r="U420" s="658"/>
      <c r="V420" s="658"/>
      <c r="W420" s="658"/>
      <c r="X420" s="658"/>
      <c r="Y420" s="658"/>
      <c r="Z420" s="658"/>
      <c r="AA420" s="658"/>
    </row>
    <row r="421" spans="10:27" s="1275" customFormat="1" ht="21.75" customHeight="1">
      <c r="J421" s="2808"/>
      <c r="K421" s="658"/>
      <c r="L421" s="658"/>
      <c r="M421" s="658"/>
      <c r="N421" s="658"/>
      <c r="O421" s="658"/>
      <c r="P421" s="658"/>
      <c r="Q421" s="658"/>
      <c r="R421" s="658"/>
      <c r="S421" s="658"/>
      <c r="T421" s="658"/>
      <c r="U421" s="658"/>
      <c r="V421" s="658"/>
      <c r="W421" s="658"/>
      <c r="X421" s="658"/>
      <c r="Y421" s="658"/>
      <c r="Z421" s="658"/>
      <c r="AA421" s="658"/>
    </row>
    <row r="422" spans="10:27" s="1275" customFormat="1" ht="21.75" customHeight="1">
      <c r="J422" s="2808"/>
      <c r="K422" s="658"/>
      <c r="L422" s="658"/>
      <c r="M422" s="658"/>
      <c r="N422" s="658"/>
      <c r="O422" s="658"/>
      <c r="P422" s="658"/>
      <c r="Q422" s="658"/>
      <c r="R422" s="658"/>
      <c r="S422" s="658"/>
      <c r="T422" s="658"/>
      <c r="U422" s="658"/>
      <c r="V422" s="658"/>
      <c r="W422" s="658"/>
      <c r="X422" s="658"/>
      <c r="Y422" s="658"/>
      <c r="Z422" s="658"/>
      <c r="AA422" s="658"/>
    </row>
    <row r="423" spans="10:27" s="1275" customFormat="1" ht="21.75" customHeight="1">
      <c r="J423" s="2808"/>
      <c r="K423" s="658"/>
      <c r="L423" s="658"/>
      <c r="M423" s="658"/>
      <c r="N423" s="658"/>
      <c r="O423" s="658"/>
      <c r="P423" s="658"/>
      <c r="Q423" s="658"/>
      <c r="R423" s="658"/>
      <c r="S423" s="658"/>
      <c r="T423" s="658"/>
      <c r="U423" s="658"/>
      <c r="V423" s="658"/>
      <c r="W423" s="658"/>
      <c r="X423" s="658"/>
      <c r="Y423" s="658"/>
      <c r="Z423" s="658"/>
      <c r="AA423" s="658"/>
    </row>
    <row r="424" spans="10:27" s="1275" customFormat="1" ht="21.75" customHeight="1">
      <c r="J424" s="2808"/>
      <c r="K424" s="658"/>
      <c r="L424" s="658"/>
      <c r="M424" s="658"/>
      <c r="N424" s="658"/>
      <c r="O424" s="658"/>
      <c r="P424" s="658"/>
      <c r="Q424" s="658"/>
      <c r="R424" s="658"/>
      <c r="S424" s="658"/>
      <c r="T424" s="658"/>
      <c r="U424" s="658"/>
      <c r="V424" s="658"/>
      <c r="W424" s="658"/>
      <c r="X424" s="658"/>
      <c r="Y424" s="658"/>
      <c r="Z424" s="658"/>
      <c r="AA424" s="658"/>
    </row>
    <row r="425" spans="10:27" s="1275" customFormat="1" ht="21.75" customHeight="1">
      <c r="J425" s="2808"/>
      <c r="K425" s="658"/>
      <c r="L425" s="658"/>
      <c r="M425" s="658"/>
      <c r="N425" s="658"/>
      <c r="O425" s="658"/>
      <c r="P425" s="658"/>
      <c r="Q425" s="658"/>
      <c r="R425" s="658"/>
      <c r="S425" s="658"/>
      <c r="T425" s="658"/>
      <c r="U425" s="658"/>
      <c r="V425" s="658"/>
      <c r="W425" s="658"/>
      <c r="X425" s="658"/>
      <c r="Y425" s="658"/>
      <c r="Z425" s="658"/>
      <c r="AA425" s="658"/>
    </row>
    <row r="426" spans="10:27" s="1275" customFormat="1" ht="21.75" customHeight="1">
      <c r="J426" s="2808"/>
      <c r="K426" s="658"/>
      <c r="L426" s="658"/>
      <c r="M426" s="658"/>
      <c r="N426" s="658"/>
      <c r="O426" s="658"/>
      <c r="P426" s="658"/>
      <c r="Q426" s="658"/>
      <c r="R426" s="658"/>
      <c r="S426" s="658"/>
      <c r="T426" s="658"/>
      <c r="U426" s="658"/>
      <c r="V426" s="658"/>
      <c r="W426" s="658"/>
      <c r="X426" s="658"/>
      <c r="Y426" s="658"/>
      <c r="Z426" s="658"/>
      <c r="AA426" s="658"/>
    </row>
    <row r="427" spans="10:27" s="1275" customFormat="1" ht="21.75" customHeight="1">
      <c r="J427" s="2808"/>
      <c r="K427" s="658"/>
      <c r="L427" s="658"/>
      <c r="M427" s="658"/>
      <c r="N427" s="658"/>
      <c r="O427" s="658"/>
      <c r="P427" s="658"/>
      <c r="Q427" s="658"/>
      <c r="R427" s="658"/>
      <c r="S427" s="658"/>
      <c r="T427" s="658"/>
      <c r="U427" s="658"/>
      <c r="V427" s="658"/>
      <c r="W427" s="658"/>
      <c r="X427" s="658"/>
      <c r="Y427" s="658"/>
      <c r="Z427" s="658"/>
      <c r="AA427" s="658"/>
    </row>
    <row r="428" spans="10:27" s="1275" customFormat="1" ht="21.75" customHeight="1">
      <c r="J428" s="2808"/>
      <c r="K428" s="658"/>
      <c r="L428" s="658"/>
      <c r="M428" s="658"/>
      <c r="N428" s="658"/>
      <c r="O428" s="658"/>
      <c r="P428" s="658"/>
      <c r="Q428" s="658"/>
      <c r="R428" s="658"/>
      <c r="S428" s="658"/>
      <c r="T428" s="658"/>
      <c r="U428" s="658"/>
      <c r="V428" s="658"/>
      <c r="W428" s="658"/>
      <c r="X428" s="658"/>
      <c r="Y428" s="658"/>
      <c r="Z428" s="658"/>
      <c r="AA428" s="658"/>
    </row>
    <row r="429" spans="10:27" s="1275" customFormat="1" ht="21.75" customHeight="1">
      <c r="J429" s="2808"/>
      <c r="K429" s="658"/>
      <c r="L429" s="658"/>
      <c r="M429" s="658"/>
      <c r="N429" s="658"/>
      <c r="O429" s="658"/>
      <c r="P429" s="658"/>
      <c r="Q429" s="658"/>
      <c r="R429" s="658"/>
      <c r="S429" s="658"/>
      <c r="T429" s="658"/>
      <c r="U429" s="658"/>
      <c r="V429" s="658"/>
      <c r="W429" s="658"/>
      <c r="X429" s="658"/>
      <c r="Y429" s="658"/>
      <c r="Z429" s="658"/>
      <c r="AA429" s="658"/>
    </row>
    <row r="430" spans="10:27" s="1275" customFormat="1" ht="21.75" customHeight="1">
      <c r="J430" s="2808"/>
      <c r="K430" s="658"/>
      <c r="L430" s="658"/>
      <c r="M430" s="658"/>
      <c r="N430" s="658"/>
      <c r="O430" s="658"/>
      <c r="P430" s="658"/>
      <c r="Q430" s="658"/>
      <c r="R430" s="658"/>
      <c r="S430" s="658"/>
      <c r="T430" s="658"/>
      <c r="U430" s="658"/>
      <c r="V430" s="658"/>
      <c r="W430" s="658"/>
      <c r="X430" s="658"/>
      <c r="Y430" s="658"/>
      <c r="Z430" s="658"/>
      <c r="AA430" s="658"/>
    </row>
    <row r="431" spans="10:27" s="1275" customFormat="1" ht="21.75" customHeight="1">
      <c r="J431" s="2808"/>
      <c r="K431" s="658"/>
      <c r="L431" s="658"/>
      <c r="M431" s="658"/>
      <c r="N431" s="658"/>
      <c r="O431" s="658"/>
      <c r="P431" s="658"/>
      <c r="Q431" s="658"/>
      <c r="R431" s="658"/>
      <c r="S431" s="658"/>
      <c r="T431" s="658"/>
      <c r="U431" s="658"/>
      <c r="V431" s="658"/>
      <c r="W431" s="658"/>
      <c r="X431" s="658"/>
      <c r="Y431" s="658"/>
      <c r="Z431" s="658"/>
      <c r="AA431" s="658"/>
    </row>
    <row r="432" spans="10:27" s="1275" customFormat="1" ht="21.75" customHeight="1">
      <c r="J432" s="2808"/>
      <c r="K432" s="658"/>
      <c r="L432" s="658"/>
      <c r="M432" s="658"/>
      <c r="N432" s="658"/>
      <c r="O432" s="658"/>
      <c r="P432" s="658"/>
      <c r="Q432" s="658"/>
      <c r="R432" s="658"/>
      <c r="S432" s="658"/>
      <c r="T432" s="658"/>
      <c r="U432" s="658"/>
      <c r="V432" s="658"/>
      <c r="W432" s="658"/>
      <c r="X432" s="658"/>
      <c r="Y432" s="658"/>
      <c r="Z432" s="658"/>
      <c r="AA432" s="658"/>
    </row>
    <row r="433" spans="10:27" s="1275" customFormat="1" ht="21.75" customHeight="1">
      <c r="J433" s="2808"/>
      <c r="K433" s="658"/>
      <c r="L433" s="658"/>
      <c r="M433" s="658"/>
      <c r="N433" s="658"/>
      <c r="O433" s="658"/>
      <c r="P433" s="658"/>
      <c r="Q433" s="658"/>
      <c r="R433" s="658"/>
      <c r="S433" s="658"/>
      <c r="T433" s="658"/>
      <c r="U433" s="658"/>
      <c r="V433" s="658"/>
      <c r="W433" s="658"/>
      <c r="X433" s="658"/>
      <c r="Y433" s="658"/>
      <c r="Z433" s="658"/>
      <c r="AA433" s="658"/>
    </row>
    <row r="434" spans="10:27" s="1275" customFormat="1" ht="21.75" customHeight="1">
      <c r="J434" s="2808"/>
      <c r="K434" s="658"/>
      <c r="L434" s="658"/>
      <c r="M434" s="658"/>
      <c r="N434" s="658"/>
      <c r="O434" s="658"/>
      <c r="P434" s="658"/>
      <c r="Q434" s="658"/>
      <c r="R434" s="658"/>
      <c r="S434" s="658"/>
      <c r="T434" s="658"/>
      <c r="U434" s="658"/>
      <c r="V434" s="658"/>
      <c r="W434" s="658"/>
      <c r="X434" s="658"/>
      <c r="Y434" s="658"/>
      <c r="Z434" s="658"/>
      <c r="AA434" s="658"/>
    </row>
    <row r="435" spans="10:27" s="1275" customFormat="1" ht="21.75" customHeight="1">
      <c r="J435" s="2808"/>
      <c r="K435" s="658"/>
      <c r="L435" s="658"/>
      <c r="M435" s="658"/>
      <c r="N435" s="658"/>
      <c r="O435" s="658"/>
      <c r="P435" s="658"/>
      <c r="Q435" s="658"/>
      <c r="R435" s="658"/>
      <c r="S435" s="658"/>
      <c r="T435" s="658"/>
      <c r="U435" s="658"/>
      <c r="V435" s="658"/>
      <c r="W435" s="658"/>
      <c r="X435" s="658"/>
      <c r="Y435" s="658"/>
      <c r="Z435" s="658"/>
      <c r="AA435" s="658"/>
    </row>
    <row r="436" spans="10:27" s="1275" customFormat="1" ht="21.75" customHeight="1">
      <c r="J436" s="2808"/>
      <c r="K436" s="658"/>
      <c r="L436" s="658"/>
      <c r="M436" s="658"/>
      <c r="N436" s="658"/>
      <c r="O436" s="658"/>
      <c r="P436" s="658"/>
      <c r="Q436" s="658"/>
      <c r="R436" s="658"/>
      <c r="S436" s="658"/>
      <c r="T436" s="658"/>
      <c r="U436" s="658"/>
      <c r="V436" s="658"/>
      <c r="W436" s="658"/>
      <c r="X436" s="658"/>
      <c r="Y436" s="658"/>
      <c r="Z436" s="658"/>
      <c r="AA436" s="658"/>
    </row>
    <row r="437" spans="10:27" s="1275" customFormat="1" ht="21.75" customHeight="1">
      <c r="J437" s="2808"/>
      <c r="K437" s="658"/>
      <c r="L437" s="658"/>
      <c r="M437" s="658"/>
      <c r="N437" s="658"/>
      <c r="O437" s="658"/>
      <c r="P437" s="658"/>
      <c r="Q437" s="658"/>
      <c r="R437" s="658"/>
      <c r="S437" s="658"/>
      <c r="T437" s="658"/>
      <c r="U437" s="658"/>
      <c r="V437" s="658"/>
      <c r="W437" s="658"/>
      <c r="X437" s="658"/>
      <c r="Y437" s="658"/>
      <c r="Z437" s="658"/>
      <c r="AA437" s="658"/>
    </row>
    <row r="438" spans="10:27" s="1275" customFormat="1" ht="21.75" customHeight="1">
      <c r="J438" s="2808"/>
      <c r="K438" s="658"/>
      <c r="L438" s="658"/>
      <c r="M438" s="658"/>
      <c r="N438" s="658"/>
      <c r="O438" s="658"/>
      <c r="P438" s="658"/>
      <c r="Q438" s="658"/>
      <c r="R438" s="658"/>
      <c r="S438" s="658"/>
      <c r="T438" s="658"/>
      <c r="U438" s="658"/>
      <c r="V438" s="658"/>
      <c r="W438" s="658"/>
      <c r="X438" s="658"/>
      <c r="Y438" s="658"/>
      <c r="Z438" s="658"/>
      <c r="AA438" s="658"/>
    </row>
    <row r="439" spans="10:27" s="1275" customFormat="1" ht="21.75" customHeight="1">
      <c r="J439" s="2808"/>
      <c r="K439" s="658"/>
      <c r="L439" s="658"/>
      <c r="M439" s="658"/>
      <c r="N439" s="658"/>
      <c r="O439" s="658"/>
      <c r="P439" s="658"/>
      <c r="Q439" s="658"/>
      <c r="R439" s="658"/>
      <c r="S439" s="658"/>
      <c r="T439" s="658"/>
      <c r="U439" s="658"/>
      <c r="V439" s="658"/>
      <c r="W439" s="658"/>
      <c r="X439" s="658"/>
      <c r="Y439" s="658"/>
      <c r="Z439" s="658"/>
      <c r="AA439" s="658"/>
    </row>
    <row r="440" spans="10:27" s="1275" customFormat="1" ht="21.75" customHeight="1">
      <c r="J440" s="2808"/>
      <c r="K440" s="658"/>
      <c r="L440" s="658"/>
      <c r="M440" s="658"/>
      <c r="N440" s="658"/>
      <c r="O440" s="658"/>
      <c r="P440" s="658"/>
      <c r="Q440" s="658"/>
      <c r="R440" s="658"/>
      <c r="S440" s="658"/>
      <c r="T440" s="658"/>
      <c r="U440" s="658"/>
      <c r="V440" s="658"/>
      <c r="W440" s="658"/>
      <c r="X440" s="658"/>
      <c r="Y440" s="658"/>
      <c r="Z440" s="658"/>
      <c r="AA440" s="658"/>
    </row>
    <row r="441" spans="10:27" s="1275" customFormat="1" ht="21.75" customHeight="1">
      <c r="J441" s="2808"/>
      <c r="K441" s="658"/>
      <c r="L441" s="658"/>
      <c r="M441" s="658"/>
      <c r="N441" s="658"/>
      <c r="O441" s="658"/>
      <c r="P441" s="658"/>
      <c r="Q441" s="658"/>
      <c r="R441" s="658"/>
      <c r="S441" s="658"/>
      <c r="T441" s="658"/>
      <c r="U441" s="658"/>
      <c r="V441" s="658"/>
      <c r="W441" s="658"/>
      <c r="X441" s="658"/>
      <c r="Y441" s="658"/>
      <c r="Z441" s="658"/>
      <c r="AA441" s="658"/>
    </row>
    <row r="442" spans="10:27" s="1275" customFormat="1" ht="21.75" customHeight="1">
      <c r="J442" s="2808"/>
      <c r="K442" s="658"/>
      <c r="L442" s="658"/>
      <c r="M442" s="658"/>
      <c r="N442" s="658"/>
      <c r="O442" s="658"/>
      <c r="P442" s="658"/>
      <c r="Q442" s="658"/>
      <c r="R442" s="658"/>
      <c r="S442" s="658"/>
      <c r="T442" s="658"/>
      <c r="U442" s="658"/>
      <c r="V442" s="658"/>
      <c r="W442" s="658"/>
      <c r="X442" s="658"/>
      <c r="Y442" s="658"/>
      <c r="Z442" s="658"/>
      <c r="AA442" s="658"/>
    </row>
    <row r="443" spans="10:27" s="1275" customFormat="1" ht="21.75" customHeight="1">
      <c r="J443" s="2808"/>
      <c r="K443" s="658"/>
      <c r="L443" s="658"/>
      <c r="M443" s="658"/>
      <c r="N443" s="658"/>
      <c r="O443" s="658"/>
      <c r="P443" s="658"/>
      <c r="Q443" s="658"/>
      <c r="R443" s="658"/>
      <c r="S443" s="658"/>
      <c r="T443" s="658"/>
      <c r="U443" s="658"/>
      <c r="V443" s="658"/>
      <c r="W443" s="658"/>
      <c r="X443" s="658"/>
      <c r="Y443" s="658"/>
      <c r="Z443" s="658"/>
      <c r="AA443" s="658"/>
    </row>
    <row r="444" spans="10:27" s="1275" customFormat="1" ht="21.75" customHeight="1">
      <c r="J444" s="2808"/>
      <c r="K444" s="658"/>
      <c r="L444" s="658"/>
      <c r="M444" s="658"/>
      <c r="N444" s="658"/>
      <c r="O444" s="658"/>
      <c r="P444" s="658"/>
      <c r="Q444" s="658"/>
      <c r="R444" s="658"/>
      <c r="S444" s="658"/>
      <c r="T444" s="658"/>
      <c r="U444" s="658"/>
      <c r="V444" s="658"/>
      <c r="W444" s="658"/>
      <c r="X444" s="658"/>
      <c r="Y444" s="658"/>
      <c r="Z444" s="658"/>
      <c r="AA444" s="658"/>
    </row>
    <row r="445" spans="10:27" s="1275" customFormat="1" ht="21.75" customHeight="1">
      <c r="J445" s="2808"/>
      <c r="K445" s="658"/>
      <c r="L445" s="658"/>
      <c r="M445" s="658"/>
      <c r="N445" s="658"/>
      <c r="O445" s="658"/>
      <c r="P445" s="658"/>
      <c r="Q445" s="658"/>
      <c r="R445" s="658"/>
      <c r="S445" s="658"/>
      <c r="T445" s="658"/>
      <c r="U445" s="658"/>
      <c r="V445" s="658"/>
      <c r="W445" s="658"/>
      <c r="X445" s="658"/>
      <c r="Y445" s="658"/>
      <c r="Z445" s="658"/>
      <c r="AA445" s="658"/>
    </row>
    <row r="446" spans="10:27" s="1275" customFormat="1" ht="21.75" customHeight="1">
      <c r="J446" s="2808"/>
      <c r="K446" s="658"/>
      <c r="L446" s="658"/>
      <c r="M446" s="658"/>
      <c r="N446" s="658"/>
      <c r="O446" s="658"/>
      <c r="P446" s="658"/>
      <c r="Q446" s="658"/>
      <c r="R446" s="658"/>
      <c r="S446" s="658"/>
      <c r="T446" s="658"/>
      <c r="U446" s="658"/>
      <c r="V446" s="658"/>
      <c r="W446" s="658"/>
      <c r="X446" s="658"/>
      <c r="Y446" s="658"/>
      <c r="Z446" s="658"/>
      <c r="AA446" s="658"/>
    </row>
    <row r="447" spans="10:27" s="1275" customFormat="1" ht="21.75" customHeight="1">
      <c r="J447" s="2808"/>
      <c r="K447" s="658"/>
      <c r="L447" s="658"/>
      <c r="M447" s="658"/>
      <c r="N447" s="658"/>
      <c r="O447" s="658"/>
      <c r="P447" s="658"/>
      <c r="Q447" s="658"/>
      <c r="R447" s="658"/>
      <c r="S447" s="658"/>
      <c r="T447" s="658"/>
      <c r="U447" s="658"/>
      <c r="V447" s="658"/>
      <c r="W447" s="658"/>
      <c r="X447" s="658"/>
      <c r="Y447" s="658"/>
      <c r="Z447" s="658"/>
      <c r="AA447" s="658"/>
    </row>
    <row r="448" spans="10:27" s="1275" customFormat="1" ht="21.75" customHeight="1">
      <c r="J448" s="2808"/>
      <c r="K448" s="658"/>
      <c r="L448" s="658"/>
      <c r="M448" s="658"/>
      <c r="N448" s="658"/>
      <c r="O448" s="658"/>
      <c r="P448" s="658"/>
      <c r="Q448" s="658"/>
      <c r="R448" s="658"/>
      <c r="S448" s="658"/>
      <c r="T448" s="658"/>
      <c r="U448" s="658"/>
      <c r="V448" s="658"/>
      <c r="W448" s="658"/>
      <c r="X448" s="658"/>
      <c r="Y448" s="658"/>
      <c r="Z448" s="658"/>
      <c r="AA448" s="658"/>
    </row>
    <row r="449" spans="10:27" s="1275" customFormat="1" ht="21.75" customHeight="1">
      <c r="J449" s="2808"/>
      <c r="K449" s="658"/>
      <c r="L449" s="658"/>
      <c r="M449" s="658"/>
      <c r="N449" s="658"/>
      <c r="O449" s="658"/>
      <c r="P449" s="658"/>
      <c r="Q449" s="658"/>
      <c r="R449" s="658"/>
      <c r="S449" s="658"/>
      <c r="T449" s="658"/>
      <c r="U449" s="658"/>
      <c r="V449" s="658"/>
      <c r="W449" s="658"/>
      <c r="X449" s="658"/>
      <c r="Y449" s="658"/>
      <c r="Z449" s="658"/>
      <c r="AA449" s="658"/>
    </row>
    <row r="450" spans="10:27" s="1275" customFormat="1" ht="21.75" customHeight="1">
      <c r="J450" s="2808"/>
      <c r="K450" s="658"/>
      <c r="L450" s="658"/>
      <c r="M450" s="658"/>
      <c r="N450" s="658"/>
      <c r="O450" s="658"/>
      <c r="P450" s="658"/>
      <c r="Q450" s="658"/>
      <c r="R450" s="658"/>
      <c r="S450" s="658"/>
      <c r="T450" s="658"/>
      <c r="U450" s="658"/>
      <c r="V450" s="658"/>
      <c r="W450" s="658"/>
      <c r="X450" s="658"/>
      <c r="Y450" s="658"/>
      <c r="Z450" s="658"/>
      <c r="AA450" s="658"/>
    </row>
    <row r="451" spans="10:27" s="1275" customFormat="1" ht="21.75" customHeight="1">
      <c r="J451" s="2808"/>
      <c r="K451" s="658"/>
      <c r="L451" s="658"/>
      <c r="M451" s="658"/>
      <c r="N451" s="658"/>
      <c r="O451" s="658"/>
      <c r="P451" s="658"/>
      <c r="Q451" s="658"/>
      <c r="R451" s="658"/>
      <c r="S451" s="658"/>
      <c r="T451" s="658"/>
      <c r="U451" s="658"/>
      <c r="V451" s="658"/>
      <c r="W451" s="658"/>
      <c r="X451" s="658"/>
      <c r="Y451" s="658"/>
      <c r="Z451" s="658"/>
      <c r="AA451" s="658"/>
    </row>
    <row r="452" spans="10:27" s="1275" customFormat="1" ht="21.75" customHeight="1">
      <c r="J452" s="2808"/>
      <c r="K452" s="658"/>
      <c r="L452" s="658"/>
      <c r="M452" s="658"/>
      <c r="N452" s="658"/>
      <c r="O452" s="658"/>
      <c r="P452" s="658"/>
      <c r="Q452" s="658"/>
      <c r="R452" s="658"/>
      <c r="S452" s="658"/>
      <c r="T452" s="658"/>
      <c r="U452" s="658"/>
      <c r="V452" s="658"/>
      <c r="W452" s="658"/>
      <c r="X452" s="658"/>
      <c r="Y452" s="658"/>
      <c r="Z452" s="658"/>
      <c r="AA452" s="658"/>
    </row>
    <row r="453" spans="10:27" s="1275" customFormat="1" ht="21.75" customHeight="1">
      <c r="J453" s="2808"/>
      <c r="K453" s="658"/>
      <c r="L453" s="658"/>
      <c r="M453" s="658"/>
      <c r="N453" s="658"/>
      <c r="O453" s="658"/>
      <c r="P453" s="658"/>
      <c r="Q453" s="658"/>
      <c r="R453" s="658"/>
      <c r="S453" s="658"/>
      <c r="T453" s="658"/>
      <c r="U453" s="658"/>
      <c r="V453" s="658"/>
      <c r="W453" s="658"/>
      <c r="X453" s="658"/>
      <c r="Y453" s="658"/>
      <c r="Z453" s="658"/>
      <c r="AA453" s="658"/>
    </row>
    <row r="454" spans="10:27" s="1275" customFormat="1" ht="21.75" customHeight="1">
      <c r="J454" s="2808"/>
      <c r="K454" s="658"/>
      <c r="L454" s="658"/>
      <c r="M454" s="658"/>
      <c r="N454" s="658"/>
      <c r="O454" s="658"/>
      <c r="P454" s="658"/>
      <c r="Q454" s="658"/>
      <c r="R454" s="658"/>
      <c r="S454" s="658"/>
      <c r="T454" s="658"/>
      <c r="U454" s="658"/>
      <c r="V454" s="658"/>
      <c r="W454" s="658"/>
      <c r="X454" s="658"/>
      <c r="Y454" s="658"/>
      <c r="Z454" s="658"/>
      <c r="AA454" s="658"/>
    </row>
    <row r="455" spans="10:27" s="1275" customFormat="1" ht="21.75" customHeight="1">
      <c r="J455" s="2808"/>
      <c r="K455" s="658"/>
      <c r="L455" s="658"/>
      <c r="M455" s="658"/>
      <c r="N455" s="658"/>
      <c r="O455" s="658"/>
      <c r="P455" s="658"/>
      <c r="Q455" s="658"/>
      <c r="R455" s="658"/>
      <c r="S455" s="658"/>
      <c r="T455" s="658"/>
      <c r="U455" s="658"/>
      <c r="V455" s="658"/>
      <c r="W455" s="658"/>
      <c r="X455" s="658"/>
      <c r="Y455" s="658"/>
      <c r="Z455" s="658"/>
      <c r="AA455" s="658"/>
    </row>
    <row r="456" spans="10:27" s="1275" customFormat="1" ht="21.75" customHeight="1">
      <c r="J456" s="2808"/>
      <c r="K456" s="658"/>
      <c r="L456" s="658"/>
      <c r="M456" s="658"/>
      <c r="N456" s="658"/>
      <c r="O456" s="658"/>
      <c r="P456" s="658"/>
      <c r="Q456" s="658"/>
      <c r="R456" s="658"/>
      <c r="S456" s="658"/>
      <c r="T456" s="658"/>
      <c r="U456" s="658"/>
      <c r="V456" s="658"/>
      <c r="W456" s="658"/>
      <c r="X456" s="658"/>
      <c r="Y456" s="658"/>
      <c r="Z456" s="658"/>
      <c r="AA456" s="658"/>
    </row>
    <row r="457" spans="10:27" s="1275" customFormat="1" ht="21.75" customHeight="1">
      <c r="J457" s="2808"/>
      <c r="K457" s="658"/>
      <c r="L457" s="658"/>
      <c r="M457" s="658"/>
      <c r="N457" s="658"/>
      <c r="O457" s="658"/>
      <c r="P457" s="658"/>
      <c r="Q457" s="658"/>
      <c r="R457" s="658"/>
      <c r="S457" s="658"/>
      <c r="T457" s="658"/>
      <c r="U457" s="658"/>
      <c r="V457" s="658"/>
      <c r="W457" s="658"/>
      <c r="X457" s="658"/>
      <c r="Y457" s="658"/>
      <c r="Z457" s="658"/>
      <c r="AA457" s="658"/>
    </row>
    <row r="458" spans="10:27" s="1275" customFormat="1" ht="21.75" customHeight="1">
      <c r="J458" s="2808"/>
      <c r="K458" s="658"/>
      <c r="L458" s="658"/>
      <c r="M458" s="658"/>
      <c r="N458" s="658"/>
      <c r="O458" s="658"/>
      <c r="P458" s="658"/>
      <c r="Q458" s="658"/>
      <c r="R458" s="658"/>
      <c r="S458" s="658"/>
      <c r="T458" s="658"/>
      <c r="U458" s="658"/>
      <c r="V458" s="658"/>
      <c r="W458" s="658"/>
      <c r="X458" s="658"/>
      <c r="Y458" s="658"/>
      <c r="Z458" s="658"/>
      <c r="AA458" s="658"/>
    </row>
    <row r="459" spans="10:27" s="1275" customFormat="1" ht="21.75" customHeight="1">
      <c r="J459" s="2808"/>
      <c r="K459" s="658"/>
      <c r="L459" s="658"/>
      <c r="M459" s="658"/>
      <c r="N459" s="658"/>
      <c r="O459" s="658"/>
      <c r="P459" s="658"/>
      <c r="Q459" s="658"/>
      <c r="R459" s="658"/>
      <c r="S459" s="658"/>
      <c r="T459" s="658"/>
      <c r="U459" s="658"/>
      <c r="V459" s="658"/>
      <c r="W459" s="658"/>
      <c r="X459" s="658"/>
      <c r="Y459" s="658"/>
      <c r="Z459" s="658"/>
      <c r="AA459" s="658"/>
    </row>
    <row r="460" spans="10:27" s="1275" customFormat="1" ht="21.75" customHeight="1">
      <c r="J460" s="2808"/>
      <c r="K460" s="658"/>
      <c r="L460" s="658"/>
      <c r="M460" s="658"/>
      <c r="N460" s="658"/>
      <c r="O460" s="658"/>
      <c r="P460" s="658"/>
      <c r="Q460" s="658"/>
      <c r="R460" s="658"/>
      <c r="S460" s="658"/>
      <c r="T460" s="658"/>
      <c r="U460" s="658"/>
      <c r="V460" s="658"/>
      <c r="W460" s="658"/>
      <c r="X460" s="658"/>
      <c r="Y460" s="658"/>
      <c r="Z460" s="658"/>
      <c r="AA460" s="658"/>
    </row>
    <row r="461" spans="10:27" s="1275" customFormat="1" ht="21.75" customHeight="1">
      <c r="J461" s="2808"/>
      <c r="K461" s="658"/>
      <c r="L461" s="658"/>
      <c r="M461" s="658"/>
      <c r="N461" s="658"/>
      <c r="O461" s="658"/>
      <c r="P461" s="658"/>
      <c r="Q461" s="658"/>
      <c r="R461" s="658"/>
      <c r="S461" s="658"/>
      <c r="T461" s="658"/>
      <c r="U461" s="658"/>
      <c r="V461" s="658"/>
      <c r="W461" s="658"/>
      <c r="X461" s="658"/>
      <c r="Y461" s="658"/>
      <c r="Z461" s="658"/>
      <c r="AA461" s="658"/>
    </row>
    <row r="462" spans="10:27" s="1275" customFormat="1" ht="21.75" customHeight="1">
      <c r="J462" s="2808"/>
      <c r="K462" s="658"/>
      <c r="L462" s="658"/>
      <c r="M462" s="658"/>
      <c r="N462" s="658"/>
      <c r="O462" s="658"/>
      <c r="P462" s="658"/>
      <c r="Q462" s="658"/>
      <c r="R462" s="658"/>
      <c r="S462" s="658"/>
      <c r="T462" s="658"/>
      <c r="U462" s="658"/>
      <c r="V462" s="658"/>
      <c r="W462" s="658"/>
      <c r="X462" s="658"/>
      <c r="Y462" s="658"/>
      <c r="Z462" s="658"/>
      <c r="AA462" s="658"/>
    </row>
    <row r="463" spans="10:27" s="1275" customFormat="1" ht="21.75" customHeight="1">
      <c r="J463" s="2808"/>
      <c r="K463" s="658"/>
      <c r="L463" s="658"/>
      <c r="M463" s="658"/>
      <c r="N463" s="658"/>
      <c r="O463" s="658"/>
      <c r="P463" s="658"/>
      <c r="Q463" s="658"/>
      <c r="R463" s="658"/>
      <c r="S463" s="658"/>
      <c r="T463" s="658"/>
      <c r="U463" s="658"/>
      <c r="V463" s="658"/>
      <c r="W463" s="658"/>
      <c r="X463" s="658"/>
      <c r="Y463" s="658"/>
      <c r="Z463" s="658"/>
      <c r="AA463" s="658"/>
    </row>
    <row r="464" spans="10:27" s="1275" customFormat="1" ht="21.75" customHeight="1">
      <c r="J464" s="2808"/>
      <c r="K464" s="658"/>
      <c r="L464" s="658"/>
      <c r="M464" s="658"/>
      <c r="N464" s="658"/>
      <c r="O464" s="658"/>
      <c r="P464" s="658"/>
      <c r="Q464" s="658"/>
      <c r="R464" s="658"/>
      <c r="S464" s="658"/>
      <c r="T464" s="658"/>
      <c r="U464" s="658"/>
      <c r="V464" s="658"/>
      <c r="W464" s="658"/>
      <c r="X464" s="658"/>
      <c r="Y464" s="658"/>
      <c r="Z464" s="658"/>
      <c r="AA464" s="658"/>
    </row>
    <row r="465" spans="10:27" s="1275" customFormat="1" ht="21.75" customHeight="1">
      <c r="J465" s="2808"/>
      <c r="K465" s="658"/>
      <c r="L465" s="658"/>
      <c r="M465" s="658"/>
      <c r="N465" s="658"/>
      <c r="O465" s="658"/>
      <c r="P465" s="658"/>
      <c r="Q465" s="658"/>
      <c r="R465" s="658"/>
      <c r="S465" s="658"/>
      <c r="T465" s="658"/>
      <c r="U465" s="658"/>
      <c r="V465" s="658"/>
      <c r="W465" s="658"/>
      <c r="X465" s="658"/>
      <c r="Y465" s="658"/>
      <c r="Z465" s="658"/>
      <c r="AA465" s="658"/>
    </row>
    <row r="466" spans="10:27" s="1275" customFormat="1" ht="21.75" customHeight="1">
      <c r="J466" s="2808"/>
      <c r="K466" s="658"/>
      <c r="L466" s="658"/>
      <c r="M466" s="658"/>
      <c r="N466" s="658"/>
      <c r="O466" s="658"/>
      <c r="P466" s="658"/>
      <c r="Q466" s="658"/>
      <c r="R466" s="658"/>
      <c r="S466" s="658"/>
      <c r="T466" s="658"/>
      <c r="U466" s="658"/>
      <c r="V466" s="658"/>
      <c r="W466" s="658"/>
      <c r="X466" s="658"/>
      <c r="Y466" s="658"/>
      <c r="Z466" s="658"/>
      <c r="AA466" s="658"/>
    </row>
    <row r="467" spans="10:27" s="1275" customFormat="1" ht="21.75" customHeight="1">
      <c r="J467" s="2808"/>
      <c r="K467" s="658"/>
      <c r="L467" s="658"/>
      <c r="M467" s="658"/>
      <c r="N467" s="658"/>
      <c r="O467" s="658"/>
      <c r="P467" s="658"/>
      <c r="Q467" s="658"/>
      <c r="R467" s="658"/>
      <c r="S467" s="658"/>
      <c r="T467" s="658"/>
      <c r="U467" s="658"/>
      <c r="V467" s="658"/>
      <c r="W467" s="658"/>
      <c r="X467" s="658"/>
      <c r="Y467" s="658"/>
      <c r="Z467" s="658"/>
      <c r="AA467" s="658"/>
    </row>
    <row r="468" spans="10:27" s="1275" customFormat="1" ht="21.75" customHeight="1">
      <c r="J468" s="2808"/>
      <c r="K468" s="658"/>
      <c r="L468" s="658"/>
      <c r="M468" s="658"/>
      <c r="N468" s="658"/>
      <c r="O468" s="658"/>
      <c r="P468" s="658"/>
      <c r="Q468" s="658"/>
      <c r="R468" s="658"/>
      <c r="S468" s="658"/>
      <c r="T468" s="658"/>
      <c r="U468" s="658"/>
      <c r="V468" s="658"/>
      <c r="W468" s="658"/>
      <c r="X468" s="658"/>
      <c r="Y468" s="658"/>
      <c r="Z468" s="658"/>
      <c r="AA468" s="658"/>
    </row>
    <row r="469" spans="10:27" s="1275" customFormat="1" ht="21.75" customHeight="1">
      <c r="J469" s="2808"/>
      <c r="K469" s="658"/>
      <c r="L469" s="658"/>
      <c r="M469" s="658"/>
      <c r="N469" s="658"/>
      <c r="O469" s="658"/>
      <c r="P469" s="658"/>
      <c r="Q469" s="658"/>
      <c r="R469" s="658"/>
      <c r="S469" s="658"/>
      <c r="T469" s="658"/>
      <c r="U469" s="658"/>
      <c r="V469" s="658"/>
      <c r="W469" s="658"/>
      <c r="X469" s="658"/>
      <c r="Y469" s="658"/>
      <c r="Z469" s="658"/>
      <c r="AA469" s="658"/>
    </row>
    <row r="470" spans="10:27" s="1275" customFormat="1" ht="21.75" customHeight="1">
      <c r="J470" s="2808"/>
      <c r="K470" s="658"/>
      <c r="L470" s="658"/>
      <c r="M470" s="658"/>
      <c r="N470" s="658"/>
      <c r="O470" s="658"/>
      <c r="P470" s="658"/>
      <c r="Q470" s="658"/>
      <c r="R470" s="658"/>
      <c r="S470" s="658"/>
      <c r="T470" s="658"/>
      <c r="U470" s="658"/>
      <c r="V470" s="658"/>
      <c r="W470" s="658"/>
      <c r="X470" s="658"/>
      <c r="Y470" s="658"/>
      <c r="Z470" s="658"/>
      <c r="AA470" s="658"/>
    </row>
    <row r="471" spans="10:27" s="1275" customFormat="1" ht="21.75" customHeight="1">
      <c r="J471" s="2808"/>
      <c r="K471" s="658"/>
      <c r="L471" s="658"/>
      <c r="M471" s="658"/>
      <c r="N471" s="658"/>
      <c r="O471" s="658"/>
      <c r="P471" s="658"/>
      <c r="Q471" s="658"/>
      <c r="R471" s="658"/>
      <c r="S471" s="658"/>
      <c r="T471" s="658"/>
      <c r="U471" s="658"/>
      <c r="V471" s="658"/>
      <c r="W471" s="658"/>
      <c r="X471" s="658"/>
      <c r="Y471" s="658"/>
      <c r="Z471" s="658"/>
      <c r="AA471" s="658"/>
    </row>
    <row r="472" spans="10:27" s="1275" customFormat="1" ht="21.75" customHeight="1">
      <c r="J472" s="2808"/>
      <c r="K472" s="658"/>
      <c r="L472" s="658"/>
      <c r="M472" s="658"/>
      <c r="N472" s="658"/>
      <c r="O472" s="658"/>
      <c r="P472" s="658"/>
      <c r="Q472" s="658"/>
      <c r="R472" s="658"/>
      <c r="S472" s="658"/>
      <c r="T472" s="658"/>
      <c r="U472" s="658"/>
      <c r="V472" s="658"/>
      <c r="W472" s="658"/>
      <c r="X472" s="658"/>
      <c r="Y472" s="658"/>
      <c r="Z472" s="658"/>
      <c r="AA472" s="658"/>
    </row>
    <row r="473" spans="10:27" s="1275" customFormat="1" ht="21.75" customHeight="1">
      <c r="J473" s="2808"/>
      <c r="K473" s="658"/>
      <c r="L473" s="658"/>
      <c r="M473" s="658"/>
      <c r="N473" s="658"/>
      <c r="O473" s="658"/>
      <c r="P473" s="658"/>
      <c r="Q473" s="658"/>
      <c r="R473" s="658"/>
      <c r="S473" s="658"/>
      <c r="T473" s="658"/>
      <c r="U473" s="658"/>
      <c r="V473" s="658"/>
      <c r="W473" s="658"/>
      <c r="X473" s="658"/>
      <c r="Y473" s="658"/>
      <c r="Z473" s="658"/>
      <c r="AA473" s="658"/>
    </row>
    <row r="474" spans="10:27" s="1275" customFormat="1" ht="21.75" customHeight="1">
      <c r="J474" s="2808"/>
      <c r="K474" s="658"/>
      <c r="L474" s="658"/>
      <c r="M474" s="658"/>
      <c r="N474" s="658"/>
      <c r="O474" s="658"/>
      <c r="P474" s="658"/>
      <c r="Q474" s="658"/>
      <c r="R474" s="658"/>
      <c r="S474" s="658"/>
      <c r="T474" s="658"/>
      <c r="U474" s="658"/>
      <c r="V474" s="658"/>
      <c r="W474" s="658"/>
      <c r="X474" s="658"/>
      <c r="Y474" s="658"/>
      <c r="Z474" s="658"/>
      <c r="AA474" s="658"/>
    </row>
    <row r="475" spans="10:27" s="1275" customFormat="1" ht="21.75" customHeight="1">
      <c r="J475" s="2808"/>
      <c r="K475" s="658"/>
      <c r="L475" s="658"/>
      <c r="M475" s="658"/>
      <c r="N475" s="658"/>
      <c r="O475" s="658"/>
      <c r="P475" s="658"/>
      <c r="Q475" s="658"/>
      <c r="R475" s="658"/>
      <c r="S475" s="658"/>
      <c r="T475" s="658"/>
      <c r="U475" s="658"/>
      <c r="V475" s="658"/>
      <c r="W475" s="658"/>
      <c r="X475" s="658"/>
      <c r="Y475" s="658"/>
      <c r="Z475" s="658"/>
      <c r="AA475" s="658"/>
    </row>
    <row r="476" spans="10:27" s="1275" customFormat="1" ht="21.75" customHeight="1">
      <c r="J476" s="2808"/>
      <c r="K476" s="658"/>
      <c r="L476" s="658"/>
      <c r="M476" s="658"/>
      <c r="N476" s="658"/>
      <c r="O476" s="658"/>
      <c r="P476" s="658"/>
      <c r="Q476" s="658"/>
      <c r="R476" s="658"/>
      <c r="S476" s="658"/>
      <c r="T476" s="658"/>
      <c r="U476" s="658"/>
      <c r="V476" s="658"/>
      <c r="W476" s="658"/>
      <c r="X476" s="658"/>
      <c r="Y476" s="658"/>
      <c r="Z476" s="658"/>
      <c r="AA476" s="658"/>
    </row>
    <row r="477" spans="10:27" s="1275" customFormat="1" ht="21.75" customHeight="1">
      <c r="J477" s="2808"/>
      <c r="K477" s="658"/>
      <c r="L477" s="658"/>
      <c r="M477" s="658"/>
      <c r="N477" s="658"/>
      <c r="O477" s="658"/>
      <c r="P477" s="658"/>
      <c r="Q477" s="658"/>
      <c r="R477" s="658"/>
      <c r="S477" s="658"/>
      <c r="T477" s="658"/>
      <c r="U477" s="658"/>
      <c r="V477" s="658"/>
      <c r="W477" s="658"/>
      <c r="X477" s="658"/>
      <c r="Y477" s="658"/>
      <c r="Z477" s="658"/>
      <c r="AA477" s="658"/>
    </row>
    <row r="478" spans="10:27" s="1275" customFormat="1" ht="21.75" customHeight="1">
      <c r="J478" s="2808"/>
      <c r="K478" s="658"/>
      <c r="L478" s="658"/>
      <c r="M478" s="658"/>
      <c r="N478" s="658"/>
      <c r="O478" s="658"/>
      <c r="P478" s="658"/>
      <c r="Q478" s="658"/>
      <c r="R478" s="658"/>
      <c r="S478" s="658"/>
      <c r="T478" s="658"/>
      <c r="U478" s="658"/>
      <c r="V478" s="658"/>
      <c r="W478" s="658"/>
      <c r="X478" s="658"/>
      <c r="Y478" s="658"/>
      <c r="Z478" s="658"/>
      <c r="AA478" s="658"/>
    </row>
    <row r="479" spans="10:27" s="1275" customFormat="1" ht="21.75" customHeight="1">
      <c r="J479" s="2808"/>
      <c r="K479" s="658"/>
      <c r="L479" s="658"/>
      <c r="M479" s="658"/>
      <c r="N479" s="658"/>
      <c r="O479" s="658"/>
      <c r="P479" s="658"/>
      <c r="Q479" s="658"/>
      <c r="R479" s="658"/>
      <c r="S479" s="658"/>
      <c r="T479" s="658"/>
      <c r="U479" s="658"/>
      <c r="V479" s="658"/>
      <c r="W479" s="658"/>
      <c r="X479" s="658"/>
      <c r="Y479" s="658"/>
      <c r="Z479" s="658"/>
      <c r="AA479" s="658"/>
    </row>
    <row r="480" spans="10:27" s="1275" customFormat="1" ht="21.75" customHeight="1">
      <c r="J480" s="2808"/>
      <c r="K480" s="658"/>
      <c r="L480" s="658"/>
      <c r="M480" s="658"/>
      <c r="N480" s="658"/>
      <c r="O480" s="658"/>
      <c r="P480" s="658"/>
      <c r="Q480" s="658"/>
      <c r="R480" s="658"/>
      <c r="S480" s="658"/>
      <c r="T480" s="658"/>
      <c r="U480" s="658"/>
      <c r="V480" s="658"/>
      <c r="W480" s="658"/>
      <c r="X480" s="658"/>
      <c r="Y480" s="658"/>
      <c r="Z480" s="658"/>
      <c r="AA480" s="658"/>
    </row>
    <row r="481" spans="10:27" s="1275" customFormat="1" ht="21.75" customHeight="1">
      <c r="J481" s="2808"/>
      <c r="K481" s="658"/>
      <c r="L481" s="658"/>
      <c r="M481" s="658"/>
      <c r="N481" s="658"/>
      <c r="O481" s="658"/>
      <c r="P481" s="658"/>
      <c r="Q481" s="658"/>
      <c r="R481" s="658"/>
      <c r="S481" s="658"/>
      <c r="T481" s="658"/>
      <c r="U481" s="658"/>
      <c r="V481" s="658"/>
      <c r="W481" s="658"/>
      <c r="X481" s="658"/>
      <c r="Y481" s="658"/>
      <c r="Z481" s="658"/>
      <c r="AA481" s="658"/>
    </row>
    <row r="482" spans="10:27" s="1275" customFormat="1" ht="21.75" customHeight="1">
      <c r="J482" s="2808"/>
      <c r="K482" s="658"/>
      <c r="L482" s="658"/>
      <c r="M482" s="658"/>
      <c r="N482" s="658"/>
      <c r="O482" s="658"/>
      <c r="P482" s="658"/>
      <c r="Q482" s="658"/>
      <c r="R482" s="658"/>
      <c r="S482" s="658"/>
      <c r="T482" s="658"/>
      <c r="U482" s="658"/>
      <c r="V482" s="658"/>
      <c r="W482" s="658"/>
      <c r="X482" s="658"/>
      <c r="Y482" s="658"/>
      <c r="Z482" s="658"/>
      <c r="AA482" s="658"/>
    </row>
    <row r="483" spans="10:27" s="1275" customFormat="1" ht="21.75" customHeight="1">
      <c r="J483" s="2808"/>
      <c r="K483" s="658"/>
      <c r="L483" s="658"/>
      <c r="M483" s="658"/>
      <c r="N483" s="658"/>
      <c r="O483" s="658"/>
      <c r="P483" s="658"/>
      <c r="Q483" s="658"/>
      <c r="R483" s="658"/>
      <c r="S483" s="658"/>
      <c r="T483" s="658"/>
      <c r="U483" s="658"/>
      <c r="V483" s="658"/>
      <c r="W483" s="658"/>
      <c r="X483" s="658"/>
      <c r="Y483" s="658"/>
      <c r="Z483" s="658"/>
      <c r="AA483" s="658"/>
    </row>
    <row r="484" spans="10:27" s="1275" customFormat="1" ht="21.75" customHeight="1">
      <c r="J484" s="2808"/>
      <c r="K484" s="658"/>
      <c r="L484" s="658"/>
      <c r="M484" s="658"/>
      <c r="N484" s="658"/>
      <c r="O484" s="658"/>
      <c r="P484" s="658"/>
      <c r="Q484" s="658"/>
      <c r="R484" s="658"/>
      <c r="S484" s="658"/>
      <c r="T484" s="658"/>
      <c r="U484" s="658"/>
      <c r="V484" s="658"/>
      <c r="W484" s="658"/>
      <c r="X484" s="658"/>
      <c r="Y484" s="658"/>
      <c r="Z484" s="658"/>
      <c r="AA484" s="658"/>
    </row>
    <row r="485" spans="10:27" s="1275" customFormat="1" ht="21.75" customHeight="1">
      <c r="J485" s="2808"/>
      <c r="K485" s="658"/>
      <c r="L485" s="658"/>
      <c r="M485" s="658"/>
      <c r="N485" s="658"/>
      <c r="O485" s="658"/>
      <c r="P485" s="658"/>
      <c r="Q485" s="658"/>
      <c r="R485" s="658"/>
      <c r="S485" s="658"/>
      <c r="T485" s="658"/>
      <c r="U485" s="658"/>
      <c r="V485" s="658"/>
      <c r="W485" s="658"/>
      <c r="X485" s="658"/>
      <c r="Y485" s="658"/>
      <c r="Z485" s="658"/>
      <c r="AA485" s="658"/>
    </row>
    <row r="486" spans="10:27" s="1275" customFormat="1" ht="21.75" customHeight="1">
      <c r="J486" s="2808"/>
      <c r="K486" s="658"/>
      <c r="L486" s="658"/>
      <c r="M486" s="658"/>
      <c r="N486" s="658"/>
      <c r="O486" s="658"/>
      <c r="P486" s="658"/>
      <c r="Q486" s="658"/>
      <c r="R486" s="658"/>
      <c r="S486" s="658"/>
      <c r="T486" s="658"/>
      <c r="U486" s="658"/>
      <c r="V486" s="658"/>
      <c r="W486" s="658"/>
      <c r="X486" s="658"/>
      <c r="Y486" s="658"/>
      <c r="Z486" s="658"/>
      <c r="AA486" s="658"/>
    </row>
    <row r="487" spans="10:27" s="1275" customFormat="1" ht="21.75" customHeight="1">
      <c r="J487" s="2808"/>
      <c r="K487" s="658"/>
      <c r="L487" s="658"/>
      <c r="M487" s="658"/>
      <c r="N487" s="658"/>
      <c r="O487" s="658"/>
      <c r="P487" s="658"/>
      <c r="Q487" s="658"/>
      <c r="R487" s="658"/>
      <c r="S487" s="658"/>
      <c r="T487" s="658"/>
      <c r="U487" s="658"/>
      <c r="V487" s="658"/>
      <c r="W487" s="658"/>
      <c r="X487" s="658"/>
      <c r="Y487" s="658"/>
      <c r="Z487" s="658"/>
      <c r="AA487" s="658"/>
    </row>
    <row r="488" spans="10:27" s="1275" customFormat="1" ht="21.75" customHeight="1">
      <c r="J488" s="2808"/>
      <c r="K488" s="658"/>
      <c r="L488" s="658"/>
      <c r="M488" s="658"/>
      <c r="N488" s="658"/>
      <c r="O488" s="658"/>
      <c r="P488" s="658"/>
      <c r="Q488" s="658"/>
      <c r="R488" s="658"/>
      <c r="S488" s="658"/>
      <c r="T488" s="658"/>
      <c r="U488" s="658"/>
      <c r="V488" s="658"/>
      <c r="W488" s="658"/>
      <c r="X488" s="658"/>
      <c r="Y488" s="658"/>
      <c r="Z488" s="658"/>
      <c r="AA488" s="658"/>
    </row>
    <row r="489" spans="10:27" s="1275" customFormat="1" ht="21.75" customHeight="1">
      <c r="J489" s="2808"/>
      <c r="K489" s="658"/>
      <c r="L489" s="658"/>
      <c r="M489" s="658"/>
      <c r="N489" s="658"/>
      <c r="O489" s="658"/>
      <c r="P489" s="658"/>
      <c r="Q489" s="658"/>
      <c r="R489" s="658"/>
      <c r="S489" s="658"/>
      <c r="T489" s="658"/>
      <c r="U489" s="658"/>
      <c r="V489" s="658"/>
      <c r="W489" s="658"/>
      <c r="X489" s="658"/>
      <c r="Y489" s="658"/>
      <c r="Z489" s="658"/>
      <c r="AA489" s="658"/>
    </row>
    <row r="490" spans="10:27" s="1275" customFormat="1" ht="21.75" customHeight="1">
      <c r="J490" s="2808"/>
      <c r="K490" s="658"/>
      <c r="L490" s="658"/>
      <c r="M490" s="658"/>
      <c r="N490" s="658"/>
      <c r="O490" s="658"/>
      <c r="P490" s="658"/>
      <c r="Q490" s="658"/>
      <c r="R490" s="658"/>
      <c r="S490" s="658"/>
      <c r="T490" s="658"/>
      <c r="U490" s="658"/>
      <c r="V490" s="658"/>
      <c r="W490" s="658"/>
      <c r="X490" s="658"/>
      <c r="Y490" s="658"/>
      <c r="Z490" s="658"/>
      <c r="AA490" s="658"/>
    </row>
    <row r="491" spans="10:27" s="1275" customFormat="1" ht="21.75" customHeight="1">
      <c r="J491" s="2808"/>
      <c r="K491" s="658"/>
      <c r="L491" s="658"/>
      <c r="M491" s="658"/>
      <c r="N491" s="658"/>
      <c r="O491" s="658"/>
      <c r="P491" s="658"/>
      <c r="Q491" s="658"/>
      <c r="R491" s="658"/>
      <c r="S491" s="658"/>
      <c r="T491" s="658"/>
      <c r="U491" s="658"/>
      <c r="V491" s="658"/>
      <c r="W491" s="658"/>
      <c r="X491" s="658"/>
      <c r="Y491" s="658"/>
      <c r="Z491" s="658"/>
      <c r="AA491" s="658"/>
    </row>
    <row r="492" spans="10:27" s="1275" customFormat="1" ht="21.75" customHeight="1">
      <c r="J492" s="2808"/>
      <c r="K492" s="658"/>
      <c r="L492" s="658"/>
      <c r="M492" s="658"/>
      <c r="N492" s="658"/>
      <c r="O492" s="658"/>
      <c r="P492" s="658"/>
      <c r="Q492" s="658"/>
      <c r="R492" s="658"/>
      <c r="S492" s="658"/>
      <c r="T492" s="658"/>
      <c r="U492" s="658"/>
      <c r="V492" s="658"/>
      <c r="W492" s="658"/>
      <c r="X492" s="658"/>
      <c r="Y492" s="658"/>
      <c r="Z492" s="658"/>
      <c r="AA492" s="658"/>
    </row>
    <row r="493" spans="10:27" s="1275" customFormat="1" ht="21.75" customHeight="1">
      <c r="J493" s="2808"/>
      <c r="K493" s="658"/>
      <c r="L493" s="658"/>
      <c r="M493" s="658"/>
      <c r="N493" s="658"/>
      <c r="O493" s="658"/>
      <c r="P493" s="658"/>
      <c r="Q493" s="658"/>
      <c r="R493" s="658"/>
      <c r="S493" s="658"/>
      <c r="T493" s="658"/>
      <c r="U493" s="658"/>
      <c r="V493" s="658"/>
      <c r="W493" s="658"/>
      <c r="X493" s="658"/>
      <c r="Y493" s="658"/>
      <c r="Z493" s="658"/>
      <c r="AA493" s="658"/>
    </row>
    <row r="494" spans="10:27" s="1275" customFormat="1" ht="21.75" customHeight="1">
      <c r="J494" s="2808"/>
      <c r="K494" s="658"/>
      <c r="L494" s="658"/>
      <c r="M494" s="658"/>
      <c r="N494" s="658"/>
      <c r="O494" s="658"/>
      <c r="P494" s="658"/>
      <c r="Q494" s="658"/>
      <c r="R494" s="658"/>
      <c r="S494" s="658"/>
      <c r="T494" s="658"/>
      <c r="U494" s="658"/>
      <c r="V494" s="658"/>
      <c r="W494" s="658"/>
      <c r="X494" s="658"/>
      <c r="Y494" s="658"/>
      <c r="Z494" s="658"/>
      <c r="AA494" s="658"/>
    </row>
    <row r="495" spans="10:27" s="1275" customFormat="1" ht="21.75" customHeight="1">
      <c r="J495" s="2808"/>
      <c r="K495" s="658"/>
      <c r="L495" s="658"/>
      <c r="M495" s="658"/>
      <c r="N495" s="658"/>
      <c r="O495" s="658"/>
      <c r="P495" s="658"/>
      <c r="Q495" s="658"/>
      <c r="R495" s="658"/>
      <c r="S495" s="658"/>
      <c r="T495" s="658"/>
      <c r="U495" s="658"/>
      <c r="V495" s="658"/>
      <c r="W495" s="658"/>
      <c r="X495" s="658"/>
      <c r="Y495" s="658"/>
      <c r="Z495" s="658"/>
      <c r="AA495" s="658"/>
    </row>
    <row r="496" spans="10:27" s="1275" customFormat="1" ht="21.75" customHeight="1">
      <c r="J496" s="2808"/>
      <c r="K496" s="658"/>
      <c r="L496" s="658"/>
      <c r="M496" s="658"/>
      <c r="N496" s="658"/>
      <c r="O496" s="658"/>
      <c r="P496" s="658"/>
      <c r="Q496" s="658"/>
      <c r="R496" s="658"/>
      <c r="S496" s="658"/>
      <c r="T496" s="658"/>
      <c r="U496" s="658"/>
      <c r="V496" s="658"/>
      <c r="W496" s="658"/>
      <c r="X496" s="658"/>
      <c r="Y496" s="658"/>
      <c r="Z496" s="658"/>
      <c r="AA496" s="658"/>
    </row>
    <row r="497" spans="10:27" s="1275" customFormat="1" ht="21.75" customHeight="1">
      <c r="J497" s="2808"/>
      <c r="K497" s="658"/>
      <c r="L497" s="658"/>
      <c r="M497" s="658"/>
      <c r="N497" s="658"/>
      <c r="O497" s="658"/>
      <c r="P497" s="658"/>
      <c r="Q497" s="658"/>
      <c r="R497" s="658"/>
      <c r="S497" s="658"/>
      <c r="T497" s="658"/>
      <c r="U497" s="658"/>
      <c r="V497" s="658"/>
      <c r="W497" s="658"/>
      <c r="X497" s="658"/>
      <c r="Y497" s="658"/>
      <c r="Z497" s="658"/>
      <c r="AA497" s="658"/>
    </row>
    <row r="498" spans="10:27" s="1275" customFormat="1" ht="21.75" customHeight="1">
      <c r="J498" s="2808"/>
      <c r="K498" s="658"/>
      <c r="L498" s="658"/>
      <c r="M498" s="658"/>
      <c r="N498" s="658"/>
      <c r="O498" s="658"/>
      <c r="P498" s="658"/>
      <c r="Q498" s="658"/>
      <c r="R498" s="658"/>
      <c r="S498" s="658"/>
      <c r="T498" s="658"/>
      <c r="U498" s="658"/>
      <c r="V498" s="658"/>
      <c r="W498" s="658"/>
      <c r="X498" s="658"/>
      <c r="Y498" s="658"/>
      <c r="Z498" s="658"/>
      <c r="AA498" s="658"/>
    </row>
    <row r="499" spans="10:27" s="1275" customFormat="1" ht="21.75" customHeight="1">
      <c r="J499" s="2808"/>
      <c r="K499" s="658"/>
      <c r="L499" s="658"/>
      <c r="M499" s="658"/>
      <c r="N499" s="658"/>
      <c r="O499" s="658"/>
      <c r="P499" s="658"/>
      <c r="Q499" s="658"/>
      <c r="R499" s="658"/>
      <c r="S499" s="658"/>
      <c r="T499" s="658"/>
      <c r="U499" s="658"/>
      <c r="V499" s="658"/>
      <c r="W499" s="658"/>
      <c r="X499" s="658"/>
      <c r="Y499" s="658"/>
      <c r="Z499" s="658"/>
      <c r="AA499" s="658"/>
    </row>
    <row r="500" spans="10:27" s="1275" customFormat="1" ht="21.75" customHeight="1">
      <c r="J500" s="2808"/>
      <c r="K500" s="658"/>
      <c r="L500" s="658"/>
      <c r="M500" s="658"/>
      <c r="N500" s="658"/>
      <c r="O500" s="658"/>
      <c r="P500" s="658"/>
      <c r="Q500" s="658"/>
      <c r="R500" s="658"/>
      <c r="S500" s="658"/>
      <c r="T500" s="658"/>
      <c r="U500" s="658"/>
      <c r="V500" s="658"/>
      <c r="W500" s="658"/>
      <c r="X500" s="658"/>
      <c r="Y500" s="658"/>
      <c r="Z500" s="658"/>
      <c r="AA500" s="658"/>
    </row>
    <row r="501" spans="10:27" s="1275" customFormat="1" ht="21.75" customHeight="1">
      <c r="J501" s="2808"/>
      <c r="K501" s="658"/>
      <c r="L501" s="658"/>
      <c r="M501" s="658"/>
      <c r="N501" s="658"/>
      <c r="O501" s="658"/>
      <c r="P501" s="658"/>
      <c r="Q501" s="658"/>
      <c r="R501" s="658"/>
      <c r="S501" s="658"/>
      <c r="T501" s="658"/>
      <c r="U501" s="658"/>
      <c r="V501" s="658"/>
      <c r="W501" s="658"/>
      <c r="X501" s="658"/>
      <c r="Y501" s="658"/>
      <c r="Z501" s="658"/>
      <c r="AA501" s="658"/>
    </row>
    <row r="502" spans="10:27" s="1275" customFormat="1" ht="21.75" customHeight="1">
      <c r="J502" s="2808"/>
      <c r="K502" s="658"/>
      <c r="L502" s="658"/>
      <c r="M502" s="658"/>
      <c r="N502" s="658"/>
      <c r="O502" s="658"/>
      <c r="P502" s="658"/>
      <c r="Q502" s="658"/>
      <c r="R502" s="658"/>
      <c r="S502" s="658"/>
      <c r="T502" s="658"/>
      <c r="U502" s="658"/>
      <c r="V502" s="658"/>
      <c r="W502" s="658"/>
      <c r="X502" s="658"/>
      <c r="Y502" s="658"/>
      <c r="Z502" s="658"/>
      <c r="AA502" s="658"/>
    </row>
    <row r="503" spans="10:27" s="1275" customFormat="1" ht="21.75" customHeight="1">
      <c r="J503" s="2808"/>
      <c r="K503" s="658"/>
      <c r="L503" s="658"/>
      <c r="M503" s="658"/>
      <c r="N503" s="658"/>
      <c r="O503" s="658"/>
      <c r="P503" s="658"/>
      <c r="Q503" s="658"/>
      <c r="R503" s="658"/>
      <c r="S503" s="658"/>
      <c r="T503" s="658"/>
      <c r="U503" s="658"/>
      <c r="V503" s="658"/>
      <c r="W503" s="658"/>
      <c r="X503" s="658"/>
      <c r="Y503" s="658"/>
      <c r="Z503" s="658"/>
      <c r="AA503" s="658"/>
    </row>
    <row r="504" spans="10:27" s="1275" customFormat="1" ht="21.75" customHeight="1">
      <c r="J504" s="2808"/>
      <c r="K504" s="658"/>
      <c r="L504" s="658"/>
      <c r="M504" s="658"/>
      <c r="N504" s="658"/>
      <c r="O504" s="658"/>
      <c r="P504" s="658"/>
      <c r="Q504" s="658"/>
      <c r="R504" s="658"/>
      <c r="S504" s="658"/>
      <c r="T504" s="658"/>
      <c r="U504" s="658"/>
      <c r="V504" s="658"/>
      <c r="W504" s="658"/>
      <c r="X504" s="658"/>
      <c r="Y504" s="658"/>
      <c r="Z504" s="658"/>
      <c r="AA504" s="658"/>
    </row>
    <row r="505" spans="10:27" s="1275" customFormat="1" ht="21.75" customHeight="1">
      <c r="J505" s="2808"/>
      <c r="K505" s="658"/>
      <c r="L505" s="658"/>
      <c r="M505" s="658"/>
      <c r="N505" s="658"/>
      <c r="O505" s="658"/>
      <c r="P505" s="658"/>
      <c r="Q505" s="658"/>
      <c r="R505" s="658"/>
      <c r="S505" s="658"/>
      <c r="T505" s="658"/>
      <c r="U505" s="658"/>
      <c r="V505" s="658"/>
      <c r="W505" s="658"/>
      <c r="X505" s="658"/>
      <c r="Y505" s="658"/>
      <c r="Z505" s="658"/>
      <c r="AA505" s="658"/>
    </row>
    <row r="506" spans="10:27" s="1275" customFormat="1" ht="21.75" customHeight="1">
      <c r="J506" s="2808"/>
      <c r="K506" s="658"/>
      <c r="L506" s="658"/>
      <c r="M506" s="658"/>
      <c r="N506" s="658"/>
      <c r="O506" s="658"/>
      <c r="P506" s="658"/>
      <c r="Q506" s="658"/>
      <c r="R506" s="658"/>
      <c r="S506" s="658"/>
      <c r="T506" s="658"/>
      <c r="U506" s="658"/>
      <c r="V506" s="658"/>
      <c r="W506" s="658"/>
      <c r="X506" s="658"/>
      <c r="Y506" s="658"/>
      <c r="Z506" s="658"/>
      <c r="AA506" s="658"/>
    </row>
    <row r="507" spans="10:27" s="1275" customFormat="1" ht="21.75" customHeight="1">
      <c r="J507" s="2808"/>
      <c r="K507" s="658"/>
      <c r="L507" s="658"/>
      <c r="M507" s="658"/>
      <c r="N507" s="658"/>
      <c r="O507" s="658"/>
      <c r="P507" s="658"/>
      <c r="Q507" s="658"/>
      <c r="R507" s="658"/>
      <c r="S507" s="658"/>
      <c r="T507" s="658"/>
      <c r="U507" s="658"/>
      <c r="V507" s="658"/>
      <c r="W507" s="658"/>
      <c r="X507" s="658"/>
      <c r="Y507" s="658"/>
      <c r="Z507" s="658"/>
      <c r="AA507" s="658"/>
    </row>
    <row r="508" spans="10:27" s="1275" customFormat="1" ht="21.75" customHeight="1">
      <c r="J508" s="2808"/>
      <c r="K508" s="658"/>
      <c r="L508" s="658"/>
      <c r="M508" s="658"/>
      <c r="N508" s="658"/>
      <c r="O508" s="658"/>
      <c r="P508" s="658"/>
      <c r="Q508" s="658"/>
      <c r="R508" s="658"/>
      <c r="S508" s="658"/>
      <c r="T508" s="658"/>
      <c r="U508" s="658"/>
      <c r="V508" s="658"/>
      <c r="W508" s="658"/>
      <c r="X508" s="658"/>
      <c r="Y508" s="658"/>
      <c r="Z508" s="658"/>
      <c r="AA508" s="658"/>
    </row>
    <row r="509" spans="10:27" s="1275" customFormat="1" ht="21.75" customHeight="1">
      <c r="J509" s="2808"/>
      <c r="K509" s="658"/>
      <c r="L509" s="658"/>
      <c r="M509" s="658"/>
      <c r="N509" s="658"/>
      <c r="O509" s="658"/>
      <c r="P509" s="658"/>
      <c r="Q509" s="658"/>
      <c r="R509" s="658"/>
      <c r="S509" s="658"/>
      <c r="T509" s="658"/>
      <c r="U509" s="658"/>
      <c r="V509" s="658"/>
      <c r="W509" s="658"/>
      <c r="X509" s="658"/>
      <c r="Y509" s="658"/>
      <c r="Z509" s="658"/>
      <c r="AA509" s="658"/>
    </row>
    <row r="510" spans="10:27" s="1275" customFormat="1" ht="21.75" customHeight="1">
      <c r="J510" s="2808"/>
      <c r="K510" s="658"/>
      <c r="L510" s="658"/>
      <c r="M510" s="658"/>
      <c r="N510" s="658"/>
      <c r="O510" s="658"/>
      <c r="P510" s="658"/>
      <c r="Q510" s="658"/>
      <c r="R510" s="658"/>
      <c r="S510" s="658"/>
      <c r="T510" s="658"/>
      <c r="U510" s="658"/>
      <c r="V510" s="658"/>
      <c r="W510" s="658"/>
      <c r="X510" s="658"/>
      <c r="Y510" s="658"/>
      <c r="Z510" s="658"/>
      <c r="AA510" s="658"/>
    </row>
    <row r="511" spans="10:27" s="1275" customFormat="1" ht="21.75" customHeight="1">
      <c r="J511" s="2808"/>
      <c r="K511" s="658"/>
      <c r="L511" s="658"/>
      <c r="M511" s="658"/>
      <c r="N511" s="658"/>
      <c r="O511" s="658"/>
      <c r="P511" s="658"/>
      <c r="Q511" s="658"/>
      <c r="R511" s="658"/>
      <c r="S511" s="658"/>
      <c r="T511" s="658"/>
      <c r="U511" s="658"/>
      <c r="V511" s="658"/>
      <c r="W511" s="658"/>
      <c r="X511" s="658"/>
      <c r="Y511" s="658"/>
      <c r="Z511" s="658"/>
      <c r="AA511" s="658"/>
    </row>
    <row r="512" spans="10:27" s="1275" customFormat="1" ht="21.75" customHeight="1">
      <c r="J512" s="2808"/>
      <c r="K512" s="658"/>
      <c r="L512" s="658"/>
      <c r="M512" s="658"/>
      <c r="N512" s="658"/>
      <c r="O512" s="658"/>
      <c r="P512" s="658"/>
      <c r="Q512" s="658"/>
      <c r="R512" s="658"/>
      <c r="S512" s="658"/>
      <c r="T512" s="658"/>
      <c r="U512" s="658"/>
      <c r="V512" s="658"/>
      <c r="W512" s="658"/>
      <c r="X512" s="658"/>
      <c r="Y512" s="658"/>
      <c r="Z512" s="658"/>
      <c r="AA512" s="658"/>
    </row>
    <row r="513" spans="6:27" s="1275" customFormat="1" ht="21.75" customHeight="1">
      <c r="J513" s="2808"/>
      <c r="K513" s="658"/>
      <c r="L513" s="658"/>
      <c r="M513" s="658"/>
      <c r="N513" s="658"/>
      <c r="O513" s="658"/>
      <c r="P513" s="658"/>
      <c r="Q513" s="658"/>
      <c r="R513" s="658"/>
      <c r="S513" s="658"/>
      <c r="T513" s="658"/>
      <c r="U513" s="658"/>
      <c r="V513" s="658"/>
      <c r="W513" s="658"/>
      <c r="X513" s="658"/>
      <c r="Y513" s="658"/>
      <c r="Z513" s="658"/>
      <c r="AA513" s="658"/>
    </row>
    <row r="514" spans="6:27" s="1275" customFormat="1" ht="21.75" customHeight="1">
      <c r="J514" s="2808"/>
      <c r="K514" s="658"/>
      <c r="L514" s="658"/>
      <c r="M514" s="658"/>
      <c r="N514" s="658"/>
      <c r="O514" s="658"/>
      <c r="P514" s="658"/>
      <c r="Q514" s="658"/>
      <c r="R514" s="658"/>
      <c r="S514" s="658"/>
      <c r="T514" s="658"/>
      <c r="U514" s="658"/>
      <c r="V514" s="658"/>
      <c r="W514" s="658"/>
      <c r="X514" s="658"/>
      <c r="Y514" s="658"/>
      <c r="Z514" s="658"/>
      <c r="AA514" s="658"/>
    </row>
    <row r="515" spans="6:27" s="1275" customFormat="1" ht="21.75" customHeight="1">
      <c r="J515" s="2808"/>
      <c r="K515" s="658"/>
      <c r="L515" s="658"/>
      <c r="M515" s="658"/>
      <c r="N515" s="658"/>
      <c r="O515" s="658"/>
      <c r="P515" s="658"/>
      <c r="Q515" s="658"/>
      <c r="R515" s="658"/>
      <c r="S515" s="658"/>
      <c r="T515" s="658"/>
      <c r="U515" s="658"/>
      <c r="V515" s="658"/>
      <c r="W515" s="658"/>
      <c r="X515" s="658"/>
      <c r="Y515" s="658"/>
      <c r="Z515" s="658"/>
      <c r="AA515" s="658"/>
    </row>
    <row r="516" spans="6:27" s="1275" customFormat="1" ht="21.75" customHeight="1">
      <c r="F516" s="1429"/>
      <c r="G516" s="1429"/>
      <c r="H516" s="1429"/>
      <c r="I516" s="1429"/>
      <c r="J516" s="2808"/>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D24" sqref="D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940</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25911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5427472</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基准地价修正!C26</f>
        <v>5196413</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158491</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39">
        <f>IF(G8="已包含在土地购买价格中","0",'数据-取费表'!E13)</f>
        <v>72568</v>
      </c>
      <c r="D8" s="1138"/>
      <c r="E8" s="115"/>
      <c r="F8" s="1137"/>
      <c r="G8" s="1485" t="s">
        <v>2996</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72568</v>
      </c>
      <c r="D10" s="1140">
        <f>IF('数据-取费表'!B10&lt;&gt;"住宅",IF(B1="仅计算典型户型",'数据-取费表'!E5,'数据-取费表'!B5),0)</f>
        <v>362.84</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362.84</v>
      </c>
      <c r="E19" s="111">
        <f>'数据-取费表'!E15</f>
        <v>200</v>
      </c>
      <c r="F19" s="112"/>
      <c r="G19" s="1485" t="s">
        <v>2997</v>
      </c>
    </row>
    <row r="20" spans="1:123" s="91" customFormat="1" ht="13.5" customHeight="1">
      <c r="A20" s="120" t="s">
        <v>1884</v>
      </c>
      <c r="B20" s="89" t="s">
        <v>1885</v>
      </c>
      <c r="C20" s="99">
        <f>ROUND((C5+C19)*F20,0)</f>
        <v>108549</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487182</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482460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4722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1107204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1107204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7727763</v>
      </c>
      <c r="D31" s="1143"/>
      <c r="E31" s="111"/>
      <c r="F31" s="1144"/>
      <c r="G31" s="100" t="s">
        <v>1911</v>
      </c>
    </row>
    <row r="32" spans="1:123" s="88" customFormat="1" ht="15.75">
      <c r="A32" s="117" t="s">
        <v>1912</v>
      </c>
      <c r="B32" s="118"/>
      <c r="C32" s="1145"/>
      <c r="D32" s="1145"/>
      <c r="E32" s="1145"/>
      <c r="F32" s="1145"/>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1399655</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1269940</v>
      </c>
      <c r="D34" s="1135"/>
      <c r="E34" s="115"/>
      <c r="F34" s="1146" t="str">
        <f>IF('数据-取费表'!B26=0,"",'数据-取费表'!E20)</f>
        <v/>
      </c>
      <c r="G34" s="95"/>
    </row>
    <row r="35" spans="1:123" ht="13.5" customHeight="1">
      <c r="A35" s="92" t="s">
        <v>1867</v>
      </c>
      <c r="B35" s="93" t="s">
        <v>1916</v>
      </c>
      <c r="C35" s="115">
        <f>ROUND(C34*F35,0)</f>
        <v>38098</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72568</v>
      </c>
      <c r="D37" s="1135">
        <f>IF(B1="仅计算典型户型",'数据-取费表'!E5,'数据-取费表'!B5)</f>
        <v>362.84</v>
      </c>
      <c r="E37" s="115">
        <f>'数据-取费表'!E23</f>
        <v>200</v>
      </c>
      <c r="F37" s="1147"/>
      <c r="G37" s="124" t="s">
        <v>1921</v>
      </c>
    </row>
    <row r="38" spans="1:123" ht="13.5" customHeight="1">
      <c r="A38" s="92" t="s">
        <v>1922</v>
      </c>
      <c r="B38" s="93" t="s">
        <v>1923</v>
      </c>
      <c r="C38" s="115">
        <f>ROUND(C34*F38,0)</f>
        <v>19049</v>
      </c>
      <c r="D38" s="115"/>
      <c r="E38" s="115"/>
      <c r="F38" s="1147">
        <f>'数据-取费表'!E24</f>
        <v>1.4999999999999999E-2</v>
      </c>
      <c r="G38" s="95" t="s">
        <v>1917</v>
      </c>
    </row>
    <row r="39" spans="1:123" s="91" customFormat="1" ht="13.5" customHeight="1">
      <c r="A39" s="120" t="s">
        <v>1882</v>
      </c>
      <c r="B39" s="89" t="s">
        <v>1885</v>
      </c>
      <c r="C39" s="99">
        <f>ROUND(C33*F20,0)</f>
        <v>27993</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62103</v>
      </c>
      <c r="D41" s="101">
        <f ca="1">C44</f>
        <v>8.9999999999999998E-4</v>
      </c>
      <c r="E41" s="102" t="s">
        <v>1925</v>
      </c>
      <c r="F41" s="285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60885</v>
      </c>
      <c r="D42" s="104"/>
      <c r="E42" s="104"/>
      <c r="F42" s="105"/>
      <c r="G42" s="3571" t="s">
        <v>1927</v>
      </c>
    </row>
    <row r="43" spans="1:123" ht="13.5" customHeight="1">
      <c r="A43" s="92" t="s">
        <v>1867</v>
      </c>
      <c r="B43" s="93" t="s">
        <v>1896</v>
      </c>
      <c r="C43" s="104">
        <f ca="1">ROUND(IF('数据-取费表'!B24&lt;=1,C39*F22*'数据-取费表'!B23/2,C39*(POWER((1+F22),'数据-取费表'!B23/2)-1)),0)</f>
        <v>1218</v>
      </c>
      <c r="D43" s="104"/>
      <c r="E43" s="104"/>
      <c r="F43" s="105"/>
      <c r="G43" s="3572"/>
    </row>
    <row r="44" spans="1:123" ht="13.5" customHeight="1">
      <c r="A44" s="92" t="s">
        <v>1869</v>
      </c>
      <c r="B44" s="93" t="s">
        <v>1898</v>
      </c>
      <c r="C44" s="104">
        <f ca="1">ROUND(IF('数据-取费表'!B24&lt;=1,C40*F22*'数据-取费表'!B23/2,C40*(POWER((1+F22),'数据-取费表'!B23/2)-1)),4)</f>
        <v>8.9999999999999998E-4</v>
      </c>
      <c r="D44" s="104"/>
      <c r="E44" s="104"/>
      <c r="F44" s="105"/>
      <c r="G44" s="3573"/>
    </row>
    <row r="45" spans="1:123" s="91" customFormat="1" ht="13.5" customHeight="1">
      <c r="A45" s="120" t="s">
        <v>1891</v>
      </c>
      <c r="B45" s="110" t="s">
        <v>1903</v>
      </c>
      <c r="C45" s="111">
        <f>C46</f>
        <v>285530</v>
      </c>
      <c r="D45" s="101">
        <f>C47</f>
        <v>4.0000000000000001E-3</v>
      </c>
      <c r="E45" s="102" t="s">
        <v>1925</v>
      </c>
      <c r="F45" s="2854">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285530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53">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1924007</v>
      </c>
      <c r="D49" s="99"/>
      <c r="E49" s="99"/>
      <c r="F49" s="126"/>
      <c r="G49" s="100" t="s">
        <v>1935</v>
      </c>
    </row>
    <row r="50" spans="1:123" s="122" customFormat="1" ht="24">
      <c r="A50" s="992" t="s">
        <v>1936</v>
      </c>
      <c r="B50" s="89" t="s">
        <v>1937</v>
      </c>
      <c r="C50" s="99"/>
      <c r="D50" s="99"/>
      <c r="E50" s="99"/>
      <c r="F50" s="126">
        <f>IF('数据-取费表'!B26=0,'数据-取费表'!E20,1)</f>
        <v>0.87</v>
      </c>
      <c r="G50" s="113" t="s">
        <v>1938</v>
      </c>
    </row>
    <row r="51" spans="1:123" ht="16.5" customHeight="1">
      <c r="A51" s="992" t="s">
        <v>1939</v>
      </c>
      <c r="B51" s="89" t="s">
        <v>1940</v>
      </c>
      <c r="C51" s="99">
        <f ca="1">ROUND(C49*F50,0)</f>
        <v>1673886</v>
      </c>
      <c r="D51" s="99"/>
      <c r="E51" s="99"/>
      <c r="F51" s="126"/>
      <c r="G51" s="100" t="s">
        <v>1941</v>
      </c>
    </row>
    <row r="52" spans="1:123" s="88" customFormat="1" ht="16.5" thickBot="1">
      <c r="A52" s="127" t="s">
        <v>1942</v>
      </c>
      <c r="B52" s="128"/>
      <c r="C52" s="129">
        <f ca="1">C31+C51</f>
        <v>9401649</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0.17799999999999999</v>
      </c>
    </row>
    <row r="57" spans="1:123">
      <c r="B57" s="135" t="s">
        <v>1945</v>
      </c>
      <c r="C57" s="137">
        <f ca="1">1-C56</f>
        <v>0.82200000000000006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423</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23318</v>
      </c>
      <c r="C3" s="1368" t="s">
        <v>1232</v>
      </c>
      <c r="D3" s="922"/>
      <c r="E3" s="922"/>
      <c r="F3" s="922"/>
      <c r="G3" s="922"/>
      <c r="H3" s="922"/>
      <c r="I3" s="922"/>
      <c r="J3" s="922"/>
      <c r="K3" s="922"/>
    </row>
    <row r="4" spans="1:33" s="143" customFormat="1" ht="16.5" customHeight="1">
      <c r="A4" s="140" t="s">
        <v>1233</v>
      </c>
      <c r="B4" s="141"/>
      <c r="C4" s="1091">
        <f>SUM(C8:K8)</f>
        <v>6349700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8"/>
      <c r="E6" s="1088"/>
      <c r="F6" s="1088"/>
      <c r="G6" s="1088"/>
      <c r="H6" s="1088"/>
      <c r="I6" s="1088"/>
      <c r="J6" s="1088"/>
      <c r="K6" s="108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181.42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69" t="s">
        <v>1240</v>
      </c>
      <c r="B8" s="147" t="s">
        <v>1241</v>
      </c>
      <c r="C8" s="609">
        <f>C6*C7</f>
        <v>6349700</v>
      </c>
      <c r="D8" s="1090"/>
      <c r="E8" s="1090"/>
      <c r="F8" s="1088"/>
      <c r="G8" s="1088"/>
      <c r="H8" s="1088"/>
      <c r="I8" s="1088"/>
      <c r="J8" s="1088"/>
      <c r="K8" s="108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634970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19049</v>
      </c>
      <c r="D12" s="164"/>
      <c r="E12" s="34"/>
      <c r="F12" s="167">
        <f>'数据-取费表'!E21</f>
        <v>0.03</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4717</v>
      </c>
      <c r="D14" s="164">
        <f>IF(C1="仅计算典型户型",'数据-取费表'!E5,'数据-取费表'!B5)</f>
        <v>181.42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9525</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668261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181.42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-36284</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36284</v>
      </c>
      <c r="D20" s="164">
        <f>IF('数据-取费表'!B10&lt;&gt;"住宅",IF(C1="仅计算典型户型",'数据-取费表'!E5,'数据-取费表'!B5),0)</f>
        <v>181.42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631977</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12640</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16509</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132225</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132225</v>
      </c>
      <c r="D30" s="193"/>
      <c r="E30" s="206"/>
      <c r="F30" s="203"/>
      <c r="G30" s="147"/>
      <c r="H30" s="170"/>
      <c r="I30" s="170"/>
      <c r="J30" s="170"/>
      <c r="K30" s="171"/>
    </row>
    <row r="31" spans="1:33" s="182" customFormat="1" ht="13.5" customHeight="1" thickBot="1">
      <c r="A31" s="1370" t="s">
        <v>1289</v>
      </c>
      <c r="B31" s="177" t="s">
        <v>1290</v>
      </c>
      <c r="C31" s="207">
        <f>ROUND(C4*F31/(1+'数据-取费表'!F30),0)</f>
        <v>332603</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4230439</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2978</v>
      </c>
      <c r="B1" s="3130"/>
      <c r="C1" s="3136"/>
      <c r="D1" s="3136"/>
      <c r="E1" s="3131"/>
      <c r="F1" s="3132"/>
      <c r="G1" s="3225"/>
      <c r="J1" s="3228" t="s">
        <v>2834</v>
      </c>
      <c r="K1" s="3229"/>
      <c r="L1" s="3229"/>
      <c r="M1" s="3229"/>
      <c r="N1" s="3229"/>
      <c r="O1" s="3229"/>
      <c r="P1" s="3229"/>
      <c r="Q1" s="3229"/>
      <c r="R1" s="3230"/>
      <c r="S1" s="3231"/>
      <c r="T1" s="3231"/>
      <c r="U1" s="3231"/>
    </row>
    <row r="2" spans="1:23" s="3139" customFormat="1" ht="13.15" customHeight="1">
      <c r="A2" s="3134" t="s">
        <v>2835</v>
      </c>
      <c r="B2" s="3135" t="e">
        <f>C40</f>
        <v>#DIV/0!</v>
      </c>
      <c r="C2" s="3136" t="s">
        <v>2836</v>
      </c>
      <c r="D2" s="3136"/>
      <c r="E2" s="3137"/>
      <c r="F2" s="3138"/>
      <c r="G2" s="3232"/>
      <c r="H2" s="3233"/>
      <c r="I2" s="3234"/>
      <c r="J2" s="3580" t="s">
        <v>2837</v>
      </c>
      <c r="K2" s="3581"/>
      <c r="L2" s="3235" t="s">
        <v>2838</v>
      </c>
      <c r="M2" s="3235" t="s">
        <v>2839</v>
      </c>
      <c r="N2" s="3235" t="s">
        <v>2840</v>
      </c>
      <c r="O2" s="3235" t="s">
        <v>2841</v>
      </c>
      <c r="P2" s="3235" t="s">
        <v>2842</v>
      </c>
      <c r="Q2" s="3236" t="s">
        <v>2843</v>
      </c>
      <c r="R2" s="3237" t="s">
        <v>2844</v>
      </c>
      <c r="S2" s="3231"/>
      <c r="T2" s="3231"/>
      <c r="U2" s="3231"/>
      <c r="V2" s="3234"/>
      <c r="W2" s="3233"/>
    </row>
    <row r="3" spans="1:23" s="3139" customFormat="1" ht="13.15" customHeight="1">
      <c r="A3" s="3141" t="s">
        <v>2845</v>
      </c>
      <c r="B3" s="3142" t="e">
        <f>ROUND(B2*10000/B4,0)</f>
        <v>#DIV/0!</v>
      </c>
      <c r="C3" s="3136" t="s">
        <v>2846</v>
      </c>
      <c r="D3" s="3136"/>
      <c r="E3" s="3137"/>
      <c r="F3" s="3138"/>
      <c r="G3" s="3232"/>
      <c r="H3" s="3233"/>
      <c r="I3" s="3234"/>
      <c r="J3" s="3582" t="s">
        <v>2847</v>
      </c>
      <c r="K3" s="3583"/>
      <c r="L3" s="3238"/>
      <c r="M3" s="3238"/>
      <c r="N3" s="3238"/>
      <c r="O3" s="3238"/>
      <c r="P3" s="3238"/>
      <c r="Q3" s="3239"/>
      <c r="R3" s="3240">
        <f>SUM(L3:Q3)</f>
        <v>0</v>
      </c>
      <c r="S3" s="3231"/>
      <c r="T3" s="3231"/>
      <c r="U3" s="3231"/>
      <c r="V3" s="3234"/>
      <c r="W3" s="3233"/>
    </row>
    <row r="4" spans="1:23" s="3139" customFormat="1" ht="13.15" customHeight="1">
      <c r="A4" s="3143" t="s">
        <v>2848</v>
      </c>
      <c r="B4" s="3200"/>
      <c r="C4" s="3136"/>
      <c r="D4" s="3136"/>
      <c r="E4" s="3137"/>
      <c r="F4" s="3138"/>
      <c r="G4" s="3232"/>
      <c r="H4" s="3233"/>
      <c r="I4" s="3234"/>
      <c r="J4" s="3582" t="s">
        <v>2849</v>
      </c>
      <c r="K4" s="3583"/>
      <c r="L4" s="3241"/>
      <c r="M4" s="3241"/>
      <c r="N4" s="3241"/>
      <c r="O4" s="3241"/>
      <c r="P4" s="3241"/>
      <c r="Q4" s="3242"/>
      <c r="R4" s="3243">
        <f>SUM(L4:Q4)</f>
        <v>0</v>
      </c>
      <c r="S4" s="3231"/>
      <c r="T4" s="3231"/>
      <c r="U4" s="3231"/>
      <c r="V4" s="3234"/>
      <c r="W4" s="3233"/>
    </row>
    <row r="5" spans="1:23" s="3139" customFormat="1" ht="13.15" customHeight="1" thickBot="1">
      <c r="A5" s="3144" t="s">
        <v>2850</v>
      </c>
      <c r="B5" s="3201"/>
      <c r="C5" s="3136"/>
      <c r="D5" s="3145"/>
      <c r="E5" s="3138"/>
      <c r="F5" s="3138"/>
      <c r="G5" s="3232"/>
      <c r="H5" s="3233"/>
      <c r="I5" s="3234"/>
      <c r="J5" s="3244" t="s">
        <v>2851</v>
      </c>
      <c r="K5" s="3245"/>
      <c r="L5" s="3245"/>
      <c r="M5" s="3246"/>
      <c r="N5" s="3246"/>
      <c r="O5" s="3246"/>
      <c r="P5" s="3246"/>
      <c r="Q5" s="3246"/>
      <c r="R5" s="3237">
        <f>SUM(R14,R19,R24,R25,R27,R28)</f>
        <v>0</v>
      </c>
      <c r="S5" s="3231"/>
      <c r="T5" s="3231" t="s">
        <v>2852</v>
      </c>
      <c r="U5" s="3231" t="e">
        <f>ROUND(R5*10000/365/R3,1)</f>
        <v>#DIV/0!</v>
      </c>
      <c r="V5" s="3234"/>
      <c r="W5" s="3233"/>
    </row>
    <row r="6" spans="1:23" s="3139" customFormat="1" ht="13.15" customHeight="1" thickBot="1">
      <c r="A6" s="3588" t="s">
        <v>2853</v>
      </c>
      <c r="B6" s="3589"/>
      <c r="C6" s="3590"/>
      <c r="D6" s="3202"/>
      <c r="E6" s="3146"/>
      <c r="F6" s="3147"/>
      <c r="G6" s="3247"/>
      <c r="H6" s="3233"/>
      <c r="I6" s="3234"/>
      <c r="J6" s="3574">
        <v>1</v>
      </c>
      <c r="K6" s="3575" t="s">
        <v>2854</v>
      </c>
      <c r="L6" s="3248" t="s">
        <v>2855</v>
      </c>
      <c r="M6" s="3249" t="s">
        <v>2856</v>
      </c>
      <c r="N6" s="3249" t="s">
        <v>2857</v>
      </c>
      <c r="O6" s="3249" t="s">
        <v>2858</v>
      </c>
      <c r="P6" s="3249" t="s">
        <v>2859</v>
      </c>
      <c r="Q6" s="3249" t="s">
        <v>2860</v>
      </c>
      <c r="R6" s="3240" t="s">
        <v>2861</v>
      </c>
      <c r="S6" s="3231"/>
      <c r="T6" s="3231" t="s">
        <v>2862</v>
      </c>
      <c r="U6" s="3231"/>
      <c r="V6" s="3234"/>
      <c r="W6" s="3233"/>
    </row>
    <row r="7" spans="1:23" s="3139" customFormat="1" ht="13.15" customHeight="1">
      <c r="A7" s="3149" t="s">
        <v>2863</v>
      </c>
      <c r="B7" s="3150"/>
      <c r="C7" s="3151"/>
      <c r="D7" s="3152">
        <f>SUM(D9,D10,D11,D17,0)</f>
        <v>0</v>
      </c>
      <c r="E7" s="3153" t="e">
        <f>E9+E10+E11+E17</f>
        <v>#DIV/0!</v>
      </c>
      <c r="F7" s="3154"/>
      <c r="G7" s="3250"/>
      <c r="H7" s="3233"/>
      <c r="I7" s="3234"/>
      <c r="J7" s="3574"/>
      <c r="K7" s="3576"/>
      <c r="L7" s="3251" t="s">
        <v>2963</v>
      </c>
      <c r="M7" s="3252"/>
      <c r="N7" s="3252"/>
      <c r="O7" s="3253"/>
      <c r="P7" s="3253"/>
      <c r="Q7" s="3254">
        <v>365</v>
      </c>
      <c r="R7" s="3255">
        <f>ROUND(M7*N7*O7*P7*Q7/10000,0)</f>
        <v>0</v>
      </c>
      <c r="S7" s="3231"/>
      <c r="T7" s="3231" t="s">
        <v>2864</v>
      </c>
      <c r="U7" s="3231"/>
      <c r="V7" s="3234"/>
      <c r="W7" s="3233"/>
    </row>
    <row r="8" spans="1:23" s="3139" customFormat="1" ht="13.15" customHeight="1">
      <c r="A8" s="3155" t="s">
        <v>2865</v>
      </c>
      <c r="B8" s="3591" t="s">
        <v>2866</v>
      </c>
      <c r="C8" s="3592"/>
      <c r="D8" s="3156" t="s">
        <v>2867</v>
      </c>
      <c r="E8" s="3157" t="s">
        <v>2868</v>
      </c>
      <c r="F8" s="3140" t="s">
        <v>2869</v>
      </c>
      <c r="G8" s="3310" t="s">
        <v>2977</v>
      </c>
      <c r="H8" s="3233"/>
      <c r="I8" s="3234"/>
      <c r="J8" s="3574"/>
      <c r="K8" s="3576"/>
      <c r="L8" s="3251" t="s">
        <v>2964</v>
      </c>
      <c r="M8" s="3252"/>
      <c r="N8" s="3252"/>
      <c r="O8" s="3253"/>
      <c r="P8" s="3253"/>
      <c r="Q8" s="3254">
        <v>365</v>
      </c>
      <c r="R8" s="3255">
        <f t="shared" ref="R8:R13" si="0">ROUND(M8*N8*O8*P8*Q8/10000,0)</f>
        <v>0</v>
      </c>
      <c r="S8" s="3231"/>
      <c r="T8" s="3231" t="s">
        <v>2870</v>
      </c>
      <c r="U8" s="3231"/>
      <c r="V8" s="3234"/>
      <c r="W8" s="3233"/>
    </row>
    <row r="9" spans="1:23" s="3139" customFormat="1" ht="13.15" customHeight="1">
      <c r="A9" s="3155">
        <v>1</v>
      </c>
      <c r="B9" s="3591" t="s">
        <v>2871</v>
      </c>
      <c r="C9" s="3592"/>
      <c r="D9" s="3156">
        <f>ROUND(D6*E9,0)</f>
        <v>0</v>
      </c>
      <c r="E9" s="3203"/>
      <c r="F9" s="3158" t="s">
        <v>2872</v>
      </c>
      <c r="G9" s="3256" t="s">
        <v>2975</v>
      </c>
      <c r="H9" s="3233"/>
      <c r="I9" s="3234"/>
      <c r="J9" s="3574"/>
      <c r="K9" s="3576"/>
      <c r="L9" s="3251" t="s">
        <v>2965</v>
      </c>
      <c r="M9" s="3252"/>
      <c r="N9" s="3252"/>
      <c r="O9" s="3253"/>
      <c r="P9" s="3253"/>
      <c r="Q9" s="3254">
        <v>365</v>
      </c>
      <c r="R9" s="3255">
        <f t="shared" si="0"/>
        <v>0</v>
      </c>
      <c r="S9" s="3231"/>
      <c r="T9" s="3231"/>
      <c r="U9" s="3231"/>
      <c r="V9" s="3234"/>
      <c r="W9" s="3233"/>
    </row>
    <row r="10" spans="1:23" s="3139" customFormat="1" ht="13.15" customHeight="1">
      <c r="A10" s="3155">
        <v>2</v>
      </c>
      <c r="B10" s="3591" t="s">
        <v>2873</v>
      </c>
      <c r="C10" s="3592"/>
      <c r="D10" s="3156">
        <f>ROUND(D6*E10,0)</f>
        <v>0</v>
      </c>
      <c r="E10" s="3203"/>
      <c r="F10" s="3158" t="s">
        <v>2874</v>
      </c>
      <c r="G10" s="3256" t="s">
        <v>2976</v>
      </c>
      <c r="H10" s="3233"/>
      <c r="I10" s="3234"/>
      <c r="J10" s="3574"/>
      <c r="K10" s="3576"/>
      <c r="L10" s="3251" t="s">
        <v>2966</v>
      </c>
      <c r="M10" s="3252"/>
      <c r="N10" s="3252"/>
      <c r="O10" s="3253"/>
      <c r="P10" s="3253"/>
      <c r="Q10" s="3254">
        <v>365</v>
      </c>
      <c r="R10" s="3255">
        <f t="shared" si="0"/>
        <v>0</v>
      </c>
      <c r="S10" s="3231"/>
      <c r="T10" s="3231"/>
      <c r="U10" s="3231"/>
      <c r="V10" s="3234"/>
      <c r="W10" s="3233"/>
    </row>
    <row r="11" spans="1:23" s="3139" customFormat="1" ht="13.15" customHeight="1">
      <c r="A11" s="3155">
        <v>3</v>
      </c>
      <c r="B11" s="3591" t="s">
        <v>2875</v>
      </c>
      <c r="C11" s="3592"/>
      <c r="D11" s="3156">
        <f>D12+D14+D15+D16</f>
        <v>0</v>
      </c>
      <c r="E11" s="3159" t="e">
        <f>D11/D6</f>
        <v>#DIV/0!</v>
      </c>
      <c r="F11" s="3140"/>
      <c r="G11" s="3256"/>
      <c r="H11" s="3233"/>
      <c r="I11" s="3234"/>
      <c r="J11" s="3574"/>
      <c r="K11" s="3576"/>
      <c r="L11" s="3251" t="s">
        <v>2967</v>
      </c>
      <c r="M11" s="3252"/>
      <c r="N11" s="3252"/>
      <c r="O11" s="3253"/>
      <c r="P11" s="3253"/>
      <c r="Q11" s="3254">
        <v>365</v>
      </c>
      <c r="R11" s="3255">
        <f t="shared" si="0"/>
        <v>0</v>
      </c>
      <c r="S11" s="3231"/>
      <c r="T11" s="3231"/>
      <c r="U11" s="3231"/>
      <c r="V11" s="3234"/>
      <c r="W11" s="3233"/>
    </row>
    <row r="12" spans="1:23" s="3139" customFormat="1" ht="13.15" customHeight="1">
      <c r="A12" s="3160" t="s">
        <v>2876</v>
      </c>
      <c r="B12" s="3584" t="s">
        <v>2877</v>
      </c>
      <c r="C12" s="3585"/>
      <c r="D12" s="3161">
        <f>ROUND(D13*1.2%*(1-30%),0)</f>
        <v>0</v>
      </c>
      <c r="E12" s="3162">
        <v>1.2E-2</v>
      </c>
      <c r="F12" s="3140" t="s">
        <v>2878</v>
      </c>
      <c r="G12" s="3256"/>
      <c r="H12" s="3233"/>
      <c r="I12" s="3234"/>
      <c r="J12" s="3574"/>
      <c r="K12" s="3576"/>
      <c r="L12" s="3251" t="s">
        <v>2968</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2879</v>
      </c>
      <c r="D13" s="3204"/>
      <c r="E13" s="3165"/>
      <c r="F13" s="3140"/>
      <c r="G13" s="3256"/>
      <c r="H13" s="3233"/>
      <c r="I13" s="3234"/>
      <c r="J13" s="3574"/>
      <c r="K13" s="3576"/>
      <c r="L13" s="3251" t="s">
        <v>2969</v>
      </c>
      <c r="M13" s="3252"/>
      <c r="N13" s="3252"/>
      <c r="O13" s="3253"/>
      <c r="P13" s="3253"/>
      <c r="Q13" s="3254">
        <v>365</v>
      </c>
      <c r="R13" s="3255">
        <f t="shared" si="0"/>
        <v>0</v>
      </c>
      <c r="S13" s="3231"/>
      <c r="T13" s="3231"/>
      <c r="U13" s="3231"/>
      <c r="V13" s="3234"/>
      <c r="W13" s="3233"/>
    </row>
    <row r="14" spans="1:23" s="3139" customFormat="1" ht="13.15" customHeight="1">
      <c r="A14" s="3160" t="s">
        <v>2880</v>
      </c>
      <c r="B14" s="3584" t="s">
        <v>2881</v>
      </c>
      <c r="C14" s="3585"/>
      <c r="D14" s="3161">
        <f>ROUND(E14*B5/10000,0)</f>
        <v>0</v>
      </c>
      <c r="E14" s="3205"/>
      <c r="F14" s="3140" t="s">
        <v>2882</v>
      </c>
      <c r="G14" s="3256"/>
      <c r="H14" s="3233"/>
      <c r="I14" s="3234"/>
      <c r="J14" s="3574"/>
      <c r="K14" s="3577"/>
      <c r="L14" s="3257" t="s">
        <v>2883</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2884</v>
      </c>
      <c r="B15" s="3584" t="s">
        <v>2885</v>
      </c>
      <c r="C15" s="3585"/>
      <c r="D15" s="3161">
        <f>ROUND(D6*E15,0)</f>
        <v>0</v>
      </c>
      <c r="E15" s="3162">
        <v>5.5E-2</v>
      </c>
      <c r="F15" s="3140" t="s">
        <v>2886</v>
      </c>
      <c r="G15" s="3256"/>
      <c r="H15" s="3233"/>
      <c r="I15" s="3234"/>
      <c r="J15" s="3574">
        <v>2</v>
      </c>
      <c r="K15" s="3575" t="s">
        <v>2887</v>
      </c>
      <c r="L15" s="3261" t="s">
        <v>2888</v>
      </c>
      <c r="M15" s="3262" t="s">
        <v>2889</v>
      </c>
      <c r="N15" s="3262" t="s">
        <v>2890</v>
      </c>
      <c r="O15" s="3263" t="s">
        <v>2891</v>
      </c>
      <c r="P15" s="3263" t="s">
        <v>2892</v>
      </c>
      <c r="Q15" s="3200" t="s">
        <v>2893</v>
      </c>
      <c r="R15" s="3264" t="s">
        <v>2894</v>
      </c>
      <c r="S15" s="3231"/>
      <c r="T15" s="3231"/>
      <c r="U15" s="3231"/>
      <c r="V15" s="3234"/>
      <c r="W15" s="3233"/>
    </row>
    <row r="16" spans="1:23" s="3139" customFormat="1" ht="13.15" customHeight="1">
      <c r="A16" s="3160" t="s">
        <v>2895</v>
      </c>
      <c r="B16" s="3584" t="s">
        <v>2896</v>
      </c>
      <c r="C16" s="3585"/>
      <c r="D16" s="3206">
        <f>D6*E16</f>
        <v>0</v>
      </c>
      <c r="E16" s="3207"/>
      <c r="F16" s="3158" t="s">
        <v>2897</v>
      </c>
      <c r="G16" s="3256"/>
      <c r="H16" s="3233"/>
      <c r="I16" s="3234"/>
      <c r="J16" s="3574"/>
      <c r="K16" s="3576"/>
      <c r="L16" s="3251" t="s">
        <v>2970</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86" t="s">
        <v>2898</v>
      </c>
      <c r="C17" s="3587"/>
      <c r="D17" s="3167">
        <f>ROUND(D6*E17,0)</f>
        <v>0</v>
      </c>
      <c r="E17" s="3208"/>
      <c r="F17" s="3168" t="s">
        <v>2899</v>
      </c>
      <c r="G17" s="3309">
        <v>0.1</v>
      </c>
      <c r="H17" s="3233"/>
      <c r="I17" s="3234"/>
      <c r="J17" s="3574"/>
      <c r="K17" s="3576"/>
      <c r="L17" s="3251" t="s">
        <v>2971</v>
      </c>
      <c r="M17" s="3252"/>
      <c r="N17" s="3252"/>
      <c r="O17" s="3253"/>
      <c r="P17" s="3254">
        <v>365</v>
      </c>
      <c r="Q17" s="3252"/>
      <c r="R17" s="3265">
        <f>ROUND(M17*N17*O17*P17/10000,0)</f>
        <v>0</v>
      </c>
      <c r="S17" s="3231"/>
      <c r="T17" s="3231"/>
      <c r="U17" s="3231"/>
      <c r="V17" s="3234"/>
      <c r="W17" s="3233"/>
    </row>
    <row r="18" spans="1:23" s="3139" customFormat="1" ht="13.15" customHeight="1" thickBot="1">
      <c r="A18" s="3149" t="s">
        <v>2900</v>
      </c>
      <c r="B18" s="3150"/>
      <c r="C18" s="3150"/>
      <c r="D18" s="3169">
        <f>ROUND(D6*E18,0)</f>
        <v>0</v>
      </c>
      <c r="E18" s="3209"/>
      <c r="F18" s="3170" t="s">
        <v>2901</v>
      </c>
      <c r="G18" s="3309">
        <v>0.05</v>
      </c>
      <c r="H18" s="3233"/>
      <c r="I18" s="3234"/>
      <c r="J18" s="3574"/>
      <c r="K18" s="3576"/>
      <c r="L18" s="3251" t="s">
        <v>2972</v>
      </c>
      <c r="M18" s="3252"/>
      <c r="N18" s="3252"/>
      <c r="O18" s="3253"/>
      <c r="P18" s="3254">
        <v>365</v>
      </c>
      <c r="Q18" s="3252"/>
      <c r="R18" s="3265">
        <f>ROUND(M18*N18*O18*P18/10000,0)</f>
        <v>0</v>
      </c>
      <c r="S18" s="3231"/>
      <c r="T18" s="3231"/>
      <c r="U18" s="3231"/>
      <c r="V18" s="3234"/>
      <c r="W18" s="3233"/>
    </row>
    <row r="19" spans="1:23" s="3139" customFormat="1" ht="13.15" customHeight="1" thickBot="1">
      <c r="A19" s="3171" t="s">
        <v>2902</v>
      </c>
      <c r="B19" s="3146"/>
      <c r="C19" s="3146"/>
      <c r="D19" s="3146"/>
      <c r="E19" s="3146"/>
      <c r="F19" s="3147"/>
      <c r="G19" s="3256"/>
      <c r="H19" s="3233"/>
      <c r="I19" s="3234"/>
      <c r="J19" s="3574"/>
      <c r="K19" s="3577"/>
      <c r="L19" s="3257" t="s">
        <v>2883</v>
      </c>
      <c r="M19" s="3258"/>
      <c r="N19" s="3258">
        <f>SUM(N16:N18)</f>
        <v>0</v>
      </c>
      <c r="O19" s="3259"/>
      <c r="P19" s="3266" t="s">
        <v>2973</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74">
        <v>3</v>
      </c>
      <c r="K20" s="3575" t="s">
        <v>2903</v>
      </c>
      <c r="L20" s="3261" t="s">
        <v>2904</v>
      </c>
      <c r="M20" s="3262" t="s">
        <v>2905</v>
      </c>
      <c r="N20" s="3268" t="s">
        <v>2906</v>
      </c>
      <c r="O20" s="3263" t="s">
        <v>2907</v>
      </c>
      <c r="P20" s="3205" t="s">
        <v>2892</v>
      </c>
      <c r="Q20" s="3200" t="s">
        <v>2893</v>
      </c>
      <c r="R20" s="3264" t="s">
        <v>2894</v>
      </c>
      <c r="S20" s="3269"/>
      <c r="T20" s="3269"/>
      <c r="U20" s="3269"/>
      <c r="V20" s="3234"/>
      <c r="W20" s="3233"/>
    </row>
    <row r="21" spans="1:23" s="3139" customFormat="1" ht="13.15" customHeight="1">
      <c r="A21" s="3149"/>
      <c r="B21" s="3150"/>
      <c r="C21" s="3173" t="s">
        <v>2908</v>
      </c>
      <c r="D21" s="3174" t="s">
        <v>2909</v>
      </c>
      <c r="E21" s="3175" t="s">
        <v>2910</v>
      </c>
      <c r="F21" s="3172"/>
      <c r="G21" s="3256"/>
      <c r="H21" s="3233"/>
      <c r="I21" s="3234"/>
      <c r="J21" s="3574"/>
      <c r="K21" s="3576"/>
      <c r="L21" s="3261" t="s">
        <v>2911</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2912</v>
      </c>
      <c r="D22" s="3211" t="s">
        <v>2913</v>
      </c>
      <c r="E22" s="3212" t="s">
        <v>2914</v>
      </c>
      <c r="F22" s="3172"/>
      <c r="G22" s="3271"/>
      <c r="H22" s="3233"/>
      <c r="I22" s="3234"/>
      <c r="J22" s="3574"/>
      <c r="K22" s="3576"/>
      <c r="L22" s="3261" t="s">
        <v>2915</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2916</v>
      </c>
      <c r="C23" s="3177">
        <f>D6</f>
        <v>0</v>
      </c>
      <c r="D23" s="3178">
        <f>C23*(1+D24)</f>
        <v>0</v>
      </c>
      <c r="E23" s="3179">
        <f>D23*(1+E24)</f>
        <v>0</v>
      </c>
      <c r="F23" s="3180"/>
      <c r="G23" s="3272"/>
      <c r="H23" s="3233"/>
      <c r="I23" s="3234"/>
      <c r="J23" s="3574"/>
      <c r="K23" s="3576"/>
      <c r="L23" s="3261" t="s">
        <v>2917</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2918</v>
      </c>
      <c r="C24" s="3183"/>
      <c r="D24" s="3213"/>
      <c r="E24" s="3214"/>
      <c r="F24" s="3184"/>
      <c r="G24" s="3272"/>
      <c r="H24" s="3233"/>
      <c r="I24" s="3234"/>
      <c r="J24" s="3574"/>
      <c r="K24" s="3577"/>
      <c r="L24" s="3257" t="s">
        <v>2883</v>
      </c>
      <c r="M24" s="3258">
        <f>SUM(M21:M23)</f>
        <v>0</v>
      </c>
      <c r="N24" s="3258"/>
      <c r="O24" s="3259"/>
      <c r="P24" s="3266" t="s">
        <v>2973</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2919</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2920</v>
      </c>
      <c r="C26" s="3177">
        <f>D7</f>
        <v>0</v>
      </c>
      <c r="D26" s="3178">
        <f>D23*D27</f>
        <v>0</v>
      </c>
      <c r="E26" s="3179">
        <f>E23*E27</f>
        <v>0</v>
      </c>
      <c r="F26" s="3180"/>
      <c r="G26" s="3272"/>
      <c r="H26" s="3233"/>
      <c r="I26" s="3234"/>
      <c r="J26" s="3578">
        <v>5</v>
      </c>
      <c r="K26" s="3280" t="s">
        <v>2921</v>
      </c>
      <c r="L26" s="3281"/>
      <c r="M26" s="3282"/>
      <c r="N26" s="3283" t="s">
        <v>2922</v>
      </c>
      <c r="O26" s="3283" t="s">
        <v>2923</v>
      </c>
      <c r="P26" s="3284" t="s">
        <v>2924</v>
      </c>
      <c r="Q26" s="3284" t="s">
        <v>2925</v>
      </c>
      <c r="R26" s="3240" t="s">
        <v>2894</v>
      </c>
      <c r="S26" s="3285"/>
      <c r="T26" s="3285"/>
      <c r="U26" s="3285"/>
      <c r="V26" s="3278"/>
      <c r="W26" s="3279"/>
    </row>
    <row r="27" spans="1:23" s="3139" customFormat="1" ht="13.15" customHeight="1">
      <c r="A27" s="3181"/>
      <c r="B27" s="3182" t="s">
        <v>2926</v>
      </c>
      <c r="C27" s="3186" t="e">
        <f>E7</f>
        <v>#DIV/0!</v>
      </c>
      <c r="D27" s="3213"/>
      <c r="E27" s="3214"/>
      <c r="F27" s="3184"/>
      <c r="G27" s="3272"/>
      <c r="H27" s="3279"/>
      <c r="I27" s="3278"/>
      <c r="J27" s="3579"/>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2927</v>
      </c>
      <c r="F28" s="3184"/>
      <c r="G28" s="3271"/>
      <c r="H28" s="3279"/>
      <c r="I28" s="3278"/>
      <c r="J28" s="3291">
        <v>6</v>
      </c>
      <c r="K28" s="3292" t="s">
        <v>2928</v>
      </c>
      <c r="L28" s="3293" t="s">
        <v>2929</v>
      </c>
      <c r="M28" s="3294"/>
      <c r="N28" s="3293" t="s">
        <v>2930</v>
      </c>
      <c r="O28" s="3295"/>
      <c r="P28" s="3293" t="s">
        <v>2931</v>
      </c>
      <c r="Q28" s="3296">
        <v>1.4999999999999999E-2</v>
      </c>
      <c r="R28" s="3297"/>
      <c r="S28" s="3269"/>
      <c r="T28" s="3269"/>
      <c r="U28" s="3269"/>
      <c r="V28" s="3278"/>
      <c r="W28" s="3279"/>
    </row>
    <row r="29" spans="1:23" s="3185" customFormat="1" ht="13.15" customHeight="1">
      <c r="A29" s="3176">
        <v>3</v>
      </c>
      <c r="B29" s="3148" t="s">
        <v>2932</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2926</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2933</v>
      </c>
      <c r="K31" s="3229"/>
      <c r="L31" s="3229"/>
      <c r="M31" s="3229"/>
      <c r="N31" s="3229"/>
      <c r="O31" s="3229"/>
      <c r="P31" s="3229"/>
      <c r="Q31" s="3229"/>
      <c r="R31" s="3230"/>
      <c r="S31" s="3269"/>
      <c r="T31" s="3231"/>
      <c r="U31" s="3231"/>
      <c r="V31" s="3278"/>
      <c r="W31" s="3279"/>
    </row>
    <row r="32" spans="1:23" s="3185" customFormat="1" ht="13.15" customHeight="1">
      <c r="A32" s="3176">
        <v>4</v>
      </c>
      <c r="B32" s="3148" t="s">
        <v>2934</v>
      </c>
      <c r="C32" s="3177">
        <f>C23-C26-C29</f>
        <v>0</v>
      </c>
      <c r="D32" s="3178">
        <f>D23-D26-D29</f>
        <v>0</v>
      </c>
      <c r="E32" s="3179">
        <f>E23-E26-E29</f>
        <v>0</v>
      </c>
      <c r="F32" s="3180"/>
      <c r="G32" s="3271"/>
      <c r="H32" s="3233"/>
      <c r="I32" s="3234"/>
      <c r="J32" s="3580" t="s">
        <v>2935</v>
      </c>
      <c r="K32" s="3581"/>
      <c r="L32" s="3235" t="s">
        <v>2936</v>
      </c>
      <c r="M32" s="3235" t="s">
        <v>2839</v>
      </c>
      <c r="N32" s="3235" t="s">
        <v>2840</v>
      </c>
      <c r="O32" s="3235" t="s">
        <v>2841</v>
      </c>
      <c r="P32" s="3235" t="s">
        <v>2842</v>
      </c>
      <c r="Q32" s="3236" t="s">
        <v>2937</v>
      </c>
      <c r="R32" s="3298" t="s">
        <v>2938</v>
      </c>
      <c r="S32" s="3269"/>
      <c r="T32" s="3231"/>
      <c r="U32" s="3231"/>
      <c r="V32" s="3278"/>
      <c r="W32" s="3279"/>
    </row>
    <row r="33" spans="1:23" s="3139" customFormat="1" ht="13.15" customHeight="1">
      <c r="A33" s="3176"/>
      <c r="B33" s="3148"/>
      <c r="C33" s="3177"/>
      <c r="D33" s="3188"/>
      <c r="E33" s="3189"/>
      <c r="F33" s="3180"/>
      <c r="G33" s="3271"/>
      <c r="H33" s="3279"/>
      <c r="I33" s="3278"/>
      <c r="J33" s="3582" t="s">
        <v>2939</v>
      </c>
      <c r="K33" s="3583"/>
      <c r="L33" s="3238"/>
      <c r="M33" s="3238"/>
      <c r="N33" s="3238"/>
      <c r="O33" s="3238"/>
      <c r="P33" s="3238"/>
      <c r="Q33" s="3239"/>
      <c r="R33" s="3299">
        <f>SUM(L33:Q33)</f>
        <v>0</v>
      </c>
      <c r="S33" s="3269"/>
      <c r="T33" s="3231"/>
      <c r="U33" s="3231"/>
      <c r="V33" s="3234"/>
      <c r="W33" s="3233"/>
    </row>
    <row r="34" spans="1:23" s="3139" customFormat="1" ht="13.15" customHeight="1">
      <c r="A34" s="3176">
        <v>5</v>
      </c>
      <c r="B34" s="3148" t="s">
        <v>2940</v>
      </c>
      <c r="C34" s="3216"/>
      <c r="D34" s="3217"/>
      <c r="E34" s="3218"/>
      <c r="F34" s="3180"/>
      <c r="G34" s="3271"/>
      <c r="H34" s="3279"/>
      <c r="I34" s="3278"/>
      <c r="J34" s="3582" t="s">
        <v>2941</v>
      </c>
      <c r="K34" s="3583"/>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2942</v>
      </c>
      <c r="C35" s="3219"/>
      <c r="D35" s="3220"/>
      <c r="E35" s="3221"/>
      <c r="F35" s="3180"/>
      <c r="G35" s="3301"/>
      <c r="H35" s="3233"/>
      <c r="I35" s="3278"/>
      <c r="J35" s="3244" t="s">
        <v>2943</v>
      </c>
      <c r="K35" s="3245"/>
      <c r="L35" s="3245"/>
      <c r="M35" s="3246"/>
      <c r="N35" s="3246"/>
      <c r="O35" s="3246"/>
      <c r="P35" s="3246"/>
      <c r="Q35" s="3246"/>
      <c r="R35" s="3302">
        <f>R40+R41+R43</f>
        <v>0</v>
      </c>
      <c r="S35" s="3269"/>
      <c r="T35" s="3231" t="s">
        <v>2944</v>
      </c>
      <c r="U35" s="3231"/>
      <c r="V35" s="3234"/>
      <c r="W35" s="3233"/>
    </row>
    <row r="36" spans="1:23" s="3139" customFormat="1" ht="13.15" customHeight="1" thickBot="1">
      <c r="A36" s="3176">
        <v>7</v>
      </c>
      <c r="B36" s="3190" t="s">
        <v>2945</v>
      </c>
      <c r="C36" s="3222"/>
      <c r="D36" s="3223"/>
      <c r="E36" s="3224"/>
      <c r="F36" s="3191">
        <f>C36+D36+E36</f>
        <v>0</v>
      </c>
      <c r="G36" s="3271"/>
      <c r="H36" s="3233"/>
      <c r="I36" s="3234"/>
      <c r="J36" s="3574">
        <v>1</v>
      </c>
      <c r="K36" s="3575" t="s">
        <v>2946</v>
      </c>
      <c r="L36" s="3248"/>
      <c r="M36" s="3249"/>
      <c r="N36" s="3249"/>
      <c r="O36" s="3249"/>
      <c r="P36" s="3249"/>
      <c r="Q36" s="3249"/>
      <c r="R36" s="3240" t="s">
        <v>2894</v>
      </c>
      <c r="S36" s="3269"/>
      <c r="T36" s="3231" t="s">
        <v>2947</v>
      </c>
      <c r="U36" s="3231"/>
      <c r="V36" s="3234"/>
      <c r="W36" s="3233"/>
    </row>
    <row r="37" spans="1:23" s="3139" customFormat="1" ht="13.15" customHeight="1">
      <c r="A37" s="3176"/>
      <c r="B37" s="3148"/>
      <c r="C37" s="3148"/>
      <c r="D37" s="3148"/>
      <c r="E37" s="3148"/>
      <c r="F37" s="3180"/>
      <c r="G37" s="3271"/>
      <c r="H37" s="3233"/>
      <c r="I37" s="3234"/>
      <c r="J37" s="3574"/>
      <c r="K37" s="3576"/>
      <c r="L37" s="3261"/>
      <c r="M37" s="3262"/>
      <c r="N37" s="3200"/>
      <c r="O37" s="3263"/>
      <c r="P37" s="3263"/>
      <c r="Q37" s="3205"/>
      <c r="R37" s="3303"/>
      <c r="S37" s="3269"/>
      <c r="T37" s="3231" t="s">
        <v>2948</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74"/>
      <c r="K38" s="3576"/>
      <c r="L38" s="3261"/>
      <c r="M38" s="3262"/>
      <c r="N38" s="3200"/>
      <c r="O38" s="3263"/>
      <c r="P38" s="3263"/>
      <c r="Q38" s="3205"/>
      <c r="R38" s="3303"/>
      <c r="S38" s="3269"/>
      <c r="T38" s="3231" t="s">
        <v>2870</v>
      </c>
      <c r="U38" s="3231"/>
      <c r="V38" s="3234"/>
      <c r="W38" s="3233"/>
    </row>
    <row r="39" spans="1:23" s="3139" customFormat="1" ht="13.15" customHeight="1">
      <c r="A39" s="3176">
        <v>9</v>
      </c>
      <c r="B39" s="3148" t="s">
        <v>2949</v>
      </c>
      <c r="C39" s="3161" t="e">
        <f>C38</f>
        <v>#DIV/0!</v>
      </c>
      <c r="D39" s="3148">
        <f>D38/(1+D34)^C36</f>
        <v>0</v>
      </c>
      <c r="E39" s="3148">
        <f>E38/(1+E34)^(C36+D36)</f>
        <v>0</v>
      </c>
      <c r="F39" s="3180"/>
      <c r="G39" s="3304"/>
      <c r="H39" s="3233"/>
      <c r="I39" s="3234"/>
      <c r="J39" s="3574"/>
      <c r="K39" s="3576"/>
      <c r="L39" s="3261"/>
      <c r="M39" s="3262"/>
      <c r="N39" s="3200"/>
      <c r="O39" s="3263"/>
      <c r="P39" s="3263"/>
      <c r="Q39" s="3205"/>
      <c r="R39" s="3303"/>
      <c r="S39" s="3269"/>
      <c r="T39" s="3231"/>
      <c r="U39" s="3231"/>
      <c r="V39" s="3234"/>
      <c r="W39" s="3233"/>
    </row>
    <row r="40" spans="1:23" s="3139" customFormat="1" ht="13.15" customHeight="1">
      <c r="A40" s="3192">
        <v>10</v>
      </c>
      <c r="B40" s="3148" t="s">
        <v>2950</v>
      </c>
      <c r="C40" s="3193" t="e">
        <f>C39+D39+E39</f>
        <v>#DIV/0!</v>
      </c>
      <c r="D40" s="3194"/>
      <c r="E40" s="3194"/>
      <c r="F40" s="3195"/>
      <c r="G40" s="3271"/>
      <c r="H40" s="3233"/>
      <c r="I40" s="3234"/>
      <c r="J40" s="3574"/>
      <c r="K40" s="3577"/>
      <c r="L40" s="3257" t="s">
        <v>2951</v>
      </c>
      <c r="M40" s="3258"/>
      <c r="N40" s="3258"/>
      <c r="O40" s="3259"/>
      <c r="P40" s="3259"/>
      <c r="Q40" s="3260"/>
      <c r="R40" s="3237">
        <f>SUM(R37:R39)</f>
        <v>0</v>
      </c>
      <c r="S40" s="3269"/>
      <c r="T40" s="3231"/>
      <c r="U40" s="3231"/>
      <c r="V40" s="3234"/>
      <c r="W40" s="3233"/>
    </row>
    <row r="41" spans="1:23" s="3139" customFormat="1" ht="13.15" customHeight="1" thickBot="1">
      <c r="A41" s="3196">
        <v>11</v>
      </c>
      <c r="B41" s="3197" t="s">
        <v>2952</v>
      </c>
      <c r="C41" s="3197" t="e">
        <f>ROUND(C40*10000/B4,0)</f>
        <v>#DIV/0!</v>
      </c>
      <c r="D41" s="3198"/>
      <c r="E41" s="3198"/>
      <c r="F41" s="3199"/>
      <c r="G41" s="3305"/>
      <c r="H41" s="3233"/>
      <c r="I41" s="3234"/>
      <c r="J41" s="3273">
        <v>2</v>
      </c>
      <c r="K41" s="3274" t="s">
        <v>2953</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78">
        <v>3</v>
      </c>
      <c r="K42" s="3280" t="s">
        <v>2954</v>
      </c>
      <c r="L42" s="3281"/>
      <c r="M42" s="3282"/>
      <c r="N42" s="3283" t="s">
        <v>2955</v>
      </c>
      <c r="O42" s="3283" t="s">
        <v>2956</v>
      </c>
      <c r="P42" s="3284" t="s">
        <v>2957</v>
      </c>
      <c r="Q42" s="3284" t="s">
        <v>2958</v>
      </c>
      <c r="R42" s="3240" t="s">
        <v>2861</v>
      </c>
      <c r="S42" s="3285"/>
      <c r="T42" s="3285"/>
      <c r="U42" s="3231"/>
      <c r="V42" s="3234"/>
      <c r="W42" s="3233"/>
    </row>
    <row r="43" spans="1:23" ht="13.15" customHeight="1">
      <c r="A43" s="3139"/>
      <c r="B43" s="3139"/>
      <c r="C43" s="3139"/>
      <c r="D43" s="3139"/>
      <c r="E43" s="3139"/>
      <c r="F43" s="3139"/>
      <c r="I43" s="3226"/>
      <c r="J43" s="3579"/>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2959</v>
      </c>
      <c r="L44" s="3308" t="s">
        <v>2960</v>
      </c>
      <c r="M44" s="3294"/>
      <c r="N44" s="3308" t="s">
        <v>2961</v>
      </c>
      <c r="O44" s="3294"/>
      <c r="P44" s="3308" t="s">
        <v>2962</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6"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7" t="str">
        <f>项目基本情况!B4</f>
        <v>xx</v>
      </c>
      <c r="C12" s="812"/>
    </row>
    <row r="13" spans="1:7">
      <c r="A13" s="901"/>
      <c r="B13" s="832"/>
      <c r="C13" s="812"/>
    </row>
    <row r="14" spans="1:7">
      <c r="A14" s="904" t="s">
        <v>940</v>
      </c>
      <c r="B14" s="903" t="s">
        <v>942</v>
      </c>
      <c r="C14" s="812"/>
    </row>
    <row r="15" spans="1:7">
      <c r="A15" s="901"/>
      <c r="B15" s="1307" t="s">
        <v>771</v>
      </c>
      <c r="C15" s="812"/>
    </row>
    <row r="16" spans="1:7">
      <c r="A16" s="901"/>
      <c r="B16" s="832"/>
      <c r="C16" s="812"/>
    </row>
    <row r="17" spans="1:5">
      <c r="A17" s="904" t="s">
        <v>940</v>
      </c>
      <c r="B17" s="903" t="s">
        <v>943</v>
      </c>
      <c r="C17" s="812"/>
    </row>
    <row r="18" spans="1:5" s="816" customFormat="1">
      <c r="A18" s="902"/>
      <c r="B18" s="1307"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7"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topLeftCell="A10" zoomScale="85" zoomScaleNormal="90" zoomScaleSheetLayoutView="85" workbookViewId="0">
      <selection activeCell="G42" sqref="G42"/>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362.84</v>
      </c>
      <c r="E1" s="2067"/>
      <c r="F1" s="2067"/>
      <c r="G1" s="2067"/>
      <c r="H1" s="2067"/>
      <c r="I1" s="2067"/>
      <c r="J1" s="2067"/>
      <c r="K1" s="3015"/>
      <c r="L1" s="2068" t="s">
        <v>2439</v>
      </c>
      <c r="M1" s="2069">
        <f>SUMPRODUCT((区片价!B5:B9=I2)*(区片价!C3:F3=E2)*(区片价!C5:F9))</f>
        <v>0</v>
      </c>
      <c r="N1" s="2070">
        <f>SUMPRODUCT((因素修正幅度!B5:B9=I2)*(因素修正幅度!C3:F3=E2)*(因素修正幅度!C5:F9))</f>
        <v>0</v>
      </c>
      <c r="O1" s="3015"/>
      <c r="P1" s="3015"/>
      <c r="Q1" s="3015"/>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5196413</v>
      </c>
      <c r="C2" s="2075" t="s">
        <v>2446</v>
      </c>
      <c r="D2" s="1569" t="s">
        <v>2447</v>
      </c>
      <c r="E2" s="2076" t="s">
        <v>3047</v>
      </c>
      <c r="F2" s="1569" t="s">
        <v>2448</v>
      </c>
      <c r="G2" s="2077" t="str">
        <f>项目基本情况!F9</f>
        <v>四级</v>
      </c>
      <c r="H2" s="1570" t="s">
        <v>2449</v>
      </c>
      <c r="I2" s="2077" t="str">
        <f>项目基本情况!F10</f>
        <v>Ⅳ-15</v>
      </c>
      <c r="J2" s="2078"/>
      <c r="K2" s="3015"/>
      <c r="L2" s="2079" t="s">
        <v>2450</v>
      </c>
      <c r="M2" s="2080">
        <f>SUMPRODUCT((区片价!B10:B28=I2)*(区片价!C3:F3=E2)*(区片价!C10:F28))</f>
        <v>0</v>
      </c>
      <c r="N2" s="2081">
        <f>SUMPRODUCT((因素修正幅度!B10:B28=I2)*(因素修正幅度!C3:F3=E2)*(因素修正幅度!C10:F28))</f>
        <v>0</v>
      </c>
      <c r="O2" s="3015"/>
      <c r="P2" s="3015"/>
      <c r="Q2" s="3015"/>
      <c r="R2" s="2071">
        <v>1</v>
      </c>
      <c r="S2" s="2071">
        <f>ROUND(IF(G3&gt;1,IF(R2&lt;7,SUMPRODUCT((B93:B98=R2)*(C92:N92=G2)*(C93:N98)),SUMIF(C92:N92,G2,C100:N100)),IF(R2&lt;7,SUMPRODUCT((B102:B107=R2)*(C92:N92=G2)*(C102:N107)),SUMIF(C92:N92,G2,C109:N109))),4)</f>
        <v>1.8629</v>
      </c>
      <c r="T2" s="2071">
        <f>ROUND($C$5*$C$18*$C$19*$C$20*S2*$C$24,0)</f>
        <v>43152</v>
      </c>
      <c r="U2" s="2082"/>
      <c r="V2" s="2071">
        <f>ROUND(T2*U2/10000,0)</f>
        <v>0</v>
      </c>
      <c r="W2" s="2072"/>
      <c r="X2" s="2072"/>
      <c r="Y2" s="2072"/>
      <c r="Z2" s="2072"/>
      <c r="AA2" s="2072"/>
      <c r="AB2" s="2072"/>
      <c r="AC2" s="2072"/>
      <c r="AD2" s="2073"/>
      <c r="AE2" s="2073"/>
      <c r="AF2" s="2073"/>
      <c r="AG2" s="2073"/>
      <c r="AH2" s="2073"/>
      <c r="AI2" s="2073"/>
      <c r="AJ2" s="2074"/>
    </row>
    <row r="3" spans="1:36" ht="15.75">
      <c r="A3" s="1626" t="s">
        <v>2451</v>
      </c>
      <c r="B3" s="1626">
        <f>ROUND(B2/D1,0)</f>
        <v>14321</v>
      </c>
      <c r="C3" s="2075" t="s">
        <v>2452</v>
      </c>
      <c r="D3" s="1569" t="s">
        <v>2453</v>
      </c>
      <c r="E3" s="2076" t="s">
        <v>3049</v>
      </c>
      <c r="F3" s="1571" t="s">
        <v>2454</v>
      </c>
      <c r="G3" s="2083">
        <f>项目基本情况!C15</f>
        <v>2.5</v>
      </c>
      <c r="H3" s="50" t="s">
        <v>2455</v>
      </c>
      <c r="I3" s="2084"/>
      <c r="J3" s="2078" t="s">
        <v>2456</v>
      </c>
      <c r="K3" s="3015"/>
      <c r="L3" s="2079" t="s">
        <v>2457</v>
      </c>
      <c r="M3" s="2080">
        <f>SUMPRODUCT((区片价!B29:B48=I2)*(区片价!C3:F3=E2)*(区片价!C29:F48))</f>
        <v>0</v>
      </c>
      <c r="N3" s="2081">
        <f>SUMPRODUCT((因素修正幅度!B29:B48=I2)*(因素修正幅度!C3:F3=E2)*(因素修正幅度!C29:F48))</f>
        <v>0</v>
      </c>
      <c r="O3" s="3015"/>
      <c r="P3" s="3015"/>
      <c r="Q3" s="3015"/>
      <c r="R3" s="2071">
        <v>2</v>
      </c>
      <c r="S3" s="2071">
        <f>ROUND(IF(G3&gt;1,IF(R3&lt;7,SUMPRODUCT((B93:B98=R3)*(C92:N92=G2)*(C93:N98)),SUMIF(C92:N92,G2,C100:N100)),IF(R3&lt;7,SUMPRODUCT((B102:B107=R3)*(C92:N92=G2)*(C102:N107)),SUMIF(C92:N92,G2,C109:N109))),4)</f>
        <v>1.3371999999999999</v>
      </c>
      <c r="T3" s="2071">
        <f t="shared" ref="T3:T16" si="0">ROUND($C$5*$C$18*$C$19*$C$20*S3*$C$24,0)</f>
        <v>30975</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610"/>
      <c r="B4" s="3611"/>
      <c r="C4" s="3611"/>
      <c r="D4" s="3612"/>
      <c r="E4" s="3612"/>
      <c r="F4" s="3612"/>
      <c r="G4" s="3612"/>
      <c r="H4" s="3612"/>
      <c r="I4" s="3612"/>
      <c r="J4" s="3613"/>
      <c r="K4" s="3015"/>
      <c r="L4" s="2079" t="s">
        <v>2458</v>
      </c>
      <c r="M4" s="2080">
        <f>SUMPRODUCT((区片价!B49:B75=I2)*(区片价!C3:F3=E2)*(区片价!C49:F75))</f>
        <v>17610</v>
      </c>
      <c r="N4" s="2081">
        <f>SUMPRODUCT((因素修正幅度!B49:B75=I2)*(因素修正幅度!C3:F3=E2)*(因素修正幅度!C49:F75))</f>
        <v>9.6000000000000002E-2</v>
      </c>
      <c r="O4" s="3015"/>
      <c r="P4" s="3015"/>
      <c r="Q4" s="3015"/>
      <c r="R4" s="2071">
        <v>3</v>
      </c>
      <c r="S4" s="2071">
        <f>ROUND(IF(G3&gt;1,IF(R4&lt;7,SUMPRODUCT((B93:B98=R4)*(C92:N92=G2)*(C93:N98)),SUMIF(C92:N92,G2,C100:N100)),IF(R4&lt;7,SUMPRODUCT((B102:B107=R4)*(C92:N92=G2)*(C102:N107)),SUMIF(C92:N92,G2,C109:N109))),4)</f>
        <v>1.0788</v>
      </c>
      <c r="T4" s="2071">
        <f t="shared" si="0"/>
        <v>24989</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17610</v>
      </c>
      <c r="D5" s="2086">
        <f>ROUND(C6+C16,0)</f>
        <v>17610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5"/>
      <c r="P5" s="3015"/>
      <c r="Q5" s="3015"/>
      <c r="R5" s="2071">
        <v>4</v>
      </c>
      <c r="S5" s="2071">
        <f>ROUND(IF(G3&gt;1,IF(R5&lt;7,SUMPRODUCT((B93:B98=R5)*(C92:N92=G2)*(C93:N98)),SUMIF(C92:N92,G2,C100:N100)),IF(R5&lt;7,SUMPRODUCT((B102:B107=R5)*(C92:N92=G2)*(C102:N107)),SUMIF(C92:N92,G2,C109:N109))),4)</f>
        <v>0.86560000000000004</v>
      </c>
      <c r="T5" s="2071">
        <f t="shared" si="0"/>
        <v>20051</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17610</v>
      </c>
      <c r="D6" s="2095" t="s">
        <v>2463</v>
      </c>
      <c r="E6" s="1573"/>
      <c r="F6" s="1573"/>
      <c r="G6" s="2096"/>
      <c r="H6" s="2096"/>
      <c r="I6" s="2096"/>
      <c r="J6" s="2097"/>
      <c r="K6" s="3016"/>
      <c r="L6" s="2079" t="s">
        <v>2464</v>
      </c>
      <c r="M6" s="2080">
        <f>SUMPRODUCT((区片价!B110:B157=I2)*(区片价!C3:F3=E2)*(区片价!C110:F157))</f>
        <v>0</v>
      </c>
      <c r="N6" s="2081">
        <f>SUMPRODUCT((因素修正幅度!B110:B157=I2)*(因素修正幅度!C3:F3=E2)*(因素修正幅度!C110:F157))</f>
        <v>0</v>
      </c>
      <c r="O6" s="3015"/>
      <c r="P6" s="3015"/>
      <c r="Q6" s="3015"/>
      <c r="R6" s="2071">
        <v>5</v>
      </c>
      <c r="S6" s="2071">
        <f>ROUND(IF(G3&gt;1,IF(R6&lt;7,SUMPRODUCT((B93:B98=R6)*(C92:N92=G2)*(C93:N98)),SUMIF(C92:N92,G2,C100:N100)),IF(R6&lt;7,SUMPRODUCT((B102:B107=R6)*(C92:N92=G2)*(C102:N107)),SUMIF(C92:N92,G2,C109:N109))),4)</f>
        <v>0.73709999999999998</v>
      </c>
      <c r="T6" s="2071">
        <f t="shared" si="0"/>
        <v>17074</v>
      </c>
      <c r="U6" s="2082"/>
      <c r="V6" s="2071">
        <f t="shared" si="1"/>
        <v>0</v>
      </c>
      <c r="W6" s="2072"/>
      <c r="X6" s="2072"/>
      <c r="Y6" s="2072"/>
      <c r="Z6" s="2072"/>
      <c r="AA6" s="2072"/>
      <c r="AB6" s="2072"/>
      <c r="AC6" s="2089"/>
      <c r="AD6" s="2090"/>
      <c r="AE6" s="2090"/>
      <c r="AF6" s="2090"/>
      <c r="AG6" s="2090"/>
      <c r="AH6" s="2090"/>
      <c r="AI6" s="2090"/>
      <c r="AJ6" s="2091"/>
    </row>
    <row r="7" spans="1:36" ht="24">
      <c r="A7" s="3614" t="str">
        <f>IF(E2="商业",IF(C8="不临58条商业街","",2),"")</f>
        <v/>
      </c>
      <c r="B7" s="1574" t="s">
        <v>2465</v>
      </c>
      <c r="C7" s="2098">
        <f>IF(C8="不临58条商业街",1,ROUND(1+(1.6*E8+1.2*E9+0.8*E10+0.4*E11)*C9,4))</f>
        <v>1</v>
      </c>
      <c r="D7" s="2099" t="s">
        <v>2466</v>
      </c>
      <c r="E7" s="2100"/>
      <c r="F7" s="2101"/>
      <c r="G7" s="2101"/>
      <c r="H7" s="2101"/>
      <c r="I7" s="2101"/>
      <c r="J7" s="2102"/>
      <c r="K7" s="3016"/>
      <c r="L7" s="2079" t="s">
        <v>2467</v>
      </c>
      <c r="M7" s="2080">
        <f>SUMPRODUCT((区片价!B158:B205=I2)*(区片价!C3:F3=E2)*(区片价!C158:F205))</f>
        <v>0</v>
      </c>
      <c r="N7" s="2081">
        <f>SUMPRODUCT((因素修正幅度!B158:B205=I2)*(因素修正幅度!C3:F3=E2)*(因素修正幅度!C158:F205))</f>
        <v>0</v>
      </c>
      <c r="O7" s="3015"/>
      <c r="P7" s="3015"/>
      <c r="Q7" s="3015"/>
      <c r="R7" s="2071">
        <v>6</v>
      </c>
      <c r="S7" s="2071">
        <f>ROUND(IF(G3&gt;1,IF(R7&lt;7,SUMPRODUCT((B93:B98=R7)*(C92:N92=G2)*(C93:N98)),SUMIF(C92:N92,G2,C100:N100)),IF(R7&lt;7,SUMPRODUCT((B102:B107=R7)*(C92:N92=G2)*(C102:N107)),SUMIF(C92:N92,G2,C109:N109))),4)</f>
        <v>0.6482</v>
      </c>
      <c r="T7" s="2071">
        <f t="shared" si="0"/>
        <v>15015</v>
      </c>
      <c r="U7" s="2082"/>
      <c r="V7" s="2071">
        <f t="shared" si="1"/>
        <v>0</v>
      </c>
      <c r="W7" s="2103" t="s">
        <v>2468</v>
      </c>
      <c r="X7" s="2104" t="str">
        <f>G2</f>
        <v>四级</v>
      </c>
      <c r="Y7" s="2104" t="s">
        <v>2469</v>
      </c>
      <c r="Z7" s="2105">
        <f>G3</f>
        <v>2.5</v>
      </c>
      <c r="AA7" s="2072"/>
      <c r="AB7" s="2072"/>
      <c r="AC7" s="2072"/>
      <c r="AD7" s="2073"/>
      <c r="AE7" s="2073"/>
      <c r="AF7" s="2073"/>
      <c r="AG7" s="2073"/>
      <c r="AH7" s="2073"/>
      <c r="AI7" s="2073"/>
      <c r="AJ7" s="2074"/>
    </row>
    <row r="8" spans="1:36" ht="15">
      <c r="A8" s="3615"/>
      <c r="B8" s="50" t="s">
        <v>2470</v>
      </c>
      <c r="C8" s="2106" t="s">
        <v>3051</v>
      </c>
      <c r="D8" s="65" t="s">
        <v>89</v>
      </c>
      <c r="E8" s="2107" t="e">
        <f>ROUND(C11/E7,4)</f>
        <v>#DIV/0!</v>
      </c>
      <c r="F8" s="2108" t="s">
        <v>2471</v>
      </c>
      <c r="G8" s="2109"/>
      <c r="H8" s="2109"/>
      <c r="I8" s="2109"/>
      <c r="J8" s="2110"/>
      <c r="K8" s="3015"/>
      <c r="L8" s="2079" t="s">
        <v>2472</v>
      </c>
      <c r="M8" s="2080">
        <f>SUMPRODUCT((区片价!B206:B244=I2)*(区片价!C3:F3=E2)*(区片价!C206:F244))</f>
        <v>0</v>
      </c>
      <c r="N8" s="2081">
        <f>SUMPRODUCT((因素修正幅度!B206:B244=I2)*(因素修正幅度!C3:F3=E2)*(因素修正幅度!C206:F244))</f>
        <v>0</v>
      </c>
      <c r="O8" s="3015"/>
      <c r="P8" s="3015"/>
      <c r="Q8" s="3015"/>
      <c r="R8" s="2071">
        <v>7</v>
      </c>
      <c r="S8" s="2082"/>
      <c r="T8" s="2071">
        <f t="shared" si="0"/>
        <v>0</v>
      </c>
      <c r="U8" s="2082"/>
      <c r="V8" s="2071">
        <f t="shared" si="1"/>
        <v>0</v>
      </c>
      <c r="W8" s="3608" t="s">
        <v>2473</v>
      </c>
      <c r="X8" s="3609"/>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15"/>
      <c r="B9" s="50" t="s">
        <v>2486</v>
      </c>
      <c r="C9" s="2112">
        <f>SUMIF(修正!C59:C119,C8,修正!E59:E119)</f>
        <v>0</v>
      </c>
      <c r="D9" s="50" t="s">
        <v>90</v>
      </c>
      <c r="E9" s="50" t="e">
        <f>ROUND(C11/E7,4)</f>
        <v>#DIV/0!</v>
      </c>
      <c r="F9" s="2108" t="s">
        <v>2487</v>
      </c>
      <c r="G9" s="2109"/>
      <c r="H9" s="2109"/>
      <c r="I9" s="2109"/>
      <c r="J9" s="2110"/>
      <c r="K9" s="3015"/>
      <c r="L9" s="2079" t="s">
        <v>2488</v>
      </c>
      <c r="M9" s="2080">
        <f>SUMPRODUCT((区片价!B245:B289=I2)*(区片价!C3:F3=E2)*(区片价!C245:F289))</f>
        <v>0</v>
      </c>
      <c r="N9" s="2081">
        <f>SUMPRODUCT((因素修正幅度!B245:B289=I2)*(因素修正幅度!C3:F3=E2)*(因素修正幅度!C245:F289))</f>
        <v>0</v>
      </c>
      <c r="O9" s="3015"/>
      <c r="P9" s="3015"/>
      <c r="Q9" s="3015"/>
      <c r="R9" s="2071">
        <v>8</v>
      </c>
      <c r="S9" s="2082"/>
      <c r="T9" s="2071">
        <f t="shared" si="0"/>
        <v>0</v>
      </c>
      <c r="U9" s="2082"/>
      <c r="V9" s="2071">
        <f t="shared" si="1"/>
        <v>0</v>
      </c>
      <c r="W9" s="3609" t="s">
        <v>2489</v>
      </c>
      <c r="X9" s="2113" t="s">
        <v>2490</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615"/>
      <c r="B10" s="50" t="s">
        <v>2491</v>
      </c>
      <c r="C10" s="50">
        <f>SUMIF(修正!C59:C119,C8,修正!F59:F119)</f>
        <v>0</v>
      </c>
      <c r="D10" s="50" t="s">
        <v>91</v>
      </c>
      <c r="E10" s="50" t="e">
        <f>ROUND(C11/E7,4)</f>
        <v>#DIV/0!</v>
      </c>
      <c r="F10" s="2108" t="s">
        <v>2492</v>
      </c>
      <c r="G10" s="2109"/>
      <c r="H10" s="2109"/>
      <c r="I10" s="2109"/>
      <c r="J10" s="2110"/>
      <c r="K10" s="3015"/>
      <c r="L10" s="2079" t="s">
        <v>2493</v>
      </c>
      <c r="M10" s="2080">
        <f>SUMPRODUCT((区片价!B290:B316=I2)*(区片价!C3:F3=E2)*(区片价!C290:F316))</f>
        <v>0</v>
      </c>
      <c r="N10" s="2081">
        <f>SUMPRODUCT((因素修正幅度!B290:B316=I2)*(因素修正幅度!C3:F3=E2)*(因素修正幅度!C290:F316))</f>
        <v>0</v>
      </c>
      <c r="O10" s="3015"/>
      <c r="P10" s="3015"/>
      <c r="Q10" s="3015"/>
      <c r="R10" s="2071">
        <v>9</v>
      </c>
      <c r="S10" s="2082"/>
      <c r="T10" s="2071">
        <f t="shared" si="0"/>
        <v>0</v>
      </c>
      <c r="U10" s="2082"/>
      <c r="V10" s="2071">
        <f t="shared" si="1"/>
        <v>0</v>
      </c>
      <c r="W10" s="3609"/>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15"/>
      <c r="B11" s="1575" t="s">
        <v>2494</v>
      </c>
      <c r="C11" s="1575">
        <f>C10/4</f>
        <v>0</v>
      </c>
      <c r="D11" s="1575" t="s">
        <v>92</v>
      </c>
      <c r="E11" s="1575" t="e">
        <f>ROUND(C11/E7,4)</f>
        <v>#DIV/0!</v>
      </c>
      <c r="F11" s="2117" t="s">
        <v>2495</v>
      </c>
      <c r="G11" s="2118"/>
      <c r="H11" s="2118"/>
      <c r="I11" s="2118"/>
      <c r="J11" s="2119"/>
      <c r="K11" s="3015"/>
      <c r="L11" s="2079" t="s">
        <v>2496</v>
      </c>
      <c r="M11" s="2080">
        <f>SUMPRODUCT((区片价!B317:B337=I2)*(区片价!C3:F3=E2)*(区片价!C317:F337))</f>
        <v>0</v>
      </c>
      <c r="N11" s="2081">
        <f>SUMPRODUCT((因素修正幅度!B317:B337=I2)*(因素修正幅度!C3:F3=E2)*(因素修正幅度!C317:F337))</f>
        <v>0</v>
      </c>
      <c r="O11" s="3015"/>
      <c r="P11" s="3015"/>
      <c r="Q11" s="3015"/>
      <c r="R11" s="2071">
        <v>10</v>
      </c>
      <c r="S11" s="2082"/>
      <c r="T11" s="2071">
        <f t="shared" si="0"/>
        <v>0</v>
      </c>
      <c r="U11" s="2082"/>
      <c r="V11" s="2071">
        <f t="shared" si="1"/>
        <v>0</v>
      </c>
      <c r="W11" s="3609" t="s">
        <v>2497</v>
      </c>
      <c r="X11" s="2120" t="s">
        <v>2498</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hidden="1" thickBot="1">
      <c r="A12" s="3614" t="str">
        <f>IF(E2="住宅",2,"")</f>
        <v/>
      </c>
      <c r="B12" s="1576" t="s">
        <v>2499</v>
      </c>
      <c r="C12" s="2098">
        <f>ROUND(C15*D15*E15*F15*G15*H15*I15*J15,4)</f>
        <v>1.32</v>
      </c>
      <c r="D12" s="2122" t="s">
        <v>2500</v>
      </c>
      <c r="E12" s="2123"/>
      <c r="F12" s="2123"/>
      <c r="G12" s="2123"/>
      <c r="H12" s="2123"/>
      <c r="I12" s="2123"/>
      <c r="J12" s="2124"/>
      <c r="K12" s="3015"/>
      <c r="L12" s="2125" t="s">
        <v>2501</v>
      </c>
      <c r="M12" s="2126">
        <f>SUMPRODUCT((区片价!B338:B344=I2)*(区片价!C3:F3=E2)*(区片价!C338:F344))</f>
        <v>0</v>
      </c>
      <c r="N12" s="2127">
        <f>SUMPRODUCT((因素修正幅度!B338:B344=I2)*(因素修正幅度!C3:F3=E2)*(因素修正幅度!C338:F344))</f>
        <v>0</v>
      </c>
      <c r="O12" s="3015"/>
      <c r="P12" s="3015"/>
      <c r="Q12" s="3015"/>
      <c r="R12" s="2071">
        <v>11</v>
      </c>
      <c r="S12" s="2082"/>
      <c r="T12" s="2071">
        <f t="shared" si="0"/>
        <v>0</v>
      </c>
      <c r="U12" s="2082"/>
      <c r="V12" s="2071">
        <f t="shared" si="1"/>
        <v>0</v>
      </c>
      <c r="W12" s="3609"/>
      <c r="X12" s="2128" t="s">
        <v>2502</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hidden="1">
      <c r="A13" s="3616"/>
      <c r="B13" s="1577" t="s">
        <v>2503</v>
      </c>
      <c r="C13" s="2129" t="s">
        <v>2504</v>
      </c>
      <c r="D13" s="1578" t="s">
        <v>2505</v>
      </c>
      <c r="E13" s="1578" t="s">
        <v>2506</v>
      </c>
      <c r="F13" s="264" t="s">
        <v>2507</v>
      </c>
      <c r="G13" s="2130" t="s">
        <v>2508</v>
      </c>
      <c r="H13" s="2130" t="s">
        <v>2508</v>
      </c>
      <c r="I13" s="2130" t="s">
        <v>2508</v>
      </c>
      <c r="J13" s="2131" t="s">
        <v>2508</v>
      </c>
      <c r="K13" s="3015"/>
      <c r="L13" s="3015"/>
      <c r="M13" s="3015"/>
      <c r="N13" s="3015"/>
      <c r="O13" s="3015"/>
      <c r="P13" s="3015"/>
      <c r="Q13" s="3015"/>
      <c r="R13" s="2071">
        <v>12</v>
      </c>
      <c r="S13" s="2082"/>
      <c r="T13" s="2071">
        <f t="shared" si="0"/>
        <v>0</v>
      </c>
      <c r="U13" s="2082"/>
      <c r="V13" s="2071">
        <f t="shared" si="1"/>
        <v>0</v>
      </c>
      <c r="W13" s="3609"/>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hidden="1">
      <c r="A14" s="3616"/>
      <c r="B14" s="1578"/>
      <c r="C14" s="2132" t="s">
        <v>2509</v>
      </c>
      <c r="D14" s="2133" t="s">
        <v>2510</v>
      </c>
      <c r="E14" s="2133" t="s">
        <v>2510</v>
      </c>
      <c r="F14" s="2134" t="s">
        <v>2511</v>
      </c>
      <c r="G14" s="2135" t="s">
        <v>2512</v>
      </c>
      <c r="H14" s="2136"/>
      <c r="I14" s="2137"/>
      <c r="J14" s="2138"/>
      <c r="K14" s="3015"/>
      <c r="L14" s="3015"/>
      <c r="M14" s="3015"/>
      <c r="N14" s="3015"/>
      <c r="O14" s="3015"/>
      <c r="P14" s="3015"/>
      <c r="Q14" s="3015"/>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hidden="1" thickBot="1">
      <c r="A15" s="3617"/>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5"/>
      <c r="L15" s="3015"/>
      <c r="M15" s="3015"/>
      <c r="N15" s="3015"/>
      <c r="O15" s="3015"/>
      <c r="P15" s="3015"/>
      <c r="Q15" s="3015"/>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93">
        <f>IF(E2="办公",2,IF(E2="工业",2,IF(E2="住宅",3,IF(E2="商业",IF(C8="不临58条商业街",2,3)))))</f>
        <v>2</v>
      </c>
      <c r="B16" s="1598" t="s">
        <v>2519</v>
      </c>
      <c r="C16" s="1574">
        <f>ROUND(IF(F17="与级别开发程度一致",0,(G17-E17)/C17),0)</f>
        <v>0</v>
      </c>
      <c r="D16" s="3606" t="s">
        <v>2523</v>
      </c>
      <c r="E16" s="3607"/>
      <c r="F16" s="3606" t="s">
        <v>2520</v>
      </c>
      <c r="G16" s="3607"/>
      <c r="H16" s="2142" t="s">
        <v>2990</v>
      </c>
      <c r="I16" s="2142" t="s">
        <v>2991</v>
      </c>
      <c r="J16" s="2143" t="s">
        <v>2993</v>
      </c>
      <c r="K16" s="2142" t="s">
        <v>2992</v>
      </c>
      <c r="L16" s="2142" t="s">
        <v>2994</v>
      </c>
      <c r="M16" s="2142" t="s">
        <v>2995</v>
      </c>
      <c r="N16" s="2142"/>
      <c r="O16" s="2144"/>
      <c r="P16" s="3015"/>
      <c r="Q16" s="3015"/>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594"/>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3050</v>
      </c>
      <c r="G17" s="1588">
        <f>SUM(H17:O17)</f>
        <v>210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15</v>
      </c>
      <c r="N17" s="2145">
        <f>SUMPRODUCT((七通一平=N16)*(修正!B1:M1=G2)*(修正!B6:M14))</f>
        <v>0</v>
      </c>
      <c r="O17" s="2149">
        <f>SUMPRODUCT((七通一平=O16)*(修正!B1:M1=G2)*(修正!B6:M14))</f>
        <v>0</v>
      </c>
      <c r="P17" s="3015"/>
      <c r="Q17" s="3015"/>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7"/>
      <c r="L18" s="3017"/>
      <c r="M18" s="3017"/>
      <c r="N18" s="3017"/>
      <c r="O18" s="3015"/>
      <c r="P18" s="3015"/>
      <c r="Q18" s="3015"/>
      <c r="R18" s="3015"/>
      <c r="S18" s="3015"/>
      <c r="T18" s="3015"/>
      <c r="U18" s="3015"/>
      <c r="V18" s="3015"/>
      <c r="W18" s="3015"/>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ROUND(IF(H19="按公示增长率计算",SUMPRODUCT((地价!A3:A36=YEAR(G19)&amp;"-"&amp;ROUNDUP(MONTH(G19)/3,0))*(地价!X2:AB2=E2)*(地价!X3:AB36)),IF(H19="地价指数",M20/M19,(1+I19)^O19)),4)</f>
        <v>1.3644000000000001</v>
      </c>
      <c r="D19" s="2157" t="s">
        <v>2529</v>
      </c>
      <c r="E19" s="2158">
        <v>41640</v>
      </c>
      <c r="F19" s="2157" t="s">
        <v>2530</v>
      </c>
      <c r="G19" s="2159">
        <f>'数据-取费表'!B2</f>
        <v>44554</v>
      </c>
      <c r="H19" s="2160" t="s">
        <v>2666</v>
      </c>
      <c r="I19" s="2161" t="str">
        <f>IF(H19="季度增幅（自定义）",SUMIF(N21:N24,E2,O21:O24),"")</f>
        <v/>
      </c>
      <c r="J19" s="2162"/>
      <c r="K19" s="3017"/>
      <c r="L19" s="2043" t="s">
        <v>2531</v>
      </c>
      <c r="M19" s="2163">
        <f>ROUND(SUMIF(地价!B2:F2,E2,地价!B36:F36),0)</f>
        <v>258</v>
      </c>
      <c r="N19" s="2164" t="s">
        <v>2532</v>
      </c>
      <c r="O19" s="2165">
        <f>ROUNDDOWN(DATEDIF(E19,G19,"M")/3,0)</f>
        <v>31</v>
      </c>
      <c r="P19" s="3015"/>
      <c r="Q19" s="3017"/>
      <c r="R19" s="3015"/>
      <c r="S19" s="3015"/>
      <c r="T19" s="3015"/>
      <c r="U19" s="3015"/>
      <c r="V19" s="3015"/>
      <c r="W19" s="3015"/>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0.91590000000000005</v>
      </c>
      <c r="D20" s="2169" t="s">
        <v>2535</v>
      </c>
      <c r="E20" s="3120">
        <f>存贷款利率!E18/100</f>
        <v>4.3499999999999997E-2</v>
      </c>
      <c r="F20" s="2169" t="s">
        <v>2524</v>
      </c>
      <c r="G20" s="3121">
        <f>SUMIF(M26:P26,E2,M28:P28)</f>
        <v>5.3999999999999999E-2</v>
      </c>
      <c r="H20" s="2169" t="s">
        <v>2536</v>
      </c>
      <c r="I20" s="2170">
        <f>'数据-取费表'!B13</f>
        <v>31</v>
      </c>
      <c r="J20" s="2171">
        <f>IF(E2="住宅",70,IF(E2="商业",40,50))</f>
        <v>40</v>
      </c>
      <c r="K20" s="3017"/>
      <c r="L20" s="2172" t="s">
        <v>2537</v>
      </c>
      <c r="M20" s="2173">
        <f>ROUND(SUMPRODUCT((地价!A4:A36=YEAR(G19)&amp;"-"&amp;ROUNDUP(MONTH(G19)/3,0))*(地价!B2:F2=E2)*(地价!B4:F36)),0)</f>
        <v>352</v>
      </c>
      <c r="N20" s="2174" t="s">
        <v>2538</v>
      </c>
      <c r="O20" s="2175" t="s">
        <v>2539</v>
      </c>
      <c r="P20" s="2176" t="s">
        <v>2540</v>
      </c>
      <c r="Q20" s="3017"/>
      <c r="R20" s="3015"/>
      <c r="S20" s="3015"/>
      <c r="T20" s="3015"/>
      <c r="U20" s="3015"/>
      <c r="V20" s="3015"/>
      <c r="W20" s="3015"/>
      <c r="X20" s="1590"/>
      <c r="Y20" s="1590"/>
      <c r="Z20" s="1590"/>
      <c r="AA20" s="1590"/>
      <c r="AB20" s="1590"/>
      <c r="AC20" s="1590"/>
      <c r="AD20" s="1590"/>
      <c r="AE20" s="2155"/>
      <c r="AF20" s="2155"/>
    </row>
    <row r="21" spans="1:35" s="2092" customFormat="1" ht="14.25">
      <c r="A21" s="2177" t="s">
        <v>2541</v>
      </c>
      <c r="B21" s="1582" t="s">
        <v>2542</v>
      </c>
      <c r="C21" s="2178">
        <f>IF(B21="容积率修正",IF(G3&lt;=10,D22,J22),C23)</f>
        <v>1</v>
      </c>
      <c r="D21" s="2179"/>
      <c r="E21" s="2179"/>
      <c r="F21" s="2179"/>
      <c r="G21" s="2179"/>
      <c r="H21" s="2179"/>
      <c r="I21" s="2179"/>
      <c r="J21" s="2044"/>
      <c r="K21" s="3017"/>
      <c r="L21" s="3017"/>
      <c r="M21" s="3017"/>
      <c r="N21" s="2180" t="s">
        <v>2543</v>
      </c>
      <c r="O21" s="2181"/>
      <c r="P21" s="2182">
        <f>SUMPRODUCT((地价!A3:A36=YEAR(G19)&amp;"-"&amp;ROUNDUP(MONTH(G19)/3,0))*(地价!AD2:AH2=N21)*(地价!AD3:AH36))</f>
        <v>1.0500000000000001E-2</v>
      </c>
      <c r="Q21" s="3017"/>
      <c r="R21" s="3015"/>
      <c r="S21" s="3015"/>
      <c r="T21" s="3015"/>
      <c r="U21" s="3015"/>
      <c r="V21" s="3015"/>
      <c r="W21" s="3015"/>
      <c r="X21" s="1590"/>
      <c r="Y21" s="1590"/>
      <c r="Z21" s="1590"/>
      <c r="AA21" s="1590"/>
      <c r="AB21" s="1590"/>
      <c r="AC21" s="1590"/>
      <c r="AD21" s="1590"/>
      <c r="AE21" s="2155"/>
      <c r="AF21" s="2155"/>
    </row>
    <row r="22" spans="1:35" s="2092" customFormat="1" ht="14.25">
      <c r="A22" s="2040">
        <v>1</v>
      </c>
      <c r="B22" s="2039" t="s">
        <v>2544</v>
      </c>
      <c r="C22" s="2039" t="s">
        <v>2545</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7"/>
      <c r="L22" s="3017"/>
      <c r="M22" s="3017"/>
      <c r="N22" s="2180" t="s">
        <v>2546</v>
      </c>
      <c r="O22" s="2181"/>
      <c r="P22" s="2182">
        <f>SUMPRODUCT((地价!A3:A36=YEAR(G19)&amp;"-"&amp;ROUNDUP(MONTH(G19)/3,0))*(地价!AD2:AH2=N22)*(地价!AD3:AH36))</f>
        <v>1.0500000000000001E-2</v>
      </c>
      <c r="Q22" s="3017"/>
      <c r="R22" s="3015"/>
      <c r="S22" s="3015"/>
      <c r="T22" s="3015"/>
      <c r="U22" s="3015"/>
      <c r="V22" s="3015"/>
      <c r="W22" s="3015"/>
      <c r="X22" s="1590"/>
      <c r="Y22" s="1590"/>
      <c r="Z22" s="1590"/>
      <c r="AA22" s="1590"/>
      <c r="AB22" s="1590"/>
      <c r="AC22" s="1590"/>
      <c r="AD22" s="1590"/>
      <c r="AE22" s="2155"/>
      <c r="AF22" s="2155"/>
    </row>
    <row r="23" spans="1:35" ht="27">
      <c r="A23" s="2040">
        <v>2</v>
      </c>
      <c r="B23" s="2039" t="s">
        <v>2547</v>
      </c>
      <c r="C23" s="2184">
        <f>ROUND(IF(G3&gt;1,IF(I3&lt;7,SUMPRODUCT((B93:B98=I3)*(C92:N92=G2)*(C93:N98)),SUMIF(C92:N92,G2,C100:N100)),IF(I3&lt;7,SUMPRODUCT((B102:B107=I3)*(C92:N92=G2)*(C102:N107)),SUMIF(C92:N92,G2,C109:N109))),4)</f>
        <v>0</v>
      </c>
      <c r="D23" s="2136"/>
      <c r="E23" s="2136"/>
      <c r="F23" s="2185"/>
      <c r="G23" s="2186"/>
      <c r="H23" s="1587"/>
      <c r="I23" s="2039"/>
      <c r="J23" s="2183"/>
      <c r="K23" s="3015"/>
      <c r="L23" s="3015"/>
      <c r="M23" s="3015"/>
      <c r="N23" s="2180" t="s">
        <v>2548</v>
      </c>
      <c r="O23" s="2181"/>
      <c r="P23" s="2182">
        <f>SUMPRODUCT((地价!A3:A36=YEAR(G19)&amp;"-"&amp;ROUNDUP(MONTH(G19)/3,0))*(地价!AD2:AH2=N23)*(地价!AD3:AH36))</f>
        <v>1.83E-2</v>
      </c>
      <c r="Q23" s="3015"/>
      <c r="R23" s="3015"/>
      <c r="S23" s="3015"/>
      <c r="T23" s="3015"/>
      <c r="U23" s="3015"/>
      <c r="V23" s="3015"/>
      <c r="W23" s="3015"/>
      <c r="X23" s="1590"/>
      <c r="Y23" s="1590"/>
      <c r="Z23" s="1590"/>
      <c r="AA23" s="1590"/>
      <c r="AB23" s="1590"/>
      <c r="AC23" s="1590"/>
      <c r="AD23" s="1590"/>
      <c r="AE23" s="1590"/>
      <c r="AF23" s="1590"/>
    </row>
    <row r="24" spans="1:35" s="2092" customFormat="1" ht="15.75" thickBot="1">
      <c r="A24" s="2187" t="s">
        <v>2549</v>
      </c>
      <c r="B24" s="1584" t="s">
        <v>2550</v>
      </c>
      <c r="C24" s="2188">
        <f>SUMIF(A46:A88,E2,B46:B88)</f>
        <v>1.0526</v>
      </c>
      <c r="D24" s="2189"/>
      <c r="E24" s="2190"/>
      <c r="F24" s="2190"/>
      <c r="G24" s="2190"/>
      <c r="H24" s="2190"/>
      <c r="I24" s="2190"/>
      <c r="J24" s="2191"/>
      <c r="K24" s="3017"/>
      <c r="L24" s="3017"/>
      <c r="M24" s="3017"/>
      <c r="N24" s="2192" t="s">
        <v>2551</v>
      </c>
      <c r="O24" s="2193"/>
      <c r="P24" s="2194">
        <f>SUMPRODUCT((地价!A3:A36=YEAR(G19)&amp;"-"&amp;ROUNDUP(MONTH(G19)/3,0))*(地价!AD2:AH2=N24)*(地价!AD3:AH36))</f>
        <v>1.2200000000000001E-2</v>
      </c>
      <c r="Q24" s="3017"/>
      <c r="R24" s="3015"/>
      <c r="S24" s="3015"/>
      <c r="T24" s="3015"/>
      <c r="U24" s="3015"/>
      <c r="V24" s="3015"/>
      <c r="W24" s="3015"/>
      <c r="X24" s="1590"/>
      <c r="Y24" s="1590"/>
      <c r="Z24" s="1590"/>
      <c r="AA24" s="1590"/>
      <c r="AB24" s="1590"/>
      <c r="AC24" s="1590"/>
      <c r="AD24" s="1590"/>
      <c r="AE24" s="2155"/>
      <c r="AF24" s="2155"/>
    </row>
    <row r="25" spans="1:35" ht="15" thickBot="1">
      <c r="A25" s="1685" t="s">
        <v>2552</v>
      </c>
      <c r="B25" s="1585" t="s">
        <v>2553</v>
      </c>
      <c r="C25" s="2195"/>
      <c r="D25" s="2101"/>
      <c r="E25" s="2101"/>
      <c r="F25" s="2196"/>
      <c r="G25" s="2101"/>
      <c r="H25" s="2101"/>
      <c r="I25" s="2101"/>
      <c r="J25" s="2102"/>
      <c r="K25" s="3015"/>
      <c r="L25" s="3015"/>
      <c r="M25" s="3015"/>
      <c r="N25" s="3018" t="s">
        <v>2554</v>
      </c>
      <c r="O25" s="3019"/>
      <c r="P25" s="3020">
        <f>SUMPRODUCT((地价!A3:A36=YEAR(G19)&amp;"-"&amp;ROUNDUP(MONTH(G19)/3,0))*(地价!AD2:AH2=N25)*(地价!AD3:AH36))</f>
        <v>1.66E-2</v>
      </c>
      <c r="Q25" s="3015"/>
      <c r="R25" s="3015"/>
      <c r="S25" s="3015"/>
      <c r="T25" s="3015"/>
      <c r="U25" s="3015"/>
      <c r="V25" s="3015"/>
      <c r="W25" s="3015"/>
      <c r="X25" s="1590"/>
      <c r="Y25" s="1590"/>
      <c r="Z25" s="1590"/>
      <c r="AA25" s="1590"/>
      <c r="AB25" s="1590"/>
      <c r="AC25" s="1590"/>
      <c r="AD25" s="1590"/>
      <c r="AE25" s="1590"/>
      <c r="AF25" s="1590"/>
    </row>
    <row r="26" spans="1:35" ht="15">
      <c r="A26" s="1670"/>
      <c r="B26" s="2039" t="s">
        <v>2555</v>
      </c>
      <c r="C26" s="2855">
        <f>IF(B21="容积率修正",E29+SUM(E33:E39),SUM(V2:V16)+SUM(E33:E39))</f>
        <v>5196413</v>
      </c>
      <c r="D26" s="2197"/>
      <c r="E26" s="2136"/>
      <c r="F26" s="1445"/>
      <c r="G26" s="2136"/>
      <c r="H26" s="2136"/>
      <c r="I26" s="2136"/>
      <c r="J26" s="2198"/>
      <c r="K26" s="3015"/>
      <c r="L26" s="3021" t="s">
        <v>2514</v>
      </c>
      <c r="M26" s="2099" t="s">
        <v>2515</v>
      </c>
      <c r="N26" s="2099" t="s">
        <v>2516</v>
      </c>
      <c r="O26" s="2099" t="s">
        <v>2517</v>
      </c>
      <c r="P26" s="3022" t="s">
        <v>2518</v>
      </c>
      <c r="Q26" s="3015"/>
      <c r="R26" s="3015"/>
      <c r="S26" s="3015"/>
      <c r="T26" s="3015"/>
      <c r="U26" s="3015"/>
      <c r="V26" s="3015"/>
      <c r="W26" s="3015"/>
      <c r="X26" s="1590"/>
      <c r="Y26" s="1590"/>
      <c r="Z26" s="1590"/>
      <c r="AA26" s="1590"/>
      <c r="AB26" s="1590"/>
      <c r="AC26" s="1590"/>
      <c r="AD26" s="1590"/>
      <c r="AE26" s="1590"/>
      <c r="AF26" s="1590"/>
    </row>
    <row r="27" spans="1:35" ht="15.75" thickBot="1">
      <c r="A27" s="1670"/>
      <c r="B27" s="1586" t="s">
        <v>2556</v>
      </c>
      <c r="C27" s="2199">
        <f>E30+SUM(I33:I39)</f>
        <v>248545</v>
      </c>
      <c r="D27" s="2148"/>
      <c r="E27" s="2200"/>
      <c r="F27" s="2201"/>
      <c r="G27" s="2200"/>
      <c r="H27" s="2200"/>
      <c r="I27" s="2200"/>
      <c r="J27" s="2202"/>
      <c r="K27" s="3015"/>
      <c r="L27" s="2203" t="s">
        <v>2521</v>
      </c>
      <c r="M27" s="2112">
        <v>0.25</v>
      </c>
      <c r="N27" s="2112">
        <v>0.2</v>
      </c>
      <c r="O27" s="2112">
        <v>0.15</v>
      </c>
      <c r="P27" s="2204">
        <v>0.1</v>
      </c>
      <c r="Q27" s="3015"/>
      <c r="R27" s="3015"/>
      <c r="S27" s="3015"/>
      <c r="T27" s="3015"/>
      <c r="U27" s="3015"/>
      <c r="V27" s="3015"/>
      <c r="W27" s="3015"/>
      <c r="X27" s="1590"/>
      <c r="Y27" s="1590"/>
      <c r="Z27" s="1590"/>
      <c r="AA27" s="1590"/>
      <c r="AB27" s="1590"/>
      <c r="AC27" s="1590"/>
      <c r="AD27" s="1590"/>
      <c r="AE27" s="1590"/>
      <c r="AF27" s="1590"/>
    </row>
    <row r="28" spans="1:35" ht="15.75" thickBot="1">
      <c r="A28" s="1685"/>
      <c r="B28" s="2205" t="s">
        <v>2557</v>
      </c>
      <c r="C28" s="2206" t="s">
        <v>2558</v>
      </c>
      <c r="D28" s="2206" t="s">
        <v>2559</v>
      </c>
      <c r="E28" s="1585" t="s">
        <v>2560</v>
      </c>
      <c r="F28" s="2207"/>
      <c r="G28" s="2123"/>
      <c r="H28" s="2123"/>
      <c r="I28" s="2123"/>
      <c r="J28" s="2124"/>
      <c r="K28" s="3015"/>
      <c r="L28" s="2208" t="s">
        <v>2524</v>
      </c>
      <c r="M28" s="2209">
        <f>ROUND($E$20*(1+M27),3)</f>
        <v>5.3999999999999999E-2</v>
      </c>
      <c r="N28" s="2209">
        <f>ROUND($E$20*(1+N27),3)</f>
        <v>5.1999999999999998E-2</v>
      </c>
      <c r="O28" s="2209">
        <f>ROUND($E$20*(1+O27),3)</f>
        <v>0.05</v>
      </c>
      <c r="P28" s="2127">
        <f>ROUND($E$20*(1+P27),3)</f>
        <v>4.8000000000000001E-2</v>
      </c>
      <c r="Q28" s="3015"/>
      <c r="R28" s="3015"/>
      <c r="S28" s="3015"/>
      <c r="T28" s="3015"/>
      <c r="U28" s="3015"/>
      <c r="V28" s="3015"/>
      <c r="W28" s="3015"/>
      <c r="X28" s="1590"/>
      <c r="Y28" s="1590"/>
      <c r="Z28" s="1590"/>
      <c r="AA28" s="1590"/>
      <c r="AB28" s="1590"/>
      <c r="AC28" s="1590"/>
      <c r="AD28" s="1590"/>
      <c r="AE28" s="1590"/>
      <c r="AF28" s="1590"/>
    </row>
    <row r="29" spans="1:35">
      <c r="A29" s="2210"/>
      <c r="B29" s="1587" t="s">
        <v>2561</v>
      </c>
      <c r="C29" s="54">
        <f>ROUND(C5*C18*C19*C20*C21*C24,0)</f>
        <v>23164</v>
      </c>
      <c r="D29" s="2211">
        <f>项目基本情况!C12/2</f>
        <v>181.42</v>
      </c>
      <c r="E29" s="1998">
        <f>ROUND(C29*D29,0)</f>
        <v>4202413</v>
      </c>
      <c r="F29" s="2212" t="s">
        <v>2562</v>
      </c>
      <c r="G29" s="2213"/>
      <c r="H29" s="2213"/>
      <c r="I29" s="2213"/>
      <c r="J29" s="2214"/>
      <c r="K29" s="3015"/>
      <c r="L29" s="3015"/>
      <c r="M29" s="3015"/>
      <c r="N29" s="3015"/>
      <c r="O29" s="3015"/>
      <c r="P29" s="3015"/>
      <c r="Q29" s="3015"/>
      <c r="R29" s="3015"/>
      <c r="S29" s="3015"/>
      <c r="T29" s="3015"/>
      <c r="U29" s="3015"/>
      <c r="V29" s="3015"/>
      <c r="W29" s="3015"/>
      <c r="X29" s="1590"/>
      <c r="Y29" s="1590"/>
      <c r="Z29" s="1590"/>
      <c r="AA29" s="1590"/>
      <c r="AB29" s="1590"/>
      <c r="AC29" s="1590"/>
      <c r="AD29" s="1590"/>
      <c r="AE29" s="1590"/>
      <c r="AF29" s="1590"/>
    </row>
    <row r="30" spans="1:35" ht="25.5" thickBot="1">
      <c r="A30" s="2215"/>
      <c r="B30" s="1588" t="s">
        <v>2563</v>
      </c>
      <c r="C30" s="2139">
        <f>ROUND(IF(E2="工业",C29*M39,C29*M38),0)</f>
        <v>5791</v>
      </c>
      <c r="D30" s="2216"/>
      <c r="E30" s="1998">
        <f>ROUND(C30*D30,0)</f>
        <v>0</v>
      </c>
      <c r="F30" s="2217" t="s">
        <v>2564</v>
      </c>
      <c r="G30" s="2218"/>
      <c r="H30" s="2218"/>
      <c r="I30" s="2218"/>
      <c r="J30" s="2219"/>
      <c r="K30" s="3015"/>
      <c r="L30" s="3015"/>
      <c r="M30" s="3015"/>
      <c r="N30" s="3015"/>
      <c r="O30" s="3015"/>
      <c r="P30" s="3015"/>
      <c r="Q30" s="3015"/>
      <c r="R30" s="3015"/>
      <c r="S30" s="3015"/>
      <c r="T30" s="3015"/>
      <c r="U30" s="3015"/>
      <c r="V30" s="3015"/>
      <c r="W30" s="3015"/>
      <c r="X30" s="1590"/>
      <c r="Y30" s="1590"/>
      <c r="Z30" s="1590"/>
      <c r="AA30" s="1590"/>
      <c r="AB30" s="1590"/>
      <c r="AC30" s="1590"/>
      <c r="AD30" s="1590"/>
      <c r="AE30" s="1590"/>
      <c r="AF30" s="1590"/>
    </row>
    <row r="31" spans="1:35">
      <c r="A31" s="2220"/>
      <c r="B31" s="1589" t="s">
        <v>2565</v>
      </c>
      <c r="C31" s="2221" t="s">
        <v>2566</v>
      </c>
      <c r="D31" s="2123"/>
      <c r="E31" s="2221"/>
      <c r="F31" s="2221"/>
      <c r="G31" s="2122" t="s">
        <v>2567</v>
      </c>
      <c r="H31" s="2123"/>
      <c r="I31" s="2222"/>
      <c r="J31" s="2124"/>
      <c r="K31" s="3015"/>
      <c r="L31" s="3015"/>
      <c r="M31" s="3015"/>
      <c r="N31" s="3015"/>
      <c r="O31" s="3015"/>
      <c r="P31" s="3015"/>
      <c r="Q31" s="3015"/>
      <c r="R31" s="3015"/>
      <c r="S31" s="3015"/>
      <c r="T31" s="3015"/>
      <c r="U31" s="3015"/>
      <c r="V31" s="3015"/>
      <c r="W31" s="3015"/>
      <c r="X31" s="1590"/>
      <c r="Y31" s="1590"/>
      <c r="Z31" s="1590"/>
      <c r="AA31" s="1590"/>
      <c r="AB31" s="1590"/>
      <c r="AC31" s="1590"/>
      <c r="AD31" s="1590"/>
      <c r="AE31" s="1590"/>
      <c r="AF31" s="1590"/>
    </row>
    <row r="32" spans="1:35" ht="24">
      <c r="A32" s="2210"/>
      <c r="B32" s="2223"/>
      <c r="C32" s="1778" t="s">
        <v>2558</v>
      </c>
      <c r="D32" s="1775" t="s">
        <v>2559</v>
      </c>
      <c r="E32" s="1775" t="s">
        <v>2560</v>
      </c>
      <c r="F32" s="50" t="s">
        <v>2568</v>
      </c>
      <c r="G32" s="2184" t="s">
        <v>2558</v>
      </c>
      <c r="H32" s="2184" t="s">
        <v>2559</v>
      </c>
      <c r="I32" s="2184" t="s">
        <v>2560</v>
      </c>
      <c r="J32" s="2036"/>
      <c r="K32" s="3015"/>
      <c r="L32" s="3015"/>
      <c r="M32" s="3015"/>
      <c r="N32" s="3015"/>
      <c r="O32" s="3015"/>
      <c r="P32" s="3015"/>
      <c r="Q32" s="3015"/>
      <c r="R32" s="3015"/>
      <c r="S32" s="3015"/>
      <c r="T32" s="3015"/>
      <c r="U32" s="3015"/>
      <c r="V32" s="3015"/>
      <c r="W32" s="3015"/>
      <c r="X32" s="1590"/>
      <c r="Y32" s="1590"/>
      <c r="Z32" s="1590"/>
      <c r="AA32" s="1590"/>
      <c r="AB32" s="1590"/>
      <c r="AC32" s="1590"/>
      <c r="AD32" s="1590"/>
      <c r="AE32" s="1590"/>
      <c r="AF32" s="1590"/>
    </row>
    <row r="33" spans="1:33">
      <c r="A33" s="3603" t="s">
        <v>2569</v>
      </c>
      <c r="B33" s="2224" t="s">
        <v>2570</v>
      </c>
      <c r="C33" s="54">
        <f>ROUND(D5*C19*C20*C24*F33,0)</f>
        <v>16215</v>
      </c>
      <c r="D33" s="2211"/>
      <c r="E33" s="50">
        <f t="shared" ref="E33:E39" si="6">ROUND(C33*D33,0)</f>
        <v>0</v>
      </c>
      <c r="F33" s="50">
        <f>SUMIF(修正!A45:A56,G2,修正!B45:B56)</f>
        <v>0.7</v>
      </c>
      <c r="G33" s="50">
        <f t="shared" ref="G33" si="7">ROUND(IF(E2="工业",C33*$M$39,C33*$M$38),0)</f>
        <v>4054</v>
      </c>
      <c r="H33" s="50">
        <f>D33</f>
        <v>0</v>
      </c>
      <c r="I33" s="50">
        <f t="shared" ref="I33:I39" si="8">ROUND(G33*H33,0)</f>
        <v>0</v>
      </c>
      <c r="J33" s="2198"/>
      <c r="K33" s="3015"/>
      <c r="L33" s="3015"/>
      <c r="M33" s="3015"/>
      <c r="N33" s="3015"/>
      <c r="O33" s="3015"/>
      <c r="P33" s="3015"/>
      <c r="Q33" s="3015"/>
      <c r="R33" s="3015"/>
      <c r="S33" s="3015"/>
      <c r="T33" s="3015"/>
      <c r="U33" s="3015"/>
      <c r="V33" s="3015"/>
      <c r="W33" s="3015"/>
      <c r="X33" s="1590"/>
      <c r="Y33" s="1590"/>
      <c r="Z33" s="1590"/>
      <c r="AA33" s="1590"/>
      <c r="AB33" s="1590"/>
      <c r="AC33" s="1590"/>
      <c r="AD33" s="1590"/>
      <c r="AE33" s="1590"/>
      <c r="AF33" s="1590"/>
    </row>
    <row r="34" spans="1:33">
      <c r="A34" s="3604"/>
      <c r="B34" s="2129" t="s">
        <v>2571</v>
      </c>
      <c r="C34" s="54">
        <f>ROUND(D5*C19*C20*C24*F34,0)</f>
        <v>9266</v>
      </c>
      <c r="D34" s="2211"/>
      <c r="E34" s="50">
        <f t="shared" si="6"/>
        <v>0</v>
      </c>
      <c r="F34" s="50">
        <f>SUMIF(修正!A45:A56,G2,修正!C45:C56)</f>
        <v>0.4</v>
      </c>
      <c r="G34" s="50">
        <f>ROUND(IF(E2="工业",C34*$M$39,C34*$M$38),0)</f>
        <v>2317</v>
      </c>
      <c r="H34" s="50">
        <f t="shared" ref="H34:H39" si="9">D34</f>
        <v>0</v>
      </c>
      <c r="I34" s="50">
        <f t="shared" si="8"/>
        <v>0</v>
      </c>
      <c r="J34" s="2198"/>
      <c r="K34" s="3015"/>
      <c r="L34" s="3015"/>
      <c r="M34" s="3015"/>
      <c r="N34" s="3015"/>
      <c r="O34" s="3015"/>
      <c r="P34" s="3015"/>
      <c r="Q34" s="3015"/>
      <c r="R34" s="3015"/>
      <c r="S34" s="3015"/>
      <c r="T34" s="3015"/>
      <c r="U34" s="3015"/>
      <c r="V34" s="3015"/>
      <c r="W34" s="3015"/>
      <c r="X34" s="1590"/>
      <c r="Y34" s="1590"/>
      <c r="Z34" s="1590"/>
      <c r="AA34" s="1590"/>
      <c r="AB34" s="1590"/>
      <c r="AC34" s="1590"/>
      <c r="AD34" s="1590"/>
      <c r="AE34" s="1590"/>
      <c r="AF34" s="1590"/>
    </row>
    <row r="35" spans="1:33">
      <c r="A35" s="3604"/>
      <c r="B35" s="2129" t="s">
        <v>2572</v>
      </c>
      <c r="C35" s="54">
        <f>ROUND(D5*C19*C20*C24*F35,0)</f>
        <v>6486</v>
      </c>
      <c r="D35" s="2211"/>
      <c r="E35" s="50">
        <f t="shared" si="6"/>
        <v>0</v>
      </c>
      <c r="F35" s="50">
        <f>SUMIF(修正!A45:A56,G2,修正!D45:D56)</f>
        <v>0.28000000000000003</v>
      </c>
      <c r="G35" s="50">
        <f>ROUND(IF(E2="工业",C35*$M$39,C35*$M$38),0)</f>
        <v>1622</v>
      </c>
      <c r="H35" s="50">
        <f t="shared" si="9"/>
        <v>0</v>
      </c>
      <c r="I35" s="50">
        <f t="shared" si="8"/>
        <v>0</v>
      </c>
      <c r="J35" s="2198"/>
      <c r="K35" s="3015"/>
      <c r="L35" s="3015"/>
      <c r="M35" s="3015"/>
      <c r="N35" s="3015"/>
      <c r="O35" s="3015"/>
      <c r="P35" s="3015"/>
      <c r="Q35" s="3015"/>
      <c r="R35" s="3015"/>
      <c r="S35" s="3015"/>
      <c r="T35" s="3015"/>
      <c r="U35" s="3015"/>
      <c r="V35" s="3015"/>
      <c r="W35" s="3015"/>
      <c r="X35" s="1590"/>
      <c r="Y35" s="1590"/>
      <c r="Z35" s="1590"/>
      <c r="AA35" s="1590"/>
      <c r="AB35" s="1590"/>
      <c r="AC35" s="1590"/>
      <c r="AD35" s="1590"/>
      <c r="AE35" s="1590"/>
      <c r="AF35" s="1590"/>
    </row>
    <row r="36" spans="1:33" ht="13.5" thickBot="1">
      <c r="A36" s="3605"/>
      <c r="B36" s="2129" t="s">
        <v>2573</v>
      </c>
      <c r="C36" s="54">
        <f>ROUND(D5*C19*C20*C24*F36,0)</f>
        <v>5791</v>
      </c>
      <c r="D36" s="2211"/>
      <c r="E36" s="50">
        <f t="shared" si="6"/>
        <v>0</v>
      </c>
      <c r="F36" s="50">
        <f>SUMIF(修正!A45:A56,G2,修正!E45:E56)</f>
        <v>0.25</v>
      </c>
      <c r="G36" s="50">
        <f>ROUND(IF(E2="工业",C36*$M$39,C36*$M$38),0)</f>
        <v>1448</v>
      </c>
      <c r="H36" s="50">
        <f t="shared" si="9"/>
        <v>0</v>
      </c>
      <c r="I36" s="50">
        <f t="shared" si="8"/>
        <v>0</v>
      </c>
      <c r="J36" s="2198"/>
      <c r="K36" s="3015"/>
      <c r="L36" s="3015"/>
      <c r="M36" s="3015"/>
      <c r="N36" s="3015"/>
      <c r="O36" s="3015"/>
      <c r="P36" s="3015"/>
      <c r="Q36" s="3015"/>
      <c r="R36" s="3015"/>
      <c r="S36" s="3015"/>
      <c r="T36" s="3015"/>
      <c r="U36" s="3015"/>
      <c r="V36" s="3015"/>
      <c r="W36" s="3015"/>
      <c r="X36" s="1590"/>
      <c r="Y36" s="1590"/>
      <c r="Z36" s="1590"/>
      <c r="AA36" s="1590"/>
      <c r="AB36" s="1590"/>
      <c r="AC36" s="1590"/>
      <c r="AD36" s="1590"/>
      <c r="AE36" s="1590"/>
      <c r="AF36" s="1590"/>
    </row>
    <row r="37" spans="1:33">
      <c r="A37" s="2225"/>
      <c r="B37" s="2129" t="s">
        <v>2574</v>
      </c>
      <c r="C37" s="50">
        <f>ROUND(D5*C19*C20*C24*F37,0)</f>
        <v>5791</v>
      </c>
      <c r="D37" s="2211"/>
      <c r="E37" s="50">
        <f t="shared" si="6"/>
        <v>0</v>
      </c>
      <c r="F37" s="54">
        <f>SUMIF(修正!A45:A56,G2,修正!F45:F56)</f>
        <v>0.25</v>
      </c>
      <c r="G37" s="50">
        <f>ROUND(IF(E2="工业",C37*$M$39,C37*$M$38),0)</f>
        <v>1448</v>
      </c>
      <c r="H37" s="50">
        <f t="shared" si="9"/>
        <v>0</v>
      </c>
      <c r="I37" s="50">
        <f t="shared" si="8"/>
        <v>0</v>
      </c>
      <c r="J37" s="2198"/>
      <c r="K37" s="3015"/>
      <c r="L37" s="2226" t="s">
        <v>2575</v>
      </c>
      <c r="M37" s="2102"/>
      <c r="N37" s="3015"/>
      <c r="O37" s="3015"/>
      <c r="P37" s="3015"/>
      <c r="Q37" s="3015"/>
      <c r="R37" s="3015"/>
      <c r="S37" s="3015"/>
      <c r="T37" s="3015"/>
      <c r="U37" s="3015"/>
      <c r="V37" s="3015"/>
      <c r="W37" s="3015"/>
      <c r="X37" s="1590"/>
      <c r="Y37" s="1590"/>
      <c r="Z37" s="1590"/>
      <c r="AA37" s="1590"/>
      <c r="AB37" s="1590"/>
      <c r="AC37" s="1590"/>
      <c r="AD37" s="1590"/>
      <c r="AE37" s="1590"/>
      <c r="AF37" s="1590"/>
    </row>
    <row r="38" spans="1:33">
      <c r="A38" s="2225"/>
      <c r="B38" s="2129" t="s">
        <v>2576</v>
      </c>
      <c r="C38" s="50">
        <f>ROUND(D5*C19*C41*C24*F38,0)</f>
        <v>5479</v>
      </c>
      <c r="D38" s="2211">
        <f>项目基本情况!C12/2</f>
        <v>181.42</v>
      </c>
      <c r="E38" s="50">
        <f t="shared" si="6"/>
        <v>994000</v>
      </c>
      <c r="F38" s="54">
        <f>SUMIF(修正!A45:A56,G2,修正!G45:G56)</f>
        <v>0.25</v>
      </c>
      <c r="G38" s="50">
        <f>ROUND(IF(E2="工业",C38*$M$39,C38*$M$38),0)</f>
        <v>1370</v>
      </c>
      <c r="H38" s="50">
        <f t="shared" si="9"/>
        <v>181.42</v>
      </c>
      <c r="I38" s="50">
        <f t="shared" si="8"/>
        <v>248545</v>
      </c>
      <c r="J38" s="2198"/>
      <c r="K38" s="3015"/>
      <c r="L38" s="2227" t="s">
        <v>2577</v>
      </c>
      <c r="M38" s="2228">
        <v>0.25</v>
      </c>
      <c r="N38" s="3015"/>
      <c r="O38" s="3015"/>
      <c r="P38" s="3015"/>
      <c r="Q38" s="3015"/>
      <c r="R38" s="3015"/>
      <c r="S38" s="3015"/>
      <c r="T38" s="3015"/>
      <c r="U38" s="3015"/>
      <c r="V38" s="3015"/>
      <c r="W38" s="3015"/>
      <c r="X38" s="1590"/>
      <c r="Y38" s="1590"/>
      <c r="Z38" s="1590"/>
      <c r="AA38" s="1590"/>
      <c r="AB38" s="1590"/>
      <c r="AC38" s="1590"/>
      <c r="AD38" s="1590"/>
      <c r="AE38" s="1590"/>
      <c r="AF38" s="1590"/>
    </row>
    <row r="39" spans="1:33" ht="13.5" thickBot="1">
      <c r="A39" s="2215"/>
      <c r="B39" s="2229" t="s">
        <v>2578</v>
      </c>
      <c r="C39" s="2139">
        <f>ROUND(D5*C19*C41*C24*F39,0)</f>
        <v>4383</v>
      </c>
      <c r="D39" s="2216"/>
      <c r="E39" s="2139">
        <f t="shared" si="6"/>
        <v>0</v>
      </c>
      <c r="F39" s="56">
        <f>SUMIF(修正!A45:A56,G2,修正!H45:H56)</f>
        <v>0.2</v>
      </c>
      <c r="G39" s="2139">
        <f>ROUND(IF(E2="工业",C39*$M$39,C39*$M$38),0)</f>
        <v>1096</v>
      </c>
      <c r="H39" s="2139">
        <f t="shared" si="9"/>
        <v>0</v>
      </c>
      <c r="I39" s="2139">
        <f t="shared" si="8"/>
        <v>0</v>
      </c>
      <c r="J39" s="2202"/>
      <c r="K39" s="3015"/>
      <c r="L39" s="2230" t="s">
        <v>2518</v>
      </c>
      <c r="M39" s="2231">
        <v>0.15</v>
      </c>
      <c r="N39" s="3015"/>
      <c r="O39" s="3015"/>
      <c r="P39" s="3015"/>
      <c r="Q39" s="3015"/>
      <c r="R39" s="3015"/>
      <c r="S39" s="3015"/>
      <c r="T39" s="3015"/>
      <c r="U39" s="3015"/>
      <c r="V39" s="3015"/>
      <c r="W39" s="3015"/>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5"/>
      <c r="L40" s="3015"/>
      <c r="M40" s="3015"/>
      <c r="N40" s="3015"/>
      <c r="O40" s="3015"/>
      <c r="P40" s="3015"/>
      <c r="Q40" s="3015"/>
      <c r="R40" s="3015"/>
      <c r="S40" s="3015"/>
      <c r="T40" s="3015"/>
      <c r="U40" s="3015"/>
      <c r="V40" s="3015"/>
      <c r="W40" s="3015"/>
      <c r="X40" s="1590"/>
      <c r="Y40" s="1590"/>
      <c r="Z40" s="1590"/>
      <c r="AA40" s="1590"/>
      <c r="AB40" s="1590"/>
      <c r="AC40" s="1590"/>
      <c r="AD40" s="1590"/>
      <c r="AE40" s="1590"/>
      <c r="AF40" s="1590"/>
    </row>
    <row r="41" spans="1:33" s="2232" customFormat="1">
      <c r="A41" s="1590"/>
      <c r="B41" s="2233" t="s">
        <v>2658</v>
      </c>
      <c r="C41" s="50">
        <f>ROUND(POWER(1+E41,H41-G41)*(POWER(1+E41,G41)-1)/(POWER(1+E41,H41)-1),4)</f>
        <v>0.86660000000000004</v>
      </c>
      <c r="D41" s="50" t="s">
        <v>2656</v>
      </c>
      <c r="E41" s="2234">
        <f>G20</f>
        <v>5.3999999999999999E-2</v>
      </c>
      <c r="F41" s="50" t="s">
        <v>2657</v>
      </c>
      <c r="G41" s="2235">
        <f>'数据-取费表'!B13</f>
        <v>31</v>
      </c>
      <c r="H41" s="50">
        <v>50</v>
      </c>
      <c r="I41" s="1590"/>
      <c r="J41" s="1590"/>
      <c r="K41" s="3015"/>
      <c r="L41" s="3015"/>
      <c r="M41" s="3015"/>
      <c r="N41" s="3015"/>
      <c r="O41" s="3015"/>
      <c r="P41" s="3015"/>
      <c r="Q41" s="3015"/>
      <c r="R41" s="3015"/>
      <c r="S41" s="3015"/>
      <c r="T41" s="3015"/>
      <c r="U41" s="3015"/>
      <c r="V41" s="3015"/>
      <c r="W41" s="3015"/>
      <c r="X41" s="1590"/>
      <c r="Y41" s="1590"/>
      <c r="Z41" s="1590"/>
      <c r="AA41" s="1590"/>
      <c r="AB41" s="1590"/>
      <c r="AC41" s="1590"/>
      <c r="AD41" s="1590"/>
      <c r="AE41" s="1590"/>
      <c r="AF41" s="1590"/>
    </row>
    <row r="42" spans="1:33" s="2232"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0"/>
      <c r="Y42" s="1590"/>
      <c r="Z42" s="1590"/>
      <c r="AA42" s="1590"/>
      <c r="AB42" s="1590"/>
      <c r="AC42" s="1590"/>
      <c r="AD42" s="1590"/>
      <c r="AE42" s="1590"/>
      <c r="AF42" s="1590"/>
    </row>
    <row r="43" spans="1:33" s="2232"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0"/>
      <c r="Y43" s="1590"/>
      <c r="Z43" s="1590"/>
      <c r="AA43" s="1590"/>
      <c r="AB43" s="1590"/>
      <c r="AC43" s="1590"/>
      <c r="AD43" s="1590"/>
      <c r="AE43" s="1590"/>
      <c r="AF43" s="1590"/>
    </row>
    <row r="44" spans="1:33" s="2232"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0"/>
      <c r="Y44" s="1590"/>
      <c r="Z44" s="1590"/>
      <c r="AA44" s="1590"/>
      <c r="AB44" s="1590"/>
      <c r="AC44" s="1590"/>
      <c r="AD44" s="1590"/>
      <c r="AE44" s="1590"/>
      <c r="AF44" s="1590"/>
    </row>
    <row r="45" spans="1:33" s="2232" customFormat="1" ht="15.75" thickBot="1">
      <c r="A45" s="2236" t="s">
        <v>2579</v>
      </c>
      <c r="B45" s="2237"/>
      <c r="C45" s="607"/>
      <c r="D45" s="607"/>
      <c r="E45" s="607"/>
      <c r="F45" s="607"/>
      <c r="G45" s="607"/>
      <c r="H45" s="607"/>
      <c r="I45" s="607"/>
      <c r="J45" s="607"/>
      <c r="K45" s="607"/>
      <c r="L45" s="607"/>
      <c r="M45" s="607"/>
      <c r="N45" s="2067"/>
      <c r="O45" s="1590"/>
      <c r="P45" s="1590"/>
      <c r="Q45" s="3015"/>
      <c r="R45" s="3015"/>
      <c r="S45" s="3015"/>
      <c r="T45" s="3015"/>
      <c r="U45" s="3015"/>
      <c r="V45" s="3015"/>
      <c r="W45" s="3015"/>
      <c r="X45" s="1590"/>
      <c r="Y45" s="1590"/>
      <c r="Z45" s="1590"/>
      <c r="AA45" s="1590"/>
      <c r="AB45" s="1590"/>
      <c r="AC45" s="1590"/>
      <c r="AD45" s="1590"/>
      <c r="AE45" s="1590"/>
      <c r="AF45" s="1590"/>
    </row>
    <row r="46" spans="1:33" s="2232" customFormat="1" ht="15">
      <c r="A46" s="2238" t="s">
        <v>2580</v>
      </c>
      <c r="B46" s="2239">
        <f>1+E48</f>
        <v>1.0526</v>
      </c>
      <c r="C46" s="2240"/>
      <c r="D46" s="2241"/>
      <c r="E46" s="2242"/>
      <c r="F46" s="2243"/>
      <c r="G46" s="607"/>
      <c r="H46" s="607"/>
      <c r="I46" s="607"/>
      <c r="J46" s="607"/>
      <c r="K46" s="607"/>
      <c r="L46" s="607"/>
      <c r="M46" s="2067"/>
      <c r="N46" s="2244"/>
      <c r="O46" s="1590"/>
      <c r="P46" s="1590"/>
      <c r="Q46" s="3015"/>
      <c r="R46" s="3015"/>
      <c r="S46" s="3015"/>
      <c r="T46" s="3015"/>
      <c r="U46" s="3015"/>
      <c r="V46" s="3015"/>
      <c r="W46" s="3015"/>
      <c r="X46" s="1590"/>
      <c r="Y46" s="1590"/>
      <c r="Z46" s="1590"/>
      <c r="AA46" s="1590"/>
      <c r="AB46" s="1590"/>
      <c r="AC46" s="1590"/>
      <c r="AD46" s="1590"/>
      <c r="AE46" s="1590"/>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0"/>
      <c r="P47" s="1590"/>
      <c r="Q47" s="3015"/>
      <c r="R47" s="3015"/>
      <c r="S47" s="3015"/>
      <c r="T47" s="3015"/>
      <c r="U47" s="3015"/>
      <c r="V47" s="3015"/>
      <c r="W47" s="3015"/>
      <c r="X47" s="1590"/>
      <c r="Y47" s="1590"/>
      <c r="Z47" s="1590"/>
      <c r="AA47" s="1590"/>
      <c r="AB47" s="1590"/>
      <c r="AC47" s="1590"/>
      <c r="AD47" s="1590"/>
      <c r="AE47" s="1590"/>
      <c r="AF47" s="1590"/>
      <c r="AG47" s="1590"/>
    </row>
    <row r="48" spans="1:33" s="2232" customFormat="1" ht="38.25">
      <c r="A48" s="2245" t="s">
        <v>2595</v>
      </c>
      <c r="B48" s="2249" t="str">
        <f>估价对象房地状况!C16</f>
        <v>估价对象位于XX商圈，周边商业氛围成熟，人流量大，商业繁华度好</v>
      </c>
      <c r="C48" s="2133" t="s">
        <v>30</v>
      </c>
      <c r="D48" s="2250">
        <f t="shared" ref="D48:D56" si="10">SUMIF($J$47:$N$47,C48,J48:N48)</f>
        <v>1.5800000000000002E-2</v>
      </c>
      <c r="E48" s="2251">
        <f>ROUND(SUM(D48:D56),4)</f>
        <v>5.2600000000000001E-2</v>
      </c>
      <c r="F48" s="2252">
        <f>IF(E2="商业",SUMIF(L1:L12,G2,N1:N12),"——")</f>
        <v>9.6000000000000002E-2</v>
      </c>
      <c r="G48" s="2253">
        <v>1.5800000000000002E-2</v>
      </c>
      <c r="H48" s="2254">
        <f t="shared" ref="H48:H56" si="11">IFERROR(ROUNDDOWN($F$48*I48/2,4),"——")</f>
        <v>1.5800000000000002E-2</v>
      </c>
      <c r="I48" s="2255">
        <v>0.33</v>
      </c>
      <c r="J48" s="2256">
        <f t="shared" ref="J48:J56" si="12">K48+$G48</f>
        <v>3.1600000000000003E-2</v>
      </c>
      <c r="K48" s="2256">
        <f t="shared" ref="K48:K56" si="13">$L48+$G48</f>
        <v>1.5800000000000002E-2</v>
      </c>
      <c r="L48" s="2256">
        <v>0</v>
      </c>
      <c r="M48" s="2256">
        <f t="shared" ref="M48:N56" si="14">L48-$G48</f>
        <v>-1.5800000000000002E-2</v>
      </c>
      <c r="N48" s="2256">
        <f t="shared" si="14"/>
        <v>-3.1600000000000003E-2</v>
      </c>
      <c r="O48" s="1590"/>
      <c r="P48" s="1590"/>
      <c r="Q48" s="3015"/>
      <c r="R48" s="3015"/>
      <c r="S48" s="3015"/>
      <c r="T48" s="3015"/>
      <c r="U48" s="3015"/>
      <c r="V48" s="3015"/>
      <c r="W48" s="3015"/>
      <c r="X48" s="1590"/>
      <c r="Y48" s="1590"/>
      <c r="Z48" s="1590"/>
      <c r="AA48" s="1590"/>
      <c r="AB48" s="1590"/>
      <c r="AC48" s="1590"/>
      <c r="AD48" s="1590"/>
      <c r="AE48" s="1590"/>
      <c r="AF48" s="1590"/>
      <c r="AG48" s="1590"/>
    </row>
    <row r="49" spans="1:33" s="2232" customFormat="1" ht="51">
      <c r="A49" s="2245" t="s">
        <v>2596</v>
      </c>
      <c r="B49" s="2257" t="str">
        <f>估价对象房地状况!C18</f>
        <v>估价对象周边道路状况、公共交通通达情况、停车便捷程度，综合评价交通便捷度较好</v>
      </c>
      <c r="C49" s="2133" t="s">
        <v>30</v>
      </c>
      <c r="D49" s="2250">
        <f t="shared" si="10"/>
        <v>1.2E-2</v>
      </c>
      <c r="E49" s="2258"/>
      <c r="F49" s="2252"/>
      <c r="G49" s="2253">
        <v>1.2E-2</v>
      </c>
      <c r="H49" s="2254">
        <f t="shared" si="11"/>
        <v>1.2E-2</v>
      </c>
      <c r="I49" s="2255">
        <v>0.25</v>
      </c>
      <c r="J49" s="2256">
        <f t="shared" si="12"/>
        <v>2.4E-2</v>
      </c>
      <c r="K49" s="2256">
        <f t="shared" si="13"/>
        <v>1.2E-2</v>
      </c>
      <c r="L49" s="2256">
        <v>0</v>
      </c>
      <c r="M49" s="2256">
        <f t="shared" si="14"/>
        <v>-1.2E-2</v>
      </c>
      <c r="N49" s="2256">
        <f t="shared" si="14"/>
        <v>-2.4E-2</v>
      </c>
      <c r="O49" s="1590"/>
      <c r="P49" s="1590"/>
      <c r="Q49" s="3015"/>
      <c r="R49" s="3015"/>
      <c r="S49" s="3015"/>
      <c r="T49" s="3015"/>
      <c r="U49" s="3015"/>
      <c r="V49" s="3015"/>
      <c r="W49" s="3015"/>
      <c r="X49" s="1590"/>
      <c r="Y49" s="1590"/>
      <c r="Z49" s="1590"/>
      <c r="AA49" s="1590"/>
      <c r="AB49" s="1590"/>
      <c r="AC49" s="1590"/>
      <c r="AD49" s="1590"/>
      <c r="AE49" s="1590"/>
      <c r="AF49" s="1590"/>
      <c r="AG49" s="1590"/>
    </row>
    <row r="50" spans="1:33" s="2232" customFormat="1" ht="24">
      <c r="A50" s="2245" t="s">
        <v>2597</v>
      </c>
      <c r="B50" s="2257">
        <f>估价对象房地状况!C19</f>
        <v>0</v>
      </c>
      <c r="C50" s="2133" t="s">
        <v>30</v>
      </c>
      <c r="D50" s="2250">
        <f t="shared" si="10"/>
        <v>2.3999999999999998E-3</v>
      </c>
      <c r="E50" s="2258"/>
      <c r="F50" s="2252"/>
      <c r="G50" s="2253">
        <v>2.3999999999999998E-3</v>
      </c>
      <c r="H50" s="2254">
        <f t="shared" si="11"/>
        <v>2.3999999999999998E-3</v>
      </c>
      <c r="I50" s="2255">
        <v>0.05</v>
      </c>
      <c r="J50" s="2256">
        <f t="shared" si="12"/>
        <v>4.7999999999999996E-3</v>
      </c>
      <c r="K50" s="2256">
        <f t="shared" si="13"/>
        <v>2.3999999999999998E-3</v>
      </c>
      <c r="L50" s="2256">
        <v>0</v>
      </c>
      <c r="M50" s="2256">
        <f t="shared" si="14"/>
        <v>-2.3999999999999998E-3</v>
      </c>
      <c r="N50" s="2256">
        <f t="shared" si="14"/>
        <v>-4.7999999999999996E-3</v>
      </c>
      <c r="O50" s="1590"/>
      <c r="P50" s="1590"/>
      <c r="Q50" s="3015"/>
      <c r="R50" s="3015"/>
      <c r="S50" s="3015"/>
      <c r="T50" s="3015"/>
      <c r="U50" s="3015"/>
      <c r="V50" s="3015"/>
      <c r="W50" s="3015"/>
      <c r="X50" s="1590"/>
      <c r="Y50" s="1590"/>
      <c r="Z50" s="1590"/>
      <c r="AA50" s="1590"/>
      <c r="AB50" s="1590"/>
      <c r="AC50" s="1590"/>
      <c r="AD50" s="1590"/>
      <c r="AE50" s="1590"/>
      <c r="AF50" s="1590"/>
      <c r="AG50" s="1590"/>
    </row>
    <row r="51" spans="1:33" s="2232" customFormat="1" ht="36.75">
      <c r="A51" s="2245" t="s">
        <v>2598</v>
      </c>
      <c r="B51" s="2259" t="s">
        <v>2599</v>
      </c>
      <c r="C51" s="2133" t="s">
        <v>30</v>
      </c>
      <c r="D51" s="2250">
        <f t="shared" si="10"/>
        <v>2.3999999999999998E-3</v>
      </c>
      <c r="E51" s="2258"/>
      <c r="F51" s="2252"/>
      <c r="G51" s="2253">
        <v>2.3999999999999998E-3</v>
      </c>
      <c r="H51" s="2254">
        <f t="shared" si="11"/>
        <v>2.3999999999999998E-3</v>
      </c>
      <c r="I51" s="2255">
        <v>0.05</v>
      </c>
      <c r="J51" s="2256">
        <f t="shared" si="12"/>
        <v>4.7999999999999996E-3</v>
      </c>
      <c r="K51" s="2256">
        <f t="shared" si="13"/>
        <v>2.3999999999999998E-3</v>
      </c>
      <c r="L51" s="2256">
        <v>0</v>
      </c>
      <c r="M51" s="2256">
        <f t="shared" si="14"/>
        <v>-2.3999999999999998E-3</v>
      </c>
      <c r="N51" s="2256">
        <f t="shared" si="14"/>
        <v>-4.7999999999999996E-3</v>
      </c>
      <c r="O51" s="1590"/>
      <c r="P51" s="1590"/>
      <c r="Q51" s="3015"/>
      <c r="R51" s="3015"/>
      <c r="S51" s="3015"/>
      <c r="T51" s="3015"/>
      <c r="U51" s="3015"/>
      <c r="V51" s="3015"/>
      <c r="W51" s="3015"/>
      <c r="X51" s="1590"/>
      <c r="Y51" s="1590"/>
      <c r="Z51" s="1590"/>
      <c r="AA51" s="1590"/>
      <c r="AB51" s="1590"/>
      <c r="AC51" s="1590"/>
      <c r="AD51" s="1590"/>
      <c r="AE51" s="1590"/>
      <c r="AF51" s="1590"/>
      <c r="AG51" s="1590"/>
    </row>
    <row r="52" spans="1:33" s="2232" customFormat="1" ht="24">
      <c r="A52" s="2245" t="s">
        <v>2600</v>
      </c>
      <c r="B52" s="2257">
        <f>估价对象房地状况!C24</f>
        <v>0</v>
      </c>
      <c r="C52" s="2133" t="s">
        <v>30</v>
      </c>
      <c r="D52" s="2250">
        <f t="shared" si="10"/>
        <v>3.8E-3</v>
      </c>
      <c r="E52" s="2258"/>
      <c r="F52" s="2252"/>
      <c r="G52" s="2253">
        <v>3.8E-3</v>
      </c>
      <c r="H52" s="2254">
        <f t="shared" si="11"/>
        <v>3.8E-3</v>
      </c>
      <c r="I52" s="2255">
        <v>0.08</v>
      </c>
      <c r="J52" s="2256">
        <f t="shared" si="12"/>
        <v>7.6E-3</v>
      </c>
      <c r="K52" s="2256">
        <f t="shared" si="13"/>
        <v>3.8E-3</v>
      </c>
      <c r="L52" s="2256">
        <v>0</v>
      </c>
      <c r="M52" s="2256">
        <f t="shared" si="14"/>
        <v>-3.8E-3</v>
      </c>
      <c r="N52" s="2256">
        <f t="shared" si="14"/>
        <v>-7.6E-3</v>
      </c>
      <c r="O52" s="1590"/>
      <c r="P52" s="1590"/>
      <c r="Q52" s="3015"/>
      <c r="R52" s="3015"/>
      <c r="S52" s="3015"/>
      <c r="T52" s="3015"/>
      <c r="U52" s="3015"/>
      <c r="V52" s="3015"/>
      <c r="W52" s="3015"/>
      <c r="X52" s="1590"/>
      <c r="Y52" s="1590"/>
      <c r="Z52" s="1590"/>
      <c r="AA52" s="1590"/>
      <c r="AB52" s="1590"/>
      <c r="AC52" s="1590"/>
      <c r="AD52" s="1590"/>
      <c r="AE52" s="1590"/>
      <c r="AF52" s="1590"/>
      <c r="AG52" s="1590"/>
    </row>
    <row r="53" spans="1:33" s="2232" customFormat="1" ht="24">
      <c r="A53" s="2245" t="s">
        <v>2601</v>
      </c>
      <c r="B53" s="2260" t="s">
        <v>2602</v>
      </c>
      <c r="C53" s="2133" t="s">
        <v>30</v>
      </c>
      <c r="D53" s="2250">
        <f t="shared" si="10"/>
        <v>1.4E-3</v>
      </c>
      <c r="E53" s="2258"/>
      <c r="F53" s="2252"/>
      <c r="G53" s="2253">
        <v>1.4E-3</v>
      </c>
      <c r="H53" s="2254">
        <f t="shared" si="11"/>
        <v>1.4E-3</v>
      </c>
      <c r="I53" s="2255">
        <v>0.03</v>
      </c>
      <c r="J53" s="2256">
        <f t="shared" si="12"/>
        <v>2.8E-3</v>
      </c>
      <c r="K53" s="2256">
        <f t="shared" si="13"/>
        <v>1.4E-3</v>
      </c>
      <c r="L53" s="2256">
        <v>0</v>
      </c>
      <c r="M53" s="2256">
        <f t="shared" si="14"/>
        <v>-1.4E-3</v>
      </c>
      <c r="N53" s="2256">
        <f t="shared" si="14"/>
        <v>-2.8E-3</v>
      </c>
      <c r="O53" s="1590"/>
      <c r="P53" s="1590"/>
      <c r="Q53" s="3015"/>
      <c r="R53" s="3015"/>
      <c r="S53" s="3015"/>
      <c r="T53" s="3015"/>
      <c r="U53" s="3015"/>
      <c r="V53" s="3015"/>
      <c r="W53" s="3015"/>
      <c r="X53" s="1590"/>
      <c r="Y53" s="1590"/>
      <c r="Z53" s="1590"/>
      <c r="AA53" s="1590"/>
      <c r="AB53" s="1590"/>
      <c r="AC53" s="1590"/>
      <c r="AD53" s="1590"/>
      <c r="AE53" s="1590"/>
      <c r="AF53" s="1590"/>
      <c r="AG53" s="1590"/>
    </row>
    <row r="54" spans="1:33" s="2232" customFormat="1" ht="25.5">
      <c r="A54" s="2261" t="s">
        <v>2603</v>
      </c>
      <c r="B54" s="2262" t="str">
        <f>估价对象房地状况!C21</f>
        <v>估价对象所在区域公共配套设施齐备情况</v>
      </c>
      <c r="C54" s="2133" t="s">
        <v>30</v>
      </c>
      <c r="D54" s="2250">
        <f t="shared" si="10"/>
        <v>2.3999999999999998E-3</v>
      </c>
      <c r="E54" s="2258"/>
      <c r="F54" s="2252"/>
      <c r="G54" s="2253">
        <v>2.3999999999999998E-3</v>
      </c>
      <c r="H54" s="2254">
        <f t="shared" si="11"/>
        <v>2.3999999999999998E-3</v>
      </c>
      <c r="I54" s="2255">
        <v>0.05</v>
      </c>
      <c r="J54" s="2256">
        <f t="shared" si="12"/>
        <v>4.7999999999999996E-3</v>
      </c>
      <c r="K54" s="2256">
        <f t="shared" si="13"/>
        <v>2.3999999999999998E-3</v>
      </c>
      <c r="L54" s="2256">
        <v>0</v>
      </c>
      <c r="M54" s="2256">
        <f t="shared" si="14"/>
        <v>-2.3999999999999998E-3</v>
      </c>
      <c r="N54" s="2256">
        <f t="shared" si="14"/>
        <v>-4.7999999999999996E-3</v>
      </c>
      <c r="O54" s="1590"/>
      <c r="P54" s="1590"/>
      <c r="Q54" s="3015"/>
      <c r="R54" s="3015"/>
      <c r="S54" s="3015"/>
      <c r="T54" s="3015"/>
      <c r="U54" s="3015"/>
      <c r="V54" s="3015"/>
      <c r="W54" s="3015"/>
      <c r="X54" s="1590"/>
      <c r="Y54" s="1590"/>
      <c r="Z54" s="1590"/>
      <c r="AA54" s="1590"/>
      <c r="AB54" s="1590"/>
      <c r="AC54" s="1590"/>
      <c r="AD54" s="1590"/>
      <c r="AE54" s="1590"/>
      <c r="AF54" s="1590"/>
      <c r="AG54" s="1590"/>
    </row>
    <row r="55" spans="1:33" s="2232" customFormat="1" ht="25.5">
      <c r="A55" s="2261" t="s">
        <v>2604</v>
      </c>
      <c r="B55" s="2257" t="str">
        <f>估价对象房地状况!C22</f>
        <v>估价对象所在区域基础设施水平</v>
      </c>
      <c r="C55" s="2133" t="s">
        <v>29</v>
      </c>
      <c r="D55" s="2250">
        <f t="shared" si="10"/>
        <v>9.5999999999999992E-3</v>
      </c>
      <c r="E55" s="2258"/>
      <c r="F55" s="2252"/>
      <c r="G55" s="2253">
        <v>4.7999999999999996E-3</v>
      </c>
      <c r="H55" s="2254">
        <f t="shared" si="11"/>
        <v>4.7999999999999996E-3</v>
      </c>
      <c r="I55" s="2255">
        <v>0.1</v>
      </c>
      <c r="J55" s="2256">
        <f t="shared" si="12"/>
        <v>9.5999999999999992E-3</v>
      </c>
      <c r="K55" s="2256">
        <f t="shared" si="13"/>
        <v>4.7999999999999996E-3</v>
      </c>
      <c r="L55" s="2256">
        <v>0</v>
      </c>
      <c r="M55" s="2256">
        <f t="shared" si="14"/>
        <v>-4.7999999999999996E-3</v>
      </c>
      <c r="N55" s="2256">
        <f t="shared" si="14"/>
        <v>-9.5999999999999992E-3</v>
      </c>
      <c r="O55" s="1590"/>
      <c r="P55" s="1590"/>
      <c r="Q55" s="3015"/>
      <c r="R55" s="3015"/>
      <c r="S55" s="3015"/>
      <c r="T55" s="3015"/>
      <c r="U55" s="3015"/>
      <c r="V55" s="3015"/>
      <c r="W55" s="3015"/>
      <c r="X55" s="1590"/>
      <c r="Y55" s="1590"/>
      <c r="Z55" s="1590"/>
      <c r="AA55" s="1590"/>
      <c r="AB55" s="1590"/>
      <c r="AC55" s="1590"/>
      <c r="AD55" s="1590"/>
      <c r="AE55" s="1590"/>
      <c r="AF55" s="1590"/>
      <c r="AG55" s="1590"/>
    </row>
    <row r="56" spans="1:33" s="2232" customFormat="1" ht="39" thickBot="1">
      <c r="A56" s="2263" t="s">
        <v>2605</v>
      </c>
      <c r="B56" s="2264" t="str">
        <f>估价对象房地状况!C20</f>
        <v>区域自然环境：；人文环境；综合评价环境状况一般</v>
      </c>
      <c r="C56" s="2133" t="s">
        <v>30</v>
      </c>
      <c r="D56" s="2250">
        <f t="shared" si="10"/>
        <v>2.8E-3</v>
      </c>
      <c r="E56" s="2265"/>
      <c r="F56" s="2252"/>
      <c r="G56" s="2253">
        <v>2.8E-3</v>
      </c>
      <c r="H56" s="2254">
        <f t="shared" si="11"/>
        <v>2.8E-3</v>
      </c>
      <c r="I56" s="2266">
        <v>0.06</v>
      </c>
      <c r="J56" s="2256">
        <f t="shared" si="12"/>
        <v>5.5999999999999999E-3</v>
      </c>
      <c r="K56" s="2256">
        <f t="shared" si="13"/>
        <v>2.8E-3</v>
      </c>
      <c r="L56" s="2256">
        <v>0</v>
      </c>
      <c r="M56" s="2256">
        <f t="shared" si="14"/>
        <v>-2.8E-3</v>
      </c>
      <c r="N56" s="2256">
        <f t="shared" si="14"/>
        <v>-5.5999999999999999E-3</v>
      </c>
      <c r="O56" s="1590"/>
      <c r="P56" s="1590"/>
      <c r="Q56" s="3015"/>
      <c r="R56" s="3015"/>
      <c r="S56" s="3015"/>
      <c r="T56" s="3015"/>
      <c r="U56" s="3015"/>
      <c r="V56" s="3015"/>
      <c r="W56" s="3015"/>
      <c r="X56" s="1590"/>
      <c r="Y56" s="1590"/>
      <c r="Z56" s="1590"/>
      <c r="AA56" s="1590"/>
      <c r="AB56" s="1590"/>
      <c r="AC56" s="1590"/>
      <c r="AD56" s="1590"/>
      <c r="AE56" s="1590"/>
      <c r="AF56" s="1590"/>
      <c r="AG56" s="1590"/>
    </row>
    <row r="57" spans="1:33" s="2232" customFormat="1" ht="15">
      <c r="A57" s="2238" t="s">
        <v>2606</v>
      </c>
      <c r="B57" s="2267">
        <f>1+E59</f>
        <v>1.05</v>
      </c>
      <c r="C57" s="2241"/>
      <c r="D57" s="2241"/>
      <c r="E57" s="2242"/>
      <c r="F57" s="2243"/>
      <c r="G57" s="607"/>
      <c r="H57" s="607"/>
      <c r="I57" s="607"/>
      <c r="J57" s="607"/>
      <c r="K57" s="607"/>
      <c r="L57" s="607"/>
      <c r="M57" s="607"/>
      <c r="N57" s="607"/>
      <c r="O57" s="1590"/>
      <c r="P57" s="1590"/>
      <c r="Q57" s="3015"/>
      <c r="R57" s="3015"/>
      <c r="S57" s="3015"/>
      <c r="T57" s="3015"/>
      <c r="U57" s="3015"/>
      <c r="V57" s="3015"/>
      <c r="W57" s="3015"/>
      <c r="X57" s="1590"/>
      <c r="Y57" s="1590"/>
      <c r="Z57" s="1590"/>
      <c r="AA57" s="1590"/>
      <c r="AB57" s="1590"/>
      <c r="AC57" s="1590"/>
      <c r="AD57" s="1590"/>
      <c r="AE57" s="1590"/>
      <c r="AF57" s="1590"/>
      <c r="AG57" s="1590"/>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2249</v>
      </c>
      <c r="K58" s="1873" t="s">
        <v>2250</v>
      </c>
      <c r="L58" s="1873" t="s">
        <v>2251</v>
      </c>
      <c r="M58" s="1873" t="s">
        <v>2252</v>
      </c>
      <c r="N58" s="1873" t="s">
        <v>2253</v>
      </c>
      <c r="O58" s="1590"/>
      <c r="P58" s="1590"/>
      <c r="Q58" s="3015"/>
      <c r="R58" s="3015"/>
      <c r="S58" s="3015"/>
      <c r="T58" s="3015"/>
      <c r="U58" s="3015"/>
      <c r="V58" s="3015"/>
      <c r="W58" s="3015"/>
      <c r="X58" s="1590"/>
      <c r="Y58" s="1590"/>
      <c r="Z58" s="1590"/>
      <c r="AA58" s="1590"/>
      <c r="AB58" s="1590"/>
      <c r="AC58" s="1590"/>
      <c r="AD58" s="1590"/>
      <c r="AE58" s="1590"/>
      <c r="AF58" s="1590"/>
      <c r="AG58" s="1590"/>
    </row>
    <row r="59" spans="1:33" s="2232" customFormat="1" ht="38.25">
      <c r="A59" s="2245" t="s">
        <v>2610</v>
      </c>
      <c r="B59" s="2249" t="str">
        <f>估价对象房地状况!C17</f>
        <v>估价对象位于XX商圈，周边办公楼项目较多，入驻率高，办公集聚程度较好</v>
      </c>
      <c r="C59" s="2133" t="s">
        <v>31</v>
      </c>
      <c r="D59" s="2250">
        <f t="shared" ref="D59:D67" si="15">SUMIF($J$58:$N$58,C59,J59:N59)</f>
        <v>0</v>
      </c>
      <c r="E59" s="2251">
        <f>ROUND(SUM(D59:D67),4)</f>
        <v>0.05</v>
      </c>
      <c r="F59" s="2252" t="str">
        <f>IF(E2="办公",SUMIF(L1:L12,G2,N1:N12),"——")</f>
        <v>——</v>
      </c>
      <c r="G59" s="2253">
        <v>1.5599999999999999E-2</v>
      </c>
      <c r="H59" s="2254" t="str">
        <f t="shared" ref="H59:H67" si="16">IFERROR(ROUNDDOWN($F$59*I59/2,4),"——")</f>
        <v>——</v>
      </c>
      <c r="I59" s="2255">
        <v>0.24</v>
      </c>
      <c r="J59" s="2256">
        <f t="shared" ref="J59:J67" si="17">K59+$G59</f>
        <v>3.1199999999999999E-2</v>
      </c>
      <c r="K59" s="2256">
        <f t="shared" ref="K59:K67" si="18">$L59+$G59</f>
        <v>1.5599999999999999E-2</v>
      </c>
      <c r="L59" s="2256">
        <v>0</v>
      </c>
      <c r="M59" s="2256">
        <f t="shared" ref="M59:N67" si="19">L59-$G59</f>
        <v>-1.5599999999999999E-2</v>
      </c>
      <c r="N59" s="2256">
        <f t="shared" si="19"/>
        <v>-3.1199999999999999E-2</v>
      </c>
      <c r="O59" s="1590"/>
      <c r="P59" s="1590"/>
      <c r="Q59" s="3015"/>
      <c r="R59" s="3015"/>
      <c r="S59" s="3015"/>
      <c r="T59" s="3015"/>
      <c r="U59" s="3015"/>
      <c r="V59" s="3015"/>
      <c r="W59" s="3015"/>
      <c r="X59" s="1590"/>
      <c r="Y59" s="1590"/>
      <c r="Z59" s="1590"/>
      <c r="AA59" s="1590"/>
      <c r="AB59" s="1590"/>
      <c r="AC59" s="1590"/>
      <c r="AD59" s="1590"/>
      <c r="AE59" s="1590"/>
      <c r="AF59" s="1590"/>
      <c r="AG59" s="1590"/>
    </row>
    <row r="60" spans="1:33" s="2232" customFormat="1" ht="51">
      <c r="A60" s="2245" t="s">
        <v>2596</v>
      </c>
      <c r="B60" s="2257" t="str">
        <f>估价对象房地状况!C18</f>
        <v>估价对象周边道路状况、公共交通通达情况、停车便捷程度，综合评价交通便捷度较好</v>
      </c>
      <c r="C60" s="2133" t="s">
        <v>30</v>
      </c>
      <c r="D60" s="2250">
        <f t="shared" si="15"/>
        <v>1.95E-2</v>
      </c>
      <c r="E60" s="2258"/>
      <c r="F60" s="2252"/>
      <c r="G60" s="2253">
        <v>1.95E-2</v>
      </c>
      <c r="H60" s="2254" t="str">
        <f t="shared" si="16"/>
        <v>——</v>
      </c>
      <c r="I60" s="2255">
        <v>0.3</v>
      </c>
      <c r="J60" s="2256">
        <f t="shared" si="17"/>
        <v>3.9E-2</v>
      </c>
      <c r="K60" s="2256">
        <f t="shared" si="18"/>
        <v>1.95E-2</v>
      </c>
      <c r="L60" s="2256">
        <v>0</v>
      </c>
      <c r="M60" s="2256">
        <f t="shared" si="19"/>
        <v>-1.95E-2</v>
      </c>
      <c r="N60" s="2256">
        <f t="shared" si="19"/>
        <v>-3.9E-2</v>
      </c>
      <c r="O60" s="1590"/>
      <c r="P60" s="1590"/>
      <c r="Q60" s="3015"/>
      <c r="R60" s="3015"/>
      <c r="S60" s="3015"/>
      <c r="T60" s="3015"/>
      <c r="U60" s="3015"/>
      <c r="V60" s="3015"/>
      <c r="W60" s="3015"/>
      <c r="X60" s="1590"/>
      <c r="Y60" s="1590"/>
      <c r="Z60" s="1590"/>
      <c r="AA60" s="1590"/>
      <c r="AB60" s="1590"/>
      <c r="AC60" s="1590"/>
      <c r="AD60" s="1590"/>
      <c r="AE60" s="1590"/>
      <c r="AF60" s="1590"/>
      <c r="AG60" s="1590"/>
    </row>
    <row r="61" spans="1:33" s="2232" customFormat="1" ht="24">
      <c r="A61" s="2245" t="s">
        <v>2597</v>
      </c>
      <c r="B61" s="2257">
        <f>估价对象房地状况!C19</f>
        <v>0</v>
      </c>
      <c r="C61" s="2133" t="s">
        <v>30</v>
      </c>
      <c r="D61" s="2250">
        <f t="shared" si="15"/>
        <v>5.1999999999999998E-3</v>
      </c>
      <c r="E61" s="2258"/>
      <c r="F61" s="2252"/>
      <c r="G61" s="2253">
        <v>5.1999999999999998E-3</v>
      </c>
      <c r="H61" s="2254" t="str">
        <f t="shared" si="16"/>
        <v>——</v>
      </c>
      <c r="I61" s="2255">
        <v>0.08</v>
      </c>
      <c r="J61" s="2256">
        <f t="shared" si="17"/>
        <v>1.04E-2</v>
      </c>
      <c r="K61" s="2256">
        <f t="shared" si="18"/>
        <v>5.1999999999999998E-3</v>
      </c>
      <c r="L61" s="2256">
        <v>0</v>
      </c>
      <c r="M61" s="2256">
        <f t="shared" si="19"/>
        <v>-5.1999999999999998E-3</v>
      </c>
      <c r="N61" s="2256">
        <f t="shared" si="19"/>
        <v>-1.04E-2</v>
      </c>
      <c r="O61" s="1590"/>
      <c r="P61" s="1590"/>
      <c r="Q61" s="3015"/>
      <c r="R61" s="3015"/>
      <c r="S61" s="3015"/>
      <c r="T61" s="3015"/>
      <c r="U61" s="3015"/>
      <c r="V61" s="3015"/>
      <c r="W61" s="3015"/>
      <c r="X61" s="1590"/>
      <c r="Y61" s="1590"/>
      <c r="Z61" s="1590"/>
      <c r="AA61" s="1590"/>
      <c r="AB61" s="1590"/>
      <c r="AC61" s="1590"/>
      <c r="AD61" s="1590"/>
      <c r="AE61" s="1590"/>
      <c r="AF61" s="1590"/>
      <c r="AG61" s="1590"/>
    </row>
    <row r="62" spans="1:33" s="2232" customFormat="1" ht="36.75">
      <c r="A62" s="2245" t="s">
        <v>2598</v>
      </c>
      <c r="B62" s="2259" t="s">
        <v>2599</v>
      </c>
      <c r="C62" s="2133" t="s">
        <v>30</v>
      </c>
      <c r="D62" s="2250">
        <f t="shared" si="15"/>
        <v>2.5999999999999999E-3</v>
      </c>
      <c r="E62" s="2258"/>
      <c r="F62" s="2252"/>
      <c r="G62" s="2253">
        <v>2.5999999999999999E-3</v>
      </c>
      <c r="H62" s="2254" t="str">
        <f t="shared" si="16"/>
        <v>——</v>
      </c>
      <c r="I62" s="2255">
        <v>0.04</v>
      </c>
      <c r="J62" s="2256">
        <f t="shared" si="17"/>
        <v>5.1999999999999998E-3</v>
      </c>
      <c r="K62" s="2256">
        <f t="shared" si="18"/>
        <v>2.5999999999999999E-3</v>
      </c>
      <c r="L62" s="2256">
        <v>0</v>
      </c>
      <c r="M62" s="2256">
        <f t="shared" si="19"/>
        <v>-2.5999999999999999E-3</v>
      </c>
      <c r="N62" s="2256">
        <f t="shared" si="19"/>
        <v>-5.1999999999999998E-3</v>
      </c>
      <c r="O62" s="1590"/>
      <c r="P62" s="1590"/>
      <c r="Q62" s="3015"/>
      <c r="R62" s="3015"/>
      <c r="S62" s="3015"/>
      <c r="T62" s="3015"/>
      <c r="U62" s="3015"/>
      <c r="V62" s="3015"/>
      <c r="W62" s="3015"/>
      <c r="X62" s="1590"/>
      <c r="Y62" s="1590"/>
      <c r="Z62" s="1590"/>
      <c r="AA62" s="1590"/>
      <c r="AB62" s="1590"/>
      <c r="AC62" s="1590"/>
      <c r="AD62" s="1590"/>
      <c r="AE62" s="1590"/>
      <c r="AF62" s="1590"/>
      <c r="AG62" s="1590"/>
    </row>
    <row r="63" spans="1:33" s="2232" customFormat="1" ht="24">
      <c r="A63" s="2245" t="s">
        <v>2600</v>
      </c>
      <c r="B63" s="2257">
        <f>估价对象房地状况!C24</f>
        <v>0</v>
      </c>
      <c r="C63" s="2133" t="s">
        <v>31</v>
      </c>
      <c r="D63" s="2250">
        <f t="shared" si="15"/>
        <v>0</v>
      </c>
      <c r="E63" s="2258"/>
      <c r="F63" s="2252"/>
      <c r="G63" s="2253">
        <v>3.2000000000000002E-3</v>
      </c>
      <c r="H63" s="2254" t="str">
        <f t="shared" si="16"/>
        <v>——</v>
      </c>
      <c r="I63" s="2255">
        <v>0.05</v>
      </c>
      <c r="J63" s="2256">
        <f t="shared" si="17"/>
        <v>6.4000000000000003E-3</v>
      </c>
      <c r="K63" s="2256">
        <f t="shared" si="18"/>
        <v>3.2000000000000002E-3</v>
      </c>
      <c r="L63" s="2256">
        <v>0</v>
      </c>
      <c r="M63" s="2256">
        <f t="shared" si="19"/>
        <v>-3.2000000000000002E-3</v>
      </c>
      <c r="N63" s="2256">
        <f t="shared" si="19"/>
        <v>-6.4000000000000003E-3</v>
      </c>
      <c r="O63" s="1590"/>
      <c r="P63" s="1590"/>
      <c r="Q63" s="3015"/>
      <c r="R63" s="3015"/>
      <c r="S63" s="3015"/>
      <c r="T63" s="3015"/>
      <c r="U63" s="3015"/>
      <c r="V63" s="3015"/>
      <c r="W63" s="3015"/>
      <c r="X63" s="1590"/>
      <c r="Y63" s="1590"/>
      <c r="Z63" s="1590"/>
      <c r="AA63" s="1590"/>
      <c r="AB63" s="1590"/>
      <c r="AC63" s="1590"/>
      <c r="AD63" s="1590"/>
      <c r="AE63" s="1590"/>
      <c r="AF63" s="1590"/>
      <c r="AG63" s="1590"/>
    </row>
    <row r="64" spans="1:33" s="2232" customFormat="1" ht="24">
      <c r="A64" s="2245" t="s">
        <v>2601</v>
      </c>
      <c r="B64" s="2260" t="s">
        <v>2602</v>
      </c>
      <c r="C64" s="2133" t="s">
        <v>30</v>
      </c>
      <c r="D64" s="2250">
        <f t="shared" si="15"/>
        <v>3.2000000000000002E-3</v>
      </c>
      <c r="E64" s="2258"/>
      <c r="F64" s="2252"/>
      <c r="G64" s="2253">
        <v>3.2000000000000002E-3</v>
      </c>
      <c r="H64" s="2254" t="str">
        <f t="shared" si="16"/>
        <v>——</v>
      </c>
      <c r="I64" s="2255">
        <v>0.05</v>
      </c>
      <c r="J64" s="2256">
        <f t="shared" si="17"/>
        <v>6.4000000000000003E-3</v>
      </c>
      <c r="K64" s="2256">
        <f t="shared" si="18"/>
        <v>3.2000000000000002E-3</v>
      </c>
      <c r="L64" s="2256">
        <v>0</v>
      </c>
      <c r="M64" s="2256">
        <f t="shared" si="19"/>
        <v>-3.2000000000000002E-3</v>
      </c>
      <c r="N64" s="2256">
        <f t="shared" si="19"/>
        <v>-6.4000000000000003E-3</v>
      </c>
      <c r="O64" s="1590"/>
      <c r="P64" s="1590"/>
      <c r="Q64" s="3015"/>
      <c r="R64" s="3015"/>
      <c r="S64" s="3015"/>
      <c r="T64" s="3015"/>
      <c r="U64" s="3015"/>
      <c r="V64" s="3015"/>
      <c r="W64" s="3015"/>
      <c r="X64" s="1590"/>
      <c r="Y64" s="1590"/>
      <c r="Z64" s="1590"/>
      <c r="AA64" s="1590"/>
      <c r="AB64" s="1590"/>
      <c r="AC64" s="1590"/>
      <c r="AD64" s="1590"/>
      <c r="AE64" s="1590"/>
      <c r="AF64" s="1590"/>
      <c r="AG64" s="1590"/>
    </row>
    <row r="65" spans="1:33" s="2232" customFormat="1" ht="25.5">
      <c r="A65" s="2245" t="s">
        <v>2603</v>
      </c>
      <c r="B65" s="2262" t="str">
        <f>估价对象房地状况!C21</f>
        <v>估价对象所在区域公共配套设施齐备情况</v>
      </c>
      <c r="C65" s="2133" t="s">
        <v>31</v>
      </c>
      <c r="D65" s="2250">
        <f t="shared" si="15"/>
        <v>0</v>
      </c>
      <c r="E65" s="2258"/>
      <c r="F65" s="2252"/>
      <c r="G65" s="2253">
        <v>3.8999999999999998E-3</v>
      </c>
      <c r="H65" s="2254" t="str">
        <f t="shared" si="16"/>
        <v>——</v>
      </c>
      <c r="I65" s="2255">
        <v>0.06</v>
      </c>
      <c r="J65" s="2256">
        <f t="shared" si="17"/>
        <v>7.7999999999999996E-3</v>
      </c>
      <c r="K65" s="2256">
        <f t="shared" si="18"/>
        <v>3.8999999999999998E-3</v>
      </c>
      <c r="L65" s="2256">
        <v>0</v>
      </c>
      <c r="M65" s="2256">
        <f t="shared" si="19"/>
        <v>-3.8999999999999998E-3</v>
      </c>
      <c r="N65" s="2256">
        <f t="shared" si="19"/>
        <v>-7.7999999999999996E-3</v>
      </c>
      <c r="O65" s="1590"/>
      <c r="P65" s="1590"/>
      <c r="Q65" s="3015"/>
      <c r="R65" s="3015"/>
      <c r="S65" s="3015"/>
      <c r="T65" s="3015"/>
      <c r="U65" s="3015"/>
      <c r="V65" s="3015"/>
      <c r="W65" s="3015"/>
      <c r="X65" s="1590"/>
      <c r="Y65" s="1590"/>
      <c r="Z65" s="1590"/>
      <c r="AA65" s="1590"/>
      <c r="AB65" s="1590"/>
      <c r="AC65" s="1590"/>
      <c r="AD65" s="1590"/>
      <c r="AE65" s="1590"/>
      <c r="AF65" s="1590"/>
      <c r="AG65" s="1590"/>
    </row>
    <row r="66" spans="1:33" s="2232" customFormat="1" ht="25.5">
      <c r="A66" s="2245" t="s">
        <v>2604</v>
      </c>
      <c r="B66" s="2262" t="str">
        <f>估价对象房地状况!C22</f>
        <v>估价对象所在区域基础设施水平</v>
      </c>
      <c r="C66" s="2133" t="s">
        <v>29</v>
      </c>
      <c r="D66" s="2250">
        <f t="shared" si="15"/>
        <v>1.5599999999999999E-2</v>
      </c>
      <c r="E66" s="2258"/>
      <c r="F66" s="2252"/>
      <c r="G66" s="2253">
        <v>7.7999999999999996E-3</v>
      </c>
      <c r="H66" s="2254" t="str">
        <f t="shared" si="16"/>
        <v>——</v>
      </c>
      <c r="I66" s="2255">
        <v>0.12</v>
      </c>
      <c r="J66" s="2256">
        <f t="shared" si="17"/>
        <v>1.5599999999999999E-2</v>
      </c>
      <c r="K66" s="2256">
        <f t="shared" si="18"/>
        <v>7.7999999999999996E-3</v>
      </c>
      <c r="L66" s="2256">
        <v>0</v>
      </c>
      <c r="M66" s="2256">
        <f t="shared" si="19"/>
        <v>-7.7999999999999996E-3</v>
      </c>
      <c r="N66" s="2256">
        <f t="shared" si="19"/>
        <v>-1.5599999999999999E-2</v>
      </c>
      <c r="O66" s="1590"/>
      <c r="P66" s="1590"/>
      <c r="Q66" s="3015"/>
      <c r="R66" s="3015"/>
      <c r="S66" s="3015"/>
      <c r="T66" s="3015"/>
      <c r="U66" s="3015"/>
      <c r="V66" s="3015"/>
      <c r="W66" s="3015"/>
      <c r="X66" s="1590"/>
      <c r="Y66" s="1590"/>
      <c r="Z66" s="1590"/>
      <c r="AA66" s="1590"/>
      <c r="AB66" s="1590"/>
      <c r="AC66" s="1590"/>
      <c r="AD66" s="1590"/>
      <c r="AE66" s="1590"/>
      <c r="AF66" s="1590"/>
      <c r="AG66" s="1590"/>
    </row>
    <row r="67" spans="1:33" s="2232" customFormat="1" ht="39" thickBot="1">
      <c r="A67" s="2263" t="s">
        <v>2605</v>
      </c>
      <c r="B67" s="2268" t="str">
        <f>估价对象房地状况!C20</f>
        <v>区域自然环境：；人文环境；综合评价环境状况一般</v>
      </c>
      <c r="C67" s="2133" t="s">
        <v>30</v>
      </c>
      <c r="D67" s="2250">
        <f t="shared" si="15"/>
        <v>3.8999999999999998E-3</v>
      </c>
      <c r="E67" s="2265"/>
      <c r="F67" s="2252"/>
      <c r="G67" s="2253">
        <v>3.8999999999999998E-3</v>
      </c>
      <c r="H67" s="2254" t="str">
        <f t="shared" si="16"/>
        <v>——</v>
      </c>
      <c r="I67" s="2266">
        <v>0.06</v>
      </c>
      <c r="J67" s="2256">
        <f t="shared" si="17"/>
        <v>7.7999999999999996E-3</v>
      </c>
      <c r="K67" s="2256">
        <f t="shared" si="18"/>
        <v>3.8999999999999998E-3</v>
      </c>
      <c r="L67" s="2256">
        <v>0</v>
      </c>
      <c r="M67" s="2256">
        <f t="shared" si="19"/>
        <v>-3.8999999999999998E-3</v>
      </c>
      <c r="N67" s="2256">
        <f t="shared" si="19"/>
        <v>-7.7999999999999996E-3</v>
      </c>
      <c r="O67" s="1590"/>
      <c r="P67" s="1590"/>
      <c r="Q67" s="3015"/>
      <c r="R67" s="3015"/>
      <c r="S67" s="3015"/>
      <c r="T67" s="3015"/>
      <c r="U67" s="3015"/>
      <c r="V67" s="3015"/>
      <c r="W67" s="3015"/>
      <c r="X67" s="1590"/>
      <c r="Y67" s="1590"/>
      <c r="Z67" s="1590"/>
      <c r="AA67" s="1590"/>
      <c r="AB67" s="1590"/>
      <c r="AC67" s="1590"/>
      <c r="AD67" s="1590"/>
      <c r="AE67" s="1590"/>
      <c r="AF67" s="1590"/>
      <c r="AG67" s="1590"/>
    </row>
    <row r="68" spans="1:33" s="2232" customFormat="1" ht="15">
      <c r="A68" s="2238" t="s">
        <v>2611</v>
      </c>
      <c r="B68" s="2267">
        <f>1+E70</f>
        <v>1</v>
      </c>
      <c r="C68" s="2241"/>
      <c r="D68" s="2241"/>
      <c r="E68" s="2242"/>
      <c r="F68" s="2243"/>
      <c r="G68" s="607"/>
      <c r="H68" s="607"/>
      <c r="I68" s="607"/>
      <c r="J68" s="607"/>
      <c r="K68" s="607"/>
      <c r="L68" s="607"/>
      <c r="M68" s="607"/>
      <c r="N68" s="607"/>
      <c r="O68" s="1590"/>
      <c r="P68" s="1590"/>
      <c r="Q68" s="3015"/>
      <c r="R68" s="3015"/>
      <c r="S68" s="3015"/>
      <c r="T68" s="3015"/>
      <c r="U68" s="3015"/>
      <c r="V68" s="3015"/>
      <c r="W68" s="3015"/>
      <c r="X68" s="1590"/>
      <c r="Y68" s="1590"/>
      <c r="Z68" s="1590"/>
      <c r="AA68" s="1590"/>
      <c r="AB68" s="1590"/>
      <c r="AC68" s="1590"/>
      <c r="AD68" s="1590"/>
      <c r="AE68" s="1590"/>
      <c r="AF68" s="1590"/>
      <c r="AG68" s="1590"/>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2249</v>
      </c>
      <c r="K69" s="1873" t="s">
        <v>2250</v>
      </c>
      <c r="L69" s="1873" t="s">
        <v>2251</v>
      </c>
      <c r="M69" s="1873" t="s">
        <v>2252</v>
      </c>
      <c r="N69" s="1873" t="s">
        <v>2253</v>
      </c>
      <c r="O69" s="1590"/>
      <c r="P69" s="1590"/>
      <c r="Q69" s="3015"/>
      <c r="R69" s="3015"/>
      <c r="S69" s="3015"/>
      <c r="T69" s="3015"/>
      <c r="U69" s="3015"/>
      <c r="V69" s="3015"/>
      <c r="W69" s="3015"/>
      <c r="X69" s="1590"/>
      <c r="Y69" s="1590"/>
      <c r="Z69" s="1590"/>
      <c r="AA69" s="1590"/>
      <c r="AB69" s="1590"/>
      <c r="AC69" s="1590"/>
      <c r="AD69" s="1590"/>
      <c r="AE69" s="1590"/>
      <c r="AF69" s="1590"/>
      <c r="AG69" s="1590"/>
    </row>
    <row r="70" spans="1:33" s="2232" customFormat="1" ht="51">
      <c r="A70" s="2245" t="s">
        <v>2612</v>
      </c>
      <c r="B70" s="2249" t="str">
        <f>估价对象房地状况!C15</f>
        <v>估价对象周边居住用地比例、居住小区规模和社区发展完善程度，综合评价居住社区成熟度一般</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5"/>
      <c r="R70" s="3015"/>
      <c r="S70" s="3015"/>
      <c r="T70" s="3015"/>
      <c r="U70" s="3015"/>
      <c r="V70" s="3015"/>
      <c r="W70" s="3015"/>
      <c r="X70" s="1590"/>
      <c r="Y70" s="1590"/>
      <c r="Z70" s="1590"/>
      <c r="AA70" s="1590"/>
      <c r="AB70" s="1590"/>
      <c r="AC70" s="1590"/>
      <c r="AD70" s="1590"/>
      <c r="AE70" s="1590"/>
      <c r="AF70" s="1590"/>
      <c r="AG70" s="1590"/>
    </row>
    <row r="71" spans="1:33" s="2232" customFormat="1" ht="51">
      <c r="A71" s="2245" t="s">
        <v>2596</v>
      </c>
      <c r="B71" s="2257" t="str">
        <f>估价对象房地状况!C18</f>
        <v>估价对象周边道路状况、公共交通通达情况、停车便捷程度，综合评价交通便捷度较好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5"/>
      <c r="R71" s="3015"/>
      <c r="S71" s="3015"/>
      <c r="T71" s="3015"/>
      <c r="U71" s="3015"/>
      <c r="V71" s="3015"/>
      <c r="W71" s="3015"/>
      <c r="X71" s="1590"/>
      <c r="Y71" s="1590"/>
      <c r="Z71" s="1590"/>
      <c r="AA71" s="1590"/>
      <c r="AB71" s="1590"/>
      <c r="AC71" s="1590"/>
      <c r="AD71" s="1590"/>
      <c r="AE71" s="1590"/>
      <c r="AF71" s="1590"/>
      <c r="AG71" s="1590"/>
    </row>
    <row r="72" spans="1:33" s="2232" customFormat="1" ht="24">
      <c r="A72" s="2245" t="s">
        <v>2597</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5"/>
      <c r="R72" s="3015"/>
      <c r="S72" s="3015"/>
      <c r="T72" s="3015"/>
      <c r="U72" s="3015"/>
      <c r="V72" s="3015"/>
      <c r="W72" s="3015"/>
      <c r="X72" s="1590"/>
      <c r="Y72" s="1590"/>
      <c r="Z72" s="1590"/>
      <c r="AA72" s="1590"/>
      <c r="AB72" s="1590"/>
      <c r="AC72" s="1590"/>
      <c r="AD72" s="1590"/>
      <c r="AE72" s="1590"/>
      <c r="AF72" s="1590"/>
      <c r="AG72" s="1590"/>
    </row>
    <row r="73" spans="1:33" s="2232" customFormat="1" ht="14.25">
      <c r="A73" s="2245" t="s">
        <v>2613</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5"/>
      <c r="R73" s="3015"/>
      <c r="S73" s="3015"/>
      <c r="T73" s="3015"/>
      <c r="U73" s="3015"/>
      <c r="V73" s="3015"/>
      <c r="W73" s="3015"/>
      <c r="X73" s="1590"/>
      <c r="Y73" s="1590"/>
      <c r="Z73" s="1590"/>
      <c r="AA73" s="1590"/>
      <c r="AB73" s="1590"/>
      <c r="AC73" s="1590"/>
      <c r="AD73" s="1590"/>
      <c r="AE73" s="1590"/>
      <c r="AF73" s="1590"/>
      <c r="AG73" s="1590"/>
    </row>
    <row r="74" spans="1:33" s="2232" customFormat="1" ht="25.5">
      <c r="A74" s="2245" t="s">
        <v>2603</v>
      </c>
      <c r="B74" s="2262" t="str">
        <f>估价对象房地状况!C21</f>
        <v>估价对象所在区域公共配套设施齐备情况</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5"/>
      <c r="R74" s="3015"/>
      <c r="S74" s="3015"/>
      <c r="T74" s="3015"/>
      <c r="U74" s="3015"/>
      <c r="V74" s="3015"/>
      <c r="W74" s="3015"/>
      <c r="X74" s="1590"/>
      <c r="Y74" s="1590"/>
      <c r="Z74" s="1590"/>
      <c r="AA74" s="1590"/>
      <c r="AB74" s="1590"/>
      <c r="AC74" s="1590"/>
      <c r="AD74" s="1590"/>
      <c r="AE74" s="1590"/>
      <c r="AF74" s="1590"/>
      <c r="AG74" s="1590"/>
    </row>
    <row r="75" spans="1:33" s="2232" customFormat="1" ht="25.5">
      <c r="A75" s="2245" t="s">
        <v>2604</v>
      </c>
      <c r="B75" s="2262" t="str">
        <f>估价对象房地状况!C22</f>
        <v>估价对象所在区域基础设施水平</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5"/>
      <c r="R75" s="3015"/>
      <c r="S75" s="3015"/>
      <c r="T75" s="3015"/>
      <c r="U75" s="3015"/>
      <c r="V75" s="3015"/>
      <c r="W75" s="3015"/>
      <c r="X75" s="1590"/>
      <c r="Y75" s="1590"/>
      <c r="Z75" s="1590"/>
      <c r="AA75" s="1590"/>
      <c r="AB75" s="1590"/>
      <c r="AC75" s="1590"/>
      <c r="AD75" s="1590"/>
      <c r="AE75" s="1590"/>
      <c r="AF75" s="1590"/>
      <c r="AG75" s="1590"/>
    </row>
    <row r="76" spans="1:33" ht="24">
      <c r="A76" s="2245" t="s">
        <v>2601</v>
      </c>
      <c r="B76" s="2260" t="s">
        <v>2602</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3"/>
      <c r="R76" s="3023"/>
      <c r="S76" s="3023"/>
      <c r="T76" s="3023"/>
      <c r="U76" s="3023"/>
      <c r="V76" s="3023"/>
      <c r="W76" s="3023"/>
      <c r="AA76" s="1591"/>
      <c r="AG76" s="2232"/>
    </row>
    <row r="77" spans="1:33" ht="38.25">
      <c r="A77" s="2245" t="s">
        <v>2605</v>
      </c>
      <c r="B77" s="2249" t="str">
        <f>估价对象房地状况!C20</f>
        <v>区域自然环境：；人文环境；综合评价环境状况一般</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3"/>
      <c r="R77" s="3023"/>
      <c r="S77" s="3023"/>
      <c r="T77" s="3023"/>
      <c r="U77" s="3023"/>
      <c r="V77" s="3023"/>
      <c r="W77" s="3023"/>
      <c r="AA77" s="1591"/>
      <c r="AG77" s="2232"/>
    </row>
    <row r="78" spans="1:33" ht="24.75" thickBot="1">
      <c r="A78" s="2263" t="s">
        <v>2614</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3"/>
      <c r="R78" s="3023"/>
      <c r="S78" s="3023"/>
      <c r="T78" s="3023"/>
      <c r="U78" s="3023"/>
      <c r="V78" s="3023"/>
      <c r="W78" s="3023"/>
      <c r="AA78" s="1591"/>
      <c r="AG78" s="2232"/>
    </row>
    <row r="79" spans="1:33" ht="15">
      <c r="A79" s="2238" t="s">
        <v>2615</v>
      </c>
      <c r="B79" s="2267">
        <f>1+E81</f>
        <v>1</v>
      </c>
      <c r="C79" s="2241"/>
      <c r="D79" s="2241"/>
      <c r="E79" s="2242"/>
      <c r="F79" s="2243"/>
      <c r="G79" s="607"/>
      <c r="H79" s="607"/>
      <c r="I79" s="607"/>
      <c r="J79" s="607"/>
      <c r="K79" s="607"/>
      <c r="L79" s="607"/>
      <c r="M79" s="607"/>
      <c r="N79" s="607"/>
      <c r="Q79" s="3023"/>
      <c r="R79" s="3023"/>
      <c r="S79" s="3023"/>
      <c r="T79" s="3023"/>
      <c r="U79" s="3023"/>
      <c r="V79" s="3023"/>
      <c r="W79" s="3023"/>
      <c r="AA79" s="1591"/>
      <c r="AG79" s="2232"/>
    </row>
    <row r="80" spans="1:33" ht="24.75">
      <c r="A80" s="2245" t="s">
        <v>2581</v>
      </c>
      <c r="B80" s="2257"/>
      <c r="C80" s="2246" t="s">
        <v>2583</v>
      </c>
      <c r="D80" s="2246" t="s">
        <v>2584</v>
      </c>
      <c r="E80" s="2247" t="s">
        <v>2585</v>
      </c>
      <c r="F80" s="2197" t="s">
        <v>2586</v>
      </c>
      <c r="G80" s="2246" t="s">
        <v>2607</v>
      </c>
      <c r="H80" s="2248" t="s">
        <v>2608</v>
      </c>
      <c r="I80" s="2246" t="s">
        <v>2609</v>
      </c>
      <c r="J80" s="1873" t="s">
        <v>2249</v>
      </c>
      <c r="K80" s="1873" t="s">
        <v>2250</v>
      </c>
      <c r="L80" s="1873" t="s">
        <v>2251</v>
      </c>
      <c r="M80" s="1873" t="s">
        <v>2252</v>
      </c>
      <c r="N80" s="1873" t="s">
        <v>2253</v>
      </c>
      <c r="Q80" s="3023"/>
      <c r="R80" s="3023"/>
      <c r="S80" s="3023"/>
      <c r="T80" s="3023"/>
      <c r="U80" s="3023"/>
      <c r="V80" s="3023"/>
      <c r="W80" s="3023"/>
      <c r="AA80" s="1591"/>
      <c r="AG80" s="2232"/>
    </row>
    <row r="81" spans="1:33" ht="38.25">
      <c r="A81" s="2245" t="s">
        <v>2616</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3"/>
      <c r="R81" s="3023"/>
      <c r="S81" s="3023"/>
      <c r="T81" s="3023"/>
      <c r="U81" s="3023"/>
      <c r="V81" s="3023"/>
      <c r="W81" s="3023"/>
      <c r="AA81" s="1591"/>
      <c r="AG81" s="2232"/>
    </row>
    <row r="82" spans="1:33" ht="51">
      <c r="A82" s="2245" t="s">
        <v>2596</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3"/>
      <c r="R82" s="3023"/>
      <c r="S82" s="3023"/>
      <c r="T82" s="3023"/>
      <c r="U82" s="3023"/>
      <c r="V82" s="3023"/>
      <c r="W82" s="3023"/>
      <c r="AA82" s="1591"/>
      <c r="AG82" s="2232"/>
    </row>
    <row r="83" spans="1:33" ht="24">
      <c r="A83" s="2245" t="s">
        <v>2597</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3"/>
      <c r="R83" s="3023"/>
      <c r="S83" s="3023"/>
      <c r="T83" s="3023"/>
      <c r="U83" s="3023"/>
      <c r="V83" s="3023"/>
      <c r="W83" s="3023"/>
      <c r="AA83" s="1591"/>
      <c r="AG83" s="2232"/>
    </row>
    <row r="84" spans="1:33" ht="14.25">
      <c r="A84" s="2245" t="s">
        <v>2613</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3"/>
      <c r="R84" s="3023"/>
      <c r="S84" s="3023"/>
      <c r="T84" s="3023"/>
      <c r="U84" s="3023"/>
      <c r="V84" s="3023"/>
      <c r="W84" s="3023"/>
      <c r="AA84" s="1591"/>
      <c r="AG84" s="2232"/>
    </row>
    <row r="85" spans="1:33" ht="25.5">
      <c r="A85" s="2245" t="s">
        <v>2603</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3"/>
      <c r="R85" s="3023"/>
      <c r="S85" s="3023"/>
      <c r="T85" s="3023"/>
      <c r="U85" s="3023"/>
      <c r="V85" s="3023"/>
      <c r="W85" s="3023"/>
      <c r="AA85" s="1591"/>
      <c r="AG85" s="2232"/>
    </row>
    <row r="86" spans="1:33" ht="25.5">
      <c r="A86" s="2245" t="s">
        <v>2604</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3"/>
      <c r="R86" s="3023"/>
      <c r="S86" s="3023"/>
      <c r="T86" s="3023"/>
      <c r="U86" s="3023"/>
      <c r="V86" s="3023"/>
      <c r="W86" s="3023"/>
      <c r="AA86" s="1591"/>
      <c r="AG86" s="2232"/>
    </row>
    <row r="87" spans="1:33" ht="24">
      <c r="A87" s="2245" t="s">
        <v>2601</v>
      </c>
      <c r="B87" s="2260" t="s">
        <v>2602</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3"/>
      <c r="R87" s="3023"/>
      <c r="S87" s="3023"/>
      <c r="T87" s="3023"/>
      <c r="U87" s="3023"/>
      <c r="V87" s="3023"/>
      <c r="W87" s="3023"/>
      <c r="AA87" s="1591"/>
      <c r="AG87" s="2232"/>
    </row>
    <row r="88" spans="1:33" ht="39" thickBot="1">
      <c r="A88" s="2263" t="s">
        <v>2617</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3"/>
      <c r="R88" s="3023"/>
      <c r="S88" s="3023"/>
      <c r="T88" s="3023"/>
      <c r="U88" s="3023"/>
      <c r="V88" s="3023"/>
      <c r="W88" s="3023"/>
      <c r="AA88" s="1591"/>
      <c r="AG88" s="2232"/>
    </row>
    <row r="89" spans="1:33">
      <c r="Q89" s="3023"/>
      <c r="R89" s="3023"/>
      <c r="S89" s="3023"/>
      <c r="T89" s="3023"/>
      <c r="U89" s="3023"/>
      <c r="V89" s="3023"/>
      <c r="W89" s="3023"/>
    </row>
    <row r="90" spans="1:33">
      <c r="A90" s="3595" t="s">
        <v>2618</v>
      </c>
      <c r="B90" s="3595"/>
      <c r="C90" s="3595"/>
      <c r="D90" s="3595"/>
      <c r="E90" s="3595"/>
      <c r="F90" s="3595"/>
      <c r="G90" s="3595"/>
      <c r="H90" s="3595"/>
      <c r="I90" s="3595"/>
      <c r="J90" s="3595"/>
      <c r="K90" s="2273"/>
      <c r="L90" s="2273"/>
      <c r="M90" s="2273"/>
      <c r="N90" s="2273"/>
      <c r="Q90" s="3023"/>
      <c r="R90" s="3023"/>
      <c r="S90" s="3023"/>
      <c r="T90" s="3023"/>
      <c r="U90" s="3023"/>
      <c r="V90" s="3023"/>
      <c r="W90" s="3023"/>
    </row>
    <row r="91" spans="1:33">
      <c r="A91" s="3597" t="s">
        <v>2619</v>
      </c>
      <c r="B91" s="3597" t="s">
        <v>2620</v>
      </c>
      <c r="C91" s="2212" t="s">
        <v>2621</v>
      </c>
      <c r="D91" s="2213"/>
      <c r="E91" s="2213"/>
      <c r="F91" s="2213"/>
      <c r="G91" s="2213"/>
      <c r="H91" s="2213"/>
      <c r="I91" s="2213"/>
      <c r="J91" s="2275"/>
      <c r="K91" s="2035"/>
      <c r="L91" s="2035"/>
      <c r="M91" s="2035"/>
      <c r="N91" s="2035"/>
      <c r="Q91" s="3023"/>
      <c r="R91" s="3023"/>
      <c r="S91" s="3023"/>
      <c r="T91" s="3023"/>
      <c r="U91" s="3023"/>
      <c r="V91" s="3023"/>
      <c r="W91" s="3023"/>
    </row>
    <row r="92" spans="1:33">
      <c r="A92" s="3597"/>
      <c r="B92" s="3597"/>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3"/>
      <c r="R92" s="3023"/>
      <c r="S92" s="3023"/>
      <c r="T92" s="3023"/>
      <c r="U92" s="3023"/>
      <c r="V92" s="3023"/>
      <c r="W92" s="3023"/>
    </row>
    <row r="93" spans="1:33">
      <c r="A93" s="3598"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3"/>
      <c r="R93" s="3023"/>
      <c r="S93" s="3023"/>
      <c r="T93" s="3023"/>
      <c r="U93" s="3023"/>
      <c r="V93" s="3023"/>
      <c r="W93" s="3023"/>
    </row>
    <row r="94" spans="1:33">
      <c r="A94" s="3599"/>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3"/>
      <c r="R94" s="3023"/>
      <c r="S94" s="3023"/>
      <c r="T94" s="3023"/>
      <c r="U94" s="3023"/>
      <c r="V94" s="3023"/>
      <c r="W94" s="3023"/>
    </row>
    <row r="95" spans="1:33">
      <c r="A95" s="3599"/>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3"/>
      <c r="R95" s="3023"/>
      <c r="S95" s="3023"/>
      <c r="T95" s="3023"/>
      <c r="U95" s="3023"/>
      <c r="V95" s="3023"/>
      <c r="W95" s="3023"/>
    </row>
    <row r="96" spans="1:33">
      <c r="A96" s="3599"/>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3"/>
      <c r="R96" s="3023"/>
      <c r="S96" s="3023"/>
      <c r="T96" s="3023"/>
      <c r="U96" s="3023"/>
      <c r="V96" s="3023"/>
      <c r="W96" s="3023"/>
    </row>
    <row r="97" spans="1:23">
      <c r="A97" s="3599"/>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3"/>
      <c r="R97" s="3023"/>
      <c r="S97" s="3023"/>
      <c r="T97" s="3023"/>
      <c r="U97" s="3023"/>
      <c r="V97" s="3023"/>
      <c r="W97" s="3023"/>
    </row>
    <row r="98" spans="1:23">
      <c r="A98" s="3599"/>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3"/>
      <c r="R98" s="3023"/>
      <c r="S98" s="3023"/>
      <c r="T98" s="3023"/>
      <c r="U98" s="3023"/>
      <c r="V98" s="3023"/>
      <c r="W98" s="3023"/>
    </row>
    <row r="99" spans="1:23">
      <c r="A99" s="3599"/>
      <c r="B99" s="2276" t="s">
        <v>2490</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3"/>
      <c r="R99" s="3023"/>
      <c r="S99" s="3023"/>
      <c r="T99" s="3023"/>
      <c r="U99" s="3023"/>
      <c r="V99" s="3023"/>
      <c r="W99" s="3023"/>
    </row>
    <row r="100" spans="1:23">
      <c r="A100" s="3600"/>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3"/>
      <c r="R100" s="3023"/>
      <c r="S100" s="3023"/>
      <c r="T100" s="3023"/>
      <c r="U100" s="3023"/>
      <c r="V100" s="3023"/>
      <c r="W100" s="3023"/>
    </row>
    <row r="101" spans="1:23">
      <c r="A101" s="3598" t="s">
        <v>2623</v>
      </c>
      <c r="B101" s="2280" t="s">
        <v>2624</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3"/>
      <c r="R101" s="3023"/>
      <c r="S101" s="3023"/>
      <c r="T101" s="3023"/>
      <c r="U101" s="3023"/>
      <c r="V101" s="3023"/>
      <c r="W101" s="3023"/>
    </row>
    <row r="102" spans="1:23">
      <c r="A102" s="3599"/>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3"/>
      <c r="R102" s="3023"/>
      <c r="S102" s="3023"/>
      <c r="T102" s="3023"/>
      <c r="U102" s="3023"/>
      <c r="V102" s="3023"/>
      <c r="W102" s="3023"/>
    </row>
    <row r="103" spans="1:23">
      <c r="A103" s="3599"/>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3"/>
      <c r="R103" s="3023"/>
      <c r="S103" s="3023"/>
      <c r="T103" s="3023"/>
      <c r="U103" s="3023"/>
      <c r="V103" s="3023"/>
      <c r="W103" s="3023"/>
    </row>
    <row r="104" spans="1:23">
      <c r="A104" s="3599"/>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3"/>
      <c r="R104" s="3023"/>
      <c r="S104" s="3023"/>
      <c r="T104" s="3023"/>
      <c r="U104" s="3023"/>
      <c r="V104" s="3023"/>
      <c r="W104" s="3023"/>
    </row>
    <row r="105" spans="1:23">
      <c r="A105" s="3599"/>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3"/>
      <c r="R105" s="3023"/>
      <c r="S105" s="3023"/>
      <c r="T105" s="3023"/>
      <c r="U105" s="3023"/>
      <c r="V105" s="3023"/>
      <c r="W105" s="3023"/>
    </row>
    <row r="106" spans="1:23">
      <c r="A106" s="3599"/>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3"/>
      <c r="R106" s="3023"/>
      <c r="S106" s="3023"/>
      <c r="T106" s="3023"/>
      <c r="U106" s="3023"/>
      <c r="V106" s="3023"/>
      <c r="W106" s="3023"/>
    </row>
    <row r="107" spans="1:23">
      <c r="A107" s="3599"/>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3"/>
      <c r="R107" s="3023"/>
      <c r="S107" s="3023"/>
      <c r="T107" s="3023"/>
      <c r="U107" s="3023"/>
      <c r="V107" s="3023"/>
      <c r="W107" s="3023"/>
    </row>
    <row r="108" spans="1:23">
      <c r="A108" s="3599"/>
      <c r="B108" s="3601" t="s">
        <v>2625</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3"/>
      <c r="R108" s="3023"/>
      <c r="S108" s="3023"/>
      <c r="T108" s="3023"/>
      <c r="U108" s="3023"/>
      <c r="V108" s="3023"/>
      <c r="W108" s="3023"/>
    </row>
    <row r="109" spans="1:23">
      <c r="A109" s="3600"/>
      <c r="B109" s="3602"/>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3"/>
      <c r="R109" s="3023"/>
      <c r="S109" s="3023"/>
      <c r="T109" s="3023"/>
      <c r="U109" s="3023"/>
      <c r="V109" s="3023"/>
      <c r="W109" s="3023"/>
    </row>
    <row r="110" spans="1:23">
      <c r="A110" s="3596" t="s">
        <v>2626</v>
      </c>
      <c r="B110" s="3596"/>
      <c r="C110" s="3596"/>
      <c r="D110" s="3596"/>
      <c r="E110" s="3596"/>
      <c r="F110" s="3596"/>
      <c r="G110" s="3596"/>
      <c r="H110" s="3596"/>
      <c r="I110" s="3596"/>
      <c r="J110" s="3596"/>
      <c r="K110" s="2047"/>
      <c r="L110" s="2047"/>
      <c r="M110" s="2047"/>
      <c r="N110" s="2047"/>
      <c r="Q110" s="3023"/>
      <c r="R110" s="3023"/>
      <c r="S110" s="3023"/>
      <c r="T110" s="3023"/>
      <c r="U110" s="3023"/>
      <c r="V110" s="3023"/>
      <c r="W110" s="3023"/>
    </row>
    <row r="112" spans="1:23" ht="13.5" thickBot="1"/>
    <row r="113" spans="1:13" ht="25.5" thickBot="1">
      <c r="A113" s="2282" t="s">
        <v>2627</v>
      </c>
      <c r="B113" s="2283">
        <f>G3</f>
        <v>2.5</v>
      </c>
      <c r="C113" s="2284" t="s">
        <v>2628</v>
      </c>
      <c r="D113" s="2285">
        <f>SUMPRODUCT((A115:A118=F113)*(B114:M114=H113)*B115:M118)</f>
        <v>0.80589999999999995</v>
      </c>
      <c r="E113" s="1569" t="s">
        <v>2514</v>
      </c>
      <c r="F113" s="2286" t="str">
        <f>E2</f>
        <v>商业</v>
      </c>
      <c r="G113" s="1569" t="s">
        <v>2448</v>
      </c>
      <c r="H113" s="2286" t="str">
        <f>G2</f>
        <v>四级</v>
      </c>
      <c r="I113" s="1569"/>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2515</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2516</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2517</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2518</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8"/>
      <c r="I2" s="2958"/>
      <c r="J2" s="2958"/>
      <c r="K2" s="2959"/>
      <c r="L2" s="2960"/>
      <c r="M2" s="2958"/>
      <c r="N2" s="2958"/>
      <c r="O2" s="2958"/>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362.84</v>
      </c>
      <c r="E3" s="2958"/>
      <c r="F3" s="2961"/>
      <c r="G3" s="2958"/>
      <c r="H3" s="2958"/>
      <c r="I3" s="2958"/>
      <c r="J3" s="2958"/>
      <c r="K3" s="2959"/>
      <c r="L3" s="2960"/>
      <c r="M3" s="2958"/>
      <c r="N3" s="2958"/>
      <c r="O3" s="2958"/>
      <c r="P3" s="1628"/>
      <c r="Q3" s="1624"/>
      <c r="R3" s="1624"/>
      <c r="S3" s="1624"/>
      <c r="T3" s="1624"/>
      <c r="U3" s="1624"/>
      <c r="V3" s="1624"/>
      <c r="W3" s="1624"/>
      <c r="X3" s="1624"/>
      <c r="Y3" s="1624"/>
      <c r="Z3" s="1624"/>
      <c r="AA3" s="1624"/>
      <c r="AB3" s="1624"/>
      <c r="AC3" s="1629"/>
    </row>
    <row r="4" spans="1:29" ht="15">
      <c r="A4" s="1630" t="s">
        <v>2186</v>
      </c>
      <c r="B4" s="1631"/>
      <c r="C4" s="3621" t="s">
        <v>2187</v>
      </c>
      <c r="D4" s="3622"/>
      <c r="E4" s="3623" t="s">
        <v>2188</v>
      </c>
      <c r="F4" s="3624"/>
      <c r="G4" s="3621" t="s">
        <v>2189</v>
      </c>
      <c r="H4" s="3622"/>
      <c r="I4" s="3621" t="s">
        <v>2190</v>
      </c>
      <c r="J4" s="3622"/>
      <c r="K4" s="1632" t="s">
        <v>2191</v>
      </c>
      <c r="L4" s="2962"/>
      <c r="M4" s="2963"/>
      <c r="N4" s="2963"/>
      <c r="O4" s="2963"/>
      <c r="P4" s="3625" t="s">
        <v>2192</v>
      </c>
      <c r="Q4" s="3626"/>
      <c r="R4" s="3631" t="s">
        <v>2188</v>
      </c>
      <c r="S4" s="3632"/>
      <c r="T4" s="3631" t="s">
        <v>2189</v>
      </c>
      <c r="U4" s="3632"/>
      <c r="V4" s="3637" t="s">
        <v>2190</v>
      </c>
      <c r="W4" s="3637"/>
      <c r="X4" s="1633"/>
      <c r="Y4" s="3631" t="s">
        <v>2192</v>
      </c>
      <c r="Z4" s="3632"/>
      <c r="AA4" s="3618" t="s">
        <v>2188</v>
      </c>
      <c r="AB4" s="3618" t="s">
        <v>2189</v>
      </c>
      <c r="AC4" s="3618" t="s">
        <v>2190</v>
      </c>
    </row>
    <row r="5" spans="1:29" ht="15">
      <c r="A5" s="1635"/>
      <c r="B5" s="1636"/>
      <c r="C5" s="3640" t="s">
        <v>2193</v>
      </c>
      <c r="D5" s="3641"/>
      <c r="E5" s="3638" t="s">
        <v>2194</v>
      </c>
      <c r="F5" s="3639"/>
      <c r="G5" s="3640" t="s">
        <v>2195</v>
      </c>
      <c r="H5" s="3641"/>
      <c r="I5" s="3640" t="s">
        <v>2196</v>
      </c>
      <c r="J5" s="3641"/>
      <c r="K5" s="1637"/>
      <c r="L5" s="2962"/>
      <c r="M5" s="2963"/>
      <c r="N5" s="2963"/>
      <c r="O5" s="2963"/>
      <c r="P5" s="3627"/>
      <c r="Q5" s="3628"/>
      <c r="R5" s="3633"/>
      <c r="S5" s="3634"/>
      <c r="T5" s="3633"/>
      <c r="U5" s="3634"/>
      <c r="V5" s="3637"/>
      <c r="W5" s="3637"/>
      <c r="X5" s="1633"/>
      <c r="Y5" s="3633"/>
      <c r="Z5" s="3634"/>
      <c r="AA5" s="3619"/>
      <c r="AB5" s="3619"/>
      <c r="AC5" s="3619"/>
    </row>
    <row r="6" spans="1:29" ht="15.75" thickBot="1">
      <c r="A6" s="1638"/>
      <c r="B6" s="1639"/>
      <c r="C6" s="3642" t="s">
        <v>2197</v>
      </c>
      <c r="D6" s="3643"/>
      <c r="E6" s="3644" t="s">
        <v>2197</v>
      </c>
      <c r="F6" s="3645"/>
      <c r="G6" s="3642" t="s">
        <v>2197</v>
      </c>
      <c r="H6" s="3643"/>
      <c r="I6" s="3642" t="s">
        <v>2197</v>
      </c>
      <c r="J6" s="3643"/>
      <c r="K6" s="1637" t="s">
        <v>2198</v>
      </c>
      <c r="L6" s="2962"/>
      <c r="M6" s="2963"/>
      <c r="N6" s="2963"/>
      <c r="O6" s="2963"/>
      <c r="P6" s="3629"/>
      <c r="Q6" s="3630"/>
      <c r="R6" s="3633"/>
      <c r="S6" s="3634"/>
      <c r="T6" s="3635"/>
      <c r="U6" s="3636"/>
      <c r="V6" s="3637"/>
      <c r="W6" s="3637"/>
      <c r="X6" s="1633"/>
      <c r="Y6" s="3635"/>
      <c r="Z6" s="3636"/>
      <c r="AA6" s="3620"/>
      <c r="AB6" s="3620"/>
      <c r="AC6" s="3620"/>
    </row>
    <row r="7" spans="1:29" s="1652" customFormat="1" ht="15.75" thickBot="1">
      <c r="A7" s="1640" t="s">
        <v>2199</v>
      </c>
      <c r="B7" s="1641"/>
      <c r="C7" s="1642">
        <f>'数据-取费表'!B2</f>
        <v>44554</v>
      </c>
      <c r="D7" s="1643">
        <v>100</v>
      </c>
      <c r="E7" s="1644"/>
      <c r="F7" s="1645">
        <f>SUMIF(58:58,YEAR(E7)&amp;"-"&amp;MONTH(E7),59:59)</f>
        <v>0</v>
      </c>
      <c r="G7" s="1644"/>
      <c r="H7" s="1643">
        <f>SUMIF(58:58,YEAR(G7)&amp;"-"&amp;MONTH(G7),59:59)</f>
        <v>0</v>
      </c>
      <c r="I7" s="1644"/>
      <c r="J7" s="1643">
        <f>SUMIF(58:58,YEAR(I7)&amp;"-"&amp;MONTH(I7),59:59)</f>
        <v>0</v>
      </c>
      <c r="K7" s="1646"/>
      <c r="L7" s="2962"/>
      <c r="M7" s="2935"/>
      <c r="N7" s="2935"/>
      <c r="O7" s="2935"/>
      <c r="P7" s="3653" t="s">
        <v>2200</v>
      </c>
      <c r="Q7" s="3655"/>
      <c r="R7" s="1648" t="s">
        <v>34</v>
      </c>
      <c r="S7" s="1649">
        <f t="shared" ref="S7:S15" si="0">F7</f>
        <v>0</v>
      </c>
      <c r="T7" s="1648" t="s">
        <v>34</v>
      </c>
      <c r="U7" s="1649">
        <f t="shared" ref="U7:U15" si="1">H7</f>
        <v>0</v>
      </c>
      <c r="V7" s="1648" t="s">
        <v>34</v>
      </c>
      <c r="W7" s="1649">
        <f t="shared" ref="W7:W15" si="2">J7</f>
        <v>0</v>
      </c>
      <c r="X7" s="1650"/>
      <c r="Y7" s="3653" t="s">
        <v>2200</v>
      </c>
      <c r="Z7" s="3654"/>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2"/>
      <c r="M8" s="2935"/>
      <c r="N8" s="2935"/>
      <c r="O8" s="2935"/>
      <c r="P8" s="3653" t="s">
        <v>2203</v>
      </c>
      <c r="Q8" s="3654"/>
      <c r="R8" s="1648" t="s">
        <v>34</v>
      </c>
      <c r="S8" s="1649">
        <f t="shared" si="0"/>
        <v>0</v>
      </c>
      <c r="T8" s="1648" t="s">
        <v>34</v>
      </c>
      <c r="U8" s="1649">
        <f t="shared" si="1"/>
        <v>0</v>
      </c>
      <c r="V8" s="1648" t="s">
        <v>34</v>
      </c>
      <c r="W8" s="1649">
        <f t="shared" si="2"/>
        <v>0</v>
      </c>
      <c r="X8" s="1650"/>
      <c r="Y8" s="3653" t="s">
        <v>2203</v>
      </c>
      <c r="Z8" s="3654"/>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2"/>
      <c r="M9" s="2935"/>
      <c r="N9" s="2935"/>
      <c r="O9" s="2935"/>
      <c r="P9" s="3656" t="s">
        <v>2206</v>
      </c>
      <c r="Q9" s="1602" t="str">
        <f t="shared" ref="Q9:Q15" si="6">B9</f>
        <v>用途</v>
      </c>
      <c r="R9" s="1648" t="s">
        <v>25</v>
      </c>
      <c r="S9" s="1649">
        <f t="shared" si="0"/>
        <v>100</v>
      </c>
      <c r="T9" s="1648" t="s">
        <v>25</v>
      </c>
      <c r="U9" s="1649">
        <f t="shared" si="1"/>
        <v>100</v>
      </c>
      <c r="V9" s="1648" t="s">
        <v>25</v>
      </c>
      <c r="W9" s="1649">
        <f t="shared" si="2"/>
        <v>100</v>
      </c>
      <c r="X9" s="1650"/>
      <c r="Y9" s="3433"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4"/>
      <c r="M10" s="2965"/>
      <c r="N10" s="2965"/>
      <c r="O10" s="2965"/>
      <c r="P10" s="3656"/>
      <c r="Q10" s="1602" t="str">
        <f t="shared" si="6"/>
        <v>土地使用年限（年）</v>
      </c>
      <c r="R10" s="1648" t="s">
        <v>25</v>
      </c>
      <c r="S10" s="1649">
        <f t="shared" si="0"/>
        <v>100</v>
      </c>
      <c r="T10" s="1648" t="s">
        <v>25</v>
      </c>
      <c r="U10" s="1649">
        <f t="shared" si="1"/>
        <v>100</v>
      </c>
      <c r="V10" s="1648" t="s">
        <v>25</v>
      </c>
      <c r="W10" s="1649">
        <f t="shared" si="2"/>
        <v>100</v>
      </c>
      <c r="X10" s="1650"/>
      <c r="Y10" s="3433"/>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6"/>
      <c r="M11" s="2963"/>
      <c r="N11" s="2963"/>
      <c r="O11" s="2963"/>
      <c r="P11" s="3656"/>
      <c r="Q11" s="1602" t="str">
        <f t="shared" si="6"/>
        <v>容积率</v>
      </c>
      <c r="R11" s="1648" t="s">
        <v>28</v>
      </c>
      <c r="S11" s="1649" t="e">
        <f t="shared" si="0"/>
        <v>#N/A</v>
      </c>
      <c r="T11" s="1648" t="s">
        <v>28</v>
      </c>
      <c r="U11" s="1649" t="e">
        <f t="shared" si="1"/>
        <v>#N/A</v>
      </c>
      <c r="V11" s="1648" t="s">
        <v>28</v>
      </c>
      <c r="W11" s="1649" t="e">
        <f t="shared" si="2"/>
        <v>#N/A</v>
      </c>
      <c r="X11" s="1650"/>
      <c r="Y11" s="3433"/>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2"/>
      <c r="M12" s="2935"/>
      <c r="N12" s="2935"/>
      <c r="O12" s="2935"/>
      <c r="P12" s="3656"/>
      <c r="Q12" s="1602">
        <f t="shared" si="6"/>
        <v>111</v>
      </c>
      <c r="R12" s="1648" t="s">
        <v>28</v>
      </c>
      <c r="S12" s="1649">
        <f t="shared" si="0"/>
        <v>100</v>
      </c>
      <c r="T12" s="1648" t="s">
        <v>28</v>
      </c>
      <c r="U12" s="1649">
        <f t="shared" si="1"/>
        <v>100</v>
      </c>
      <c r="V12" s="1648" t="s">
        <v>28</v>
      </c>
      <c r="W12" s="1649">
        <f t="shared" si="2"/>
        <v>100</v>
      </c>
      <c r="X12" s="1650"/>
      <c r="Y12" s="3433"/>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7"/>
      <c r="M13" s="2963"/>
      <c r="N13" s="2963"/>
      <c r="O13" s="2963"/>
      <c r="P13" s="3656"/>
      <c r="Q13" s="1602">
        <f t="shared" si="6"/>
        <v>111</v>
      </c>
      <c r="R13" s="1648" t="s">
        <v>28</v>
      </c>
      <c r="S13" s="1649">
        <f t="shared" si="0"/>
        <v>100</v>
      </c>
      <c r="T13" s="1648" t="s">
        <v>28</v>
      </c>
      <c r="U13" s="1649">
        <f t="shared" si="1"/>
        <v>100</v>
      </c>
      <c r="V13" s="1648" t="s">
        <v>28</v>
      </c>
      <c r="W13" s="1649">
        <f t="shared" si="2"/>
        <v>100</v>
      </c>
      <c r="X13" s="1650"/>
      <c r="Y13" s="3433"/>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7"/>
      <c r="M14" s="2963"/>
      <c r="N14" s="2963"/>
      <c r="O14" s="2963"/>
      <c r="P14" s="3656"/>
      <c r="Q14" s="1602">
        <f t="shared" si="6"/>
        <v>111</v>
      </c>
      <c r="R14" s="1648" t="s">
        <v>28</v>
      </c>
      <c r="S14" s="1649">
        <f t="shared" si="0"/>
        <v>100</v>
      </c>
      <c r="T14" s="1648" t="s">
        <v>28</v>
      </c>
      <c r="U14" s="1649">
        <f t="shared" si="1"/>
        <v>100</v>
      </c>
      <c r="V14" s="1648" t="s">
        <v>28</v>
      </c>
      <c r="W14" s="1649">
        <f t="shared" si="2"/>
        <v>100</v>
      </c>
      <c r="X14" s="1650"/>
      <c r="Y14" s="3433"/>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c r="L15" s="2967"/>
      <c r="M15" s="2963"/>
      <c r="N15" s="2963"/>
      <c r="O15" s="2963"/>
      <c r="P15" s="3659" t="s">
        <v>2211</v>
      </c>
      <c r="Q15" s="1583" t="str">
        <f t="shared" si="6"/>
        <v>居住社区成熟度</v>
      </c>
      <c r="R15" s="1693" t="s">
        <v>28</v>
      </c>
      <c r="S15" s="1694">
        <f t="shared" si="0"/>
        <v>100</v>
      </c>
      <c r="T15" s="1693" t="s">
        <v>28</v>
      </c>
      <c r="U15" s="1694">
        <f t="shared" si="1"/>
        <v>100</v>
      </c>
      <c r="V15" s="1693" t="s">
        <v>28</v>
      </c>
      <c r="W15" s="1694">
        <f t="shared" si="2"/>
        <v>100</v>
      </c>
      <c r="X15" s="1633"/>
      <c r="Y15" s="3646"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7"/>
      <c r="M16" s="2963"/>
      <c r="N16" s="2963"/>
      <c r="O16" s="2963"/>
      <c r="P16" s="3660"/>
      <c r="Q16" s="1583"/>
      <c r="R16" s="1693"/>
      <c r="S16" s="1694"/>
      <c r="T16" s="1693"/>
      <c r="U16" s="1694"/>
      <c r="V16" s="1693"/>
      <c r="W16" s="1694"/>
      <c r="X16" s="1633"/>
      <c r="Y16" s="3647"/>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c r="L17" s="2967"/>
      <c r="M17" s="2963"/>
      <c r="N17" s="2963"/>
      <c r="O17" s="2963"/>
      <c r="P17" s="3660"/>
      <c r="Q17" s="1583" t="str">
        <f>B17</f>
        <v>交通便捷度</v>
      </c>
      <c r="R17" s="1693" t="s">
        <v>28</v>
      </c>
      <c r="S17" s="1694">
        <f>F17</f>
        <v>100</v>
      </c>
      <c r="T17" s="1693" t="s">
        <v>28</v>
      </c>
      <c r="U17" s="1694">
        <f>H17</f>
        <v>100</v>
      </c>
      <c r="V17" s="1693" t="s">
        <v>28</v>
      </c>
      <c r="W17" s="1694">
        <f>J17</f>
        <v>100</v>
      </c>
      <c r="X17" s="1633"/>
      <c r="Y17" s="3647"/>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7"/>
      <c r="M18" s="2963"/>
      <c r="N18" s="2963"/>
      <c r="O18" s="2963"/>
      <c r="P18" s="3660"/>
      <c r="Q18" s="1583"/>
      <c r="R18" s="1693"/>
      <c r="S18" s="1694"/>
      <c r="T18" s="1693"/>
      <c r="U18" s="1694"/>
      <c r="V18" s="1693"/>
      <c r="W18" s="1694"/>
      <c r="X18" s="1633"/>
      <c r="Y18" s="3647"/>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c r="L19" s="2967"/>
      <c r="M19" s="2963"/>
      <c r="N19" s="2963"/>
      <c r="O19" s="2963"/>
      <c r="P19" s="3660"/>
      <c r="Q19" s="1583" t="str">
        <f>B19</f>
        <v>公共配套设施</v>
      </c>
      <c r="R19" s="1693" t="s">
        <v>28</v>
      </c>
      <c r="S19" s="1694">
        <f>F19</f>
        <v>100</v>
      </c>
      <c r="T19" s="1693" t="s">
        <v>28</v>
      </c>
      <c r="U19" s="1694">
        <f>H19</f>
        <v>100</v>
      </c>
      <c r="V19" s="1693" t="s">
        <v>28</v>
      </c>
      <c r="W19" s="1694">
        <f>J19</f>
        <v>100</v>
      </c>
      <c r="X19" s="1633"/>
      <c r="Y19" s="3647"/>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7"/>
      <c r="M20" s="2963"/>
      <c r="N20" s="2963"/>
      <c r="O20" s="2963"/>
      <c r="P20" s="3660"/>
      <c r="Q20" s="1583"/>
      <c r="R20" s="1693"/>
      <c r="S20" s="1694"/>
      <c r="T20" s="1693"/>
      <c r="U20" s="1694"/>
      <c r="V20" s="1693"/>
      <c r="W20" s="1694"/>
      <c r="X20" s="1633"/>
      <c r="Y20" s="3647"/>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c r="L21" s="2967"/>
      <c r="M21" s="2963"/>
      <c r="N21" s="2963"/>
      <c r="O21" s="2963"/>
      <c r="P21" s="3660"/>
      <c r="Q21" s="1583" t="str">
        <f>B21</f>
        <v>基础设施水平</v>
      </c>
      <c r="R21" s="1693" t="s">
        <v>28</v>
      </c>
      <c r="S21" s="1694">
        <f>F21</f>
        <v>100</v>
      </c>
      <c r="T21" s="1693" t="s">
        <v>28</v>
      </c>
      <c r="U21" s="1694">
        <f>H21</f>
        <v>100</v>
      </c>
      <c r="V21" s="1693" t="s">
        <v>28</v>
      </c>
      <c r="W21" s="1694">
        <f>J21</f>
        <v>100</v>
      </c>
      <c r="X21" s="1633"/>
      <c r="Y21" s="3647"/>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7"/>
      <c r="M22" s="2963"/>
      <c r="N22" s="2963"/>
      <c r="O22" s="2963"/>
      <c r="P22" s="3660"/>
      <c r="Q22" s="1583"/>
      <c r="R22" s="1693"/>
      <c r="S22" s="1694"/>
      <c r="T22" s="1693"/>
      <c r="U22" s="1694"/>
      <c r="V22" s="1693"/>
      <c r="W22" s="1694"/>
      <c r="X22" s="1633"/>
      <c r="Y22" s="3647"/>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7"/>
      <c r="M23" s="2963"/>
      <c r="N23" s="2963"/>
      <c r="O23" s="2963"/>
      <c r="P23" s="3660"/>
      <c r="Q23" s="1583" t="str">
        <f>B23</f>
        <v>自然及人文环境</v>
      </c>
      <c r="R23" s="1693" t="s">
        <v>28</v>
      </c>
      <c r="S23" s="1694">
        <f>F23</f>
        <v>100</v>
      </c>
      <c r="T23" s="1693" t="s">
        <v>28</v>
      </c>
      <c r="U23" s="1694">
        <f>H23</f>
        <v>100</v>
      </c>
      <c r="V23" s="1693" t="s">
        <v>28</v>
      </c>
      <c r="W23" s="1694">
        <f>J23</f>
        <v>100</v>
      </c>
      <c r="X23" s="1633"/>
      <c r="Y23" s="3647"/>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7"/>
      <c r="M24" s="2963"/>
      <c r="N24" s="2963"/>
      <c r="O24" s="2963"/>
      <c r="P24" s="3660"/>
      <c r="Q24" s="1583"/>
      <c r="R24" s="1693"/>
      <c r="S24" s="1694"/>
      <c r="T24" s="1693"/>
      <c r="U24" s="1694"/>
      <c r="V24" s="1693"/>
      <c r="W24" s="1694"/>
      <c r="X24" s="1633"/>
      <c r="Y24" s="3647"/>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7"/>
      <c r="M25" s="2963"/>
      <c r="N25" s="2963"/>
      <c r="O25" s="2963"/>
      <c r="P25" s="3660"/>
      <c r="Q25" s="1583" t="str">
        <f t="shared" ref="Q25:Q46" si="11">B25</f>
        <v>楼层-1</v>
      </c>
      <c r="R25" s="1693" t="s">
        <v>28</v>
      </c>
      <c r="S25" s="1694">
        <f>F25</f>
        <v>100</v>
      </c>
      <c r="T25" s="1693" t="s">
        <v>28</v>
      </c>
      <c r="U25" s="1694">
        <f>H25</f>
        <v>100</v>
      </c>
      <c r="V25" s="1693" t="s">
        <v>28</v>
      </c>
      <c r="W25" s="1694">
        <f>J25</f>
        <v>100</v>
      </c>
      <c r="X25" s="1633"/>
      <c r="Y25" s="3647"/>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7"/>
      <c r="M26" s="2963"/>
      <c r="N26" s="2963"/>
      <c r="O26" s="2963"/>
      <c r="P26" s="3660"/>
      <c r="Q26" s="1583" t="str">
        <f t="shared" si="11"/>
        <v>朝向</v>
      </c>
      <c r="R26" s="1693" t="s">
        <v>28</v>
      </c>
      <c r="S26" s="1694">
        <f>F26</f>
        <v>100</v>
      </c>
      <c r="T26" s="1693" t="s">
        <v>28</v>
      </c>
      <c r="U26" s="1694">
        <f>H26</f>
        <v>100</v>
      </c>
      <c r="V26" s="1693" t="s">
        <v>28</v>
      </c>
      <c r="W26" s="1694">
        <f>J26</f>
        <v>100</v>
      </c>
      <c r="X26" s="1633"/>
      <c r="Y26" s="3647"/>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2"/>
      <c r="M27" s="2935"/>
      <c r="N27" s="2935"/>
      <c r="O27" s="2935"/>
      <c r="P27" s="3660"/>
      <c r="Q27" s="1602" t="str">
        <f t="shared" si="11"/>
        <v>道路级别</v>
      </c>
      <c r="R27" s="1648" t="s">
        <v>28</v>
      </c>
      <c r="S27" s="1649">
        <f>F27</f>
        <v>100</v>
      </c>
      <c r="T27" s="1648" t="s">
        <v>28</v>
      </c>
      <c r="U27" s="1649">
        <f>H27</f>
        <v>100</v>
      </c>
      <c r="V27" s="1648" t="s">
        <v>28</v>
      </c>
      <c r="W27" s="1649">
        <f>J27</f>
        <v>100</v>
      </c>
      <c r="X27" s="1650"/>
      <c r="Y27" s="3647"/>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7"/>
      <c r="M28" s="2963"/>
      <c r="N28" s="2963"/>
      <c r="O28" s="2963"/>
      <c r="P28" s="3660"/>
      <c r="Q28" s="1583">
        <f t="shared" si="11"/>
        <v>111</v>
      </c>
      <c r="R28" s="1693" t="s">
        <v>28</v>
      </c>
      <c r="S28" s="1694">
        <f t="shared" ref="S28:S46" si="12">F28</f>
        <v>100</v>
      </c>
      <c r="T28" s="1693" t="s">
        <v>28</v>
      </c>
      <c r="U28" s="1694">
        <f t="shared" ref="U28:U46" si="13">H28</f>
        <v>100</v>
      </c>
      <c r="V28" s="1693" t="s">
        <v>28</v>
      </c>
      <c r="W28" s="1694">
        <f t="shared" ref="W28:W46" si="14">J28</f>
        <v>100</v>
      </c>
      <c r="X28" s="1633"/>
      <c r="Y28" s="3647"/>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7"/>
      <c r="M29" s="2963"/>
      <c r="N29" s="2963"/>
      <c r="O29" s="2963"/>
      <c r="P29" s="3660"/>
      <c r="Q29" s="1583">
        <f t="shared" si="11"/>
        <v>111</v>
      </c>
      <c r="R29" s="1693" t="s">
        <v>28</v>
      </c>
      <c r="S29" s="1694">
        <f t="shared" si="12"/>
        <v>100</v>
      </c>
      <c r="T29" s="1693" t="s">
        <v>28</v>
      </c>
      <c r="U29" s="1694">
        <f t="shared" si="13"/>
        <v>100</v>
      </c>
      <c r="V29" s="1693" t="s">
        <v>28</v>
      </c>
      <c r="W29" s="1694">
        <f t="shared" si="14"/>
        <v>100</v>
      </c>
      <c r="X29" s="1633"/>
      <c r="Y29" s="3647"/>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7"/>
      <c r="M30" s="2963"/>
      <c r="N30" s="2963"/>
      <c r="O30" s="2963"/>
      <c r="P30" s="3660"/>
      <c r="Q30" s="1583">
        <f t="shared" si="11"/>
        <v>111</v>
      </c>
      <c r="R30" s="1693" t="s">
        <v>28</v>
      </c>
      <c r="S30" s="1694">
        <f t="shared" si="12"/>
        <v>100</v>
      </c>
      <c r="T30" s="1693" t="s">
        <v>28</v>
      </c>
      <c r="U30" s="1694">
        <f t="shared" si="13"/>
        <v>100</v>
      </c>
      <c r="V30" s="1693" t="s">
        <v>28</v>
      </c>
      <c r="W30" s="1694">
        <f t="shared" si="14"/>
        <v>100</v>
      </c>
      <c r="X30" s="1633"/>
      <c r="Y30" s="3647"/>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7"/>
      <c r="M31" s="2963"/>
      <c r="N31" s="2963"/>
      <c r="O31" s="2963"/>
      <c r="P31" s="3660"/>
      <c r="Q31" s="1583">
        <f t="shared" si="11"/>
        <v>111</v>
      </c>
      <c r="R31" s="1693" t="s">
        <v>28</v>
      </c>
      <c r="S31" s="1694">
        <f t="shared" si="12"/>
        <v>100</v>
      </c>
      <c r="T31" s="1693" t="s">
        <v>28</v>
      </c>
      <c r="U31" s="1694">
        <f t="shared" si="13"/>
        <v>100</v>
      </c>
      <c r="V31" s="1693" t="s">
        <v>28</v>
      </c>
      <c r="W31" s="1694">
        <f t="shared" si="14"/>
        <v>100</v>
      </c>
      <c r="X31" s="1633"/>
      <c r="Y31" s="3647"/>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7"/>
      <c r="M32" s="2963"/>
      <c r="N32" s="2963"/>
      <c r="O32" s="2963"/>
      <c r="P32" s="3648" t="s">
        <v>2217</v>
      </c>
      <c r="Q32" s="1583" t="str">
        <f t="shared" si="11"/>
        <v>建筑类型</v>
      </c>
      <c r="R32" s="1693" t="s">
        <v>28</v>
      </c>
      <c r="S32" s="1694">
        <f t="shared" si="12"/>
        <v>100</v>
      </c>
      <c r="T32" s="1693" t="s">
        <v>28</v>
      </c>
      <c r="U32" s="1694">
        <f t="shared" si="13"/>
        <v>100</v>
      </c>
      <c r="V32" s="1693" t="s">
        <v>28</v>
      </c>
      <c r="W32" s="1694">
        <f t="shared" si="14"/>
        <v>100</v>
      </c>
      <c r="X32" s="1633"/>
      <c r="Y32" s="3651"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6"/>
      <c r="M33" s="2027"/>
      <c r="N33" s="2027"/>
      <c r="O33" s="2027"/>
      <c r="P33" s="3649"/>
      <c r="Q33" s="1734" t="str">
        <f t="shared" si="11"/>
        <v>项目建筑规模</v>
      </c>
      <c r="R33" s="1735" t="s">
        <v>28</v>
      </c>
      <c r="S33" s="1736" t="e">
        <f t="shared" si="12"/>
        <v>#N/A</v>
      </c>
      <c r="T33" s="1735" t="s">
        <v>28</v>
      </c>
      <c r="U33" s="1736" t="e">
        <f t="shared" si="13"/>
        <v>#N/A</v>
      </c>
      <c r="V33" s="1735" t="s">
        <v>28</v>
      </c>
      <c r="W33" s="1736" t="e">
        <f t="shared" si="14"/>
        <v>#N/A</v>
      </c>
      <c r="X33" s="1737"/>
      <c r="Y33" s="3651"/>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7"/>
      <c r="M34" s="2963"/>
      <c r="N34" s="2963"/>
      <c r="O34" s="2963"/>
      <c r="P34" s="3649"/>
      <c r="Q34" s="1583" t="str">
        <f t="shared" si="11"/>
        <v>建筑结构</v>
      </c>
      <c r="R34" s="1693" t="s">
        <v>28</v>
      </c>
      <c r="S34" s="1694">
        <f t="shared" si="12"/>
        <v>100</v>
      </c>
      <c r="T34" s="1693" t="s">
        <v>28</v>
      </c>
      <c r="U34" s="1694">
        <f t="shared" si="13"/>
        <v>100</v>
      </c>
      <c r="V34" s="1693" t="s">
        <v>28</v>
      </c>
      <c r="W34" s="1694">
        <f t="shared" si="14"/>
        <v>100</v>
      </c>
      <c r="X34" s="1633"/>
      <c r="Y34" s="3651"/>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7"/>
      <c r="M35" s="2963"/>
      <c r="N35" s="2963"/>
      <c r="O35" s="2963"/>
      <c r="P35" s="3649"/>
      <c r="Q35" s="1583" t="str">
        <f t="shared" si="11"/>
        <v>建筑品质</v>
      </c>
      <c r="R35" s="1693" t="s">
        <v>28</v>
      </c>
      <c r="S35" s="1694">
        <f t="shared" si="12"/>
        <v>100</v>
      </c>
      <c r="T35" s="1693" t="s">
        <v>28</v>
      </c>
      <c r="U35" s="1694">
        <f t="shared" si="13"/>
        <v>100</v>
      </c>
      <c r="V35" s="1693" t="s">
        <v>28</v>
      </c>
      <c r="W35" s="1694">
        <f t="shared" si="14"/>
        <v>100</v>
      </c>
      <c r="X35" s="1633"/>
      <c r="Y35" s="3651"/>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7"/>
      <c r="M36" s="2963"/>
      <c r="N36" s="2963"/>
      <c r="O36" s="2963"/>
      <c r="P36" s="3649"/>
      <c r="Q36" s="1583" t="str">
        <f t="shared" si="11"/>
        <v>公共部分装修</v>
      </c>
      <c r="R36" s="1693" t="s">
        <v>28</v>
      </c>
      <c r="S36" s="1694">
        <f t="shared" si="12"/>
        <v>100</v>
      </c>
      <c r="T36" s="1693" t="s">
        <v>28</v>
      </c>
      <c r="U36" s="1694">
        <f t="shared" si="13"/>
        <v>100</v>
      </c>
      <c r="V36" s="1693" t="s">
        <v>28</v>
      </c>
      <c r="W36" s="1694">
        <f t="shared" si="14"/>
        <v>100</v>
      </c>
      <c r="X36" s="1633"/>
      <c r="Y36" s="3651"/>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2"/>
      <c r="M37" s="2935"/>
      <c r="N37" s="2935"/>
      <c r="O37" s="2935"/>
      <c r="P37" s="3649"/>
      <c r="Q37" s="1602" t="str">
        <f t="shared" si="11"/>
        <v>成新度</v>
      </c>
      <c r="R37" s="1648" t="s">
        <v>28</v>
      </c>
      <c r="S37" s="1649" t="e">
        <f t="shared" si="12"/>
        <v>#N/A</v>
      </c>
      <c r="T37" s="1648" t="s">
        <v>28</v>
      </c>
      <c r="U37" s="1649" t="e">
        <f t="shared" si="13"/>
        <v>#N/A</v>
      </c>
      <c r="V37" s="1648" t="s">
        <v>28</v>
      </c>
      <c r="W37" s="1649" t="e">
        <f t="shared" si="14"/>
        <v>#N/A</v>
      </c>
      <c r="X37" s="1650"/>
      <c r="Y37" s="3651"/>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7"/>
      <c r="M38" s="2963"/>
      <c r="N38" s="2963"/>
      <c r="O38" s="2963"/>
      <c r="P38" s="3649" t="s">
        <v>2217</v>
      </c>
      <c r="Q38" s="1583" t="str">
        <f t="shared" si="11"/>
        <v>物业管理</v>
      </c>
      <c r="R38" s="1693" t="s">
        <v>28</v>
      </c>
      <c r="S38" s="1694">
        <f t="shared" si="12"/>
        <v>100</v>
      </c>
      <c r="T38" s="1693" t="s">
        <v>28</v>
      </c>
      <c r="U38" s="1694">
        <f t="shared" si="13"/>
        <v>100</v>
      </c>
      <c r="V38" s="1693" t="s">
        <v>28</v>
      </c>
      <c r="W38" s="1694">
        <f t="shared" si="14"/>
        <v>100</v>
      </c>
      <c r="X38" s="1633"/>
      <c r="Y38" s="3651"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7"/>
      <c r="M39" s="2963"/>
      <c r="N39" s="2963"/>
      <c r="O39" s="2963"/>
      <c r="P39" s="3649"/>
      <c r="Q39" s="1583" t="str">
        <f t="shared" si="11"/>
        <v>市政基础设施</v>
      </c>
      <c r="R39" s="1693" t="s">
        <v>28</v>
      </c>
      <c r="S39" s="1694">
        <f t="shared" si="12"/>
        <v>100</v>
      </c>
      <c r="T39" s="1693" t="s">
        <v>28</v>
      </c>
      <c r="U39" s="1694">
        <f t="shared" si="13"/>
        <v>100</v>
      </c>
      <c r="V39" s="1693" t="s">
        <v>28</v>
      </c>
      <c r="W39" s="1694">
        <f t="shared" si="14"/>
        <v>100</v>
      </c>
      <c r="X39" s="1633"/>
      <c r="Y39" s="3651"/>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7"/>
      <c r="M40" s="2963"/>
      <c r="N40" s="2963"/>
      <c r="O40" s="2963"/>
      <c r="P40" s="3649"/>
      <c r="Q40" s="1583" t="str">
        <f t="shared" si="11"/>
        <v>房型</v>
      </c>
      <c r="R40" s="1693" t="s">
        <v>28</v>
      </c>
      <c r="S40" s="1694">
        <f t="shared" si="12"/>
        <v>100</v>
      </c>
      <c r="T40" s="1693" t="s">
        <v>28</v>
      </c>
      <c r="U40" s="1694">
        <f t="shared" si="13"/>
        <v>100</v>
      </c>
      <c r="V40" s="1693" t="s">
        <v>28</v>
      </c>
      <c r="W40" s="1694">
        <f t="shared" si="14"/>
        <v>100</v>
      </c>
      <c r="X40" s="1633"/>
      <c r="Y40" s="3651"/>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6"/>
      <c r="M41" s="2027"/>
      <c r="N41" s="2027"/>
      <c r="O41" s="2027"/>
      <c r="P41" s="3649"/>
      <c r="Q41" s="1734" t="str">
        <f t="shared" si="11"/>
        <v>单套/主力户型建筑面积</v>
      </c>
      <c r="R41" s="1735" t="s">
        <v>28</v>
      </c>
      <c r="S41" s="1736">
        <f t="shared" si="12"/>
        <v>100</v>
      </c>
      <c r="T41" s="1735" t="s">
        <v>28</v>
      </c>
      <c r="U41" s="1736">
        <f t="shared" si="13"/>
        <v>100</v>
      </c>
      <c r="V41" s="1735" t="s">
        <v>28</v>
      </c>
      <c r="W41" s="1736">
        <f t="shared" si="14"/>
        <v>100</v>
      </c>
      <c r="X41" s="1737"/>
      <c r="Y41" s="3651"/>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7"/>
      <c r="M42" s="2963"/>
      <c r="N42" s="2963"/>
      <c r="O42" s="2963"/>
      <c r="P42" s="3649"/>
      <c r="Q42" s="1583" t="str">
        <f t="shared" si="11"/>
        <v>内部装修</v>
      </c>
      <c r="R42" s="1693" t="s">
        <v>28</v>
      </c>
      <c r="S42" s="1694">
        <f t="shared" si="12"/>
        <v>100</v>
      </c>
      <c r="T42" s="1693" t="s">
        <v>28</v>
      </c>
      <c r="U42" s="1694">
        <f t="shared" si="13"/>
        <v>100</v>
      </c>
      <c r="V42" s="1693" t="s">
        <v>28</v>
      </c>
      <c r="W42" s="1694">
        <f t="shared" si="14"/>
        <v>100</v>
      </c>
      <c r="X42" s="1633"/>
      <c r="Y42" s="3651"/>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7"/>
      <c r="M43" s="2963"/>
      <c r="N43" s="2963"/>
      <c r="O43" s="2963"/>
      <c r="P43" s="3649"/>
      <c r="Q43" s="1583" t="str">
        <f t="shared" si="11"/>
        <v>内部装修维护情况</v>
      </c>
      <c r="R43" s="1693" t="s">
        <v>28</v>
      </c>
      <c r="S43" s="1694">
        <f t="shared" si="12"/>
        <v>100</v>
      </c>
      <c r="T43" s="1693" t="s">
        <v>28</v>
      </c>
      <c r="U43" s="1694">
        <f t="shared" si="13"/>
        <v>100</v>
      </c>
      <c r="V43" s="1693" t="s">
        <v>28</v>
      </c>
      <c r="W43" s="1694">
        <f t="shared" si="14"/>
        <v>100</v>
      </c>
      <c r="X43" s="1633"/>
      <c r="Y43" s="3651"/>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2"/>
      <c r="M44" s="2935"/>
      <c r="N44" s="2935"/>
      <c r="O44" s="2935"/>
      <c r="P44" s="3649"/>
      <c r="Q44" s="1602">
        <f t="shared" si="11"/>
        <v>111</v>
      </c>
      <c r="R44" s="1648" t="s">
        <v>28</v>
      </c>
      <c r="S44" s="1649">
        <f t="shared" si="12"/>
        <v>100</v>
      </c>
      <c r="T44" s="1648" t="s">
        <v>28</v>
      </c>
      <c r="U44" s="1649">
        <f t="shared" si="13"/>
        <v>100</v>
      </c>
      <c r="V44" s="1648" t="s">
        <v>28</v>
      </c>
      <c r="W44" s="1649">
        <f t="shared" si="14"/>
        <v>100</v>
      </c>
      <c r="X44" s="1650"/>
      <c r="Y44" s="3651"/>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7"/>
      <c r="M45" s="2963"/>
      <c r="N45" s="2963"/>
      <c r="O45" s="2963"/>
      <c r="P45" s="3649"/>
      <c r="Q45" s="1583">
        <f t="shared" si="11"/>
        <v>111</v>
      </c>
      <c r="R45" s="1693" t="s">
        <v>28</v>
      </c>
      <c r="S45" s="1694">
        <f t="shared" si="12"/>
        <v>100</v>
      </c>
      <c r="T45" s="1693" t="s">
        <v>28</v>
      </c>
      <c r="U45" s="1694">
        <f t="shared" si="13"/>
        <v>100</v>
      </c>
      <c r="V45" s="1693" t="s">
        <v>28</v>
      </c>
      <c r="W45" s="1694">
        <f t="shared" si="14"/>
        <v>100</v>
      </c>
      <c r="X45" s="1633"/>
      <c r="Y45" s="3651"/>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7"/>
      <c r="M46" s="2963"/>
      <c r="N46" s="2963"/>
      <c r="O46" s="2963"/>
      <c r="P46" s="3650"/>
      <c r="Q46" s="1583">
        <f t="shared" si="11"/>
        <v>111</v>
      </c>
      <c r="R46" s="1693" t="s">
        <v>27</v>
      </c>
      <c r="S46" s="1694">
        <f t="shared" si="12"/>
        <v>100</v>
      </c>
      <c r="T46" s="1693" t="s">
        <v>27</v>
      </c>
      <c r="U46" s="1694">
        <f t="shared" si="13"/>
        <v>100</v>
      </c>
      <c r="V46" s="1693" t="s">
        <v>27</v>
      </c>
      <c r="W46" s="1694">
        <f t="shared" si="14"/>
        <v>100</v>
      </c>
      <c r="X46" s="1633"/>
      <c r="Y46" s="3652"/>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8"/>
      <c r="N47" s="2963"/>
      <c r="P47" s="3657" t="str">
        <f>A47</f>
        <v>成交单价（元/平方米）</v>
      </c>
      <c r="Q47" s="3657"/>
      <c r="R47" s="3658">
        <f>E47</f>
        <v>0</v>
      </c>
      <c r="S47" s="3658"/>
      <c r="T47" s="3658">
        <f>G47</f>
        <v>0</v>
      </c>
      <c r="U47" s="3658"/>
      <c r="V47" s="3658">
        <f>I47</f>
        <v>0</v>
      </c>
      <c r="W47" s="3658"/>
      <c r="X47" s="1759"/>
      <c r="Y47" s="1760"/>
      <c r="Z47" s="1759"/>
      <c r="AA47" s="1759"/>
      <c r="AB47" s="1759"/>
      <c r="AC47" s="1759"/>
    </row>
    <row r="48" spans="1:29" ht="15.75" thickBot="1">
      <c r="A48" s="1761" t="s">
        <v>2230</v>
      </c>
      <c r="B48" s="1762"/>
      <c r="C48" s="1763" t="e">
        <f>R49</f>
        <v>#DIV/0!</v>
      </c>
      <c r="D48" s="1764" t="s">
        <v>2686</v>
      </c>
      <c r="E48" s="1765" t="e">
        <f>R48</f>
        <v>#DIV/0!</v>
      </c>
      <c r="F48" s="1766"/>
      <c r="G48" s="1763" t="e">
        <f>T48</f>
        <v>#DIV/0!</v>
      </c>
      <c r="H48" s="1766"/>
      <c r="I48" s="1765" t="e">
        <f>V48</f>
        <v>#DIV/0!</v>
      </c>
      <c r="J48" s="1766"/>
      <c r="K48" s="2479">
        <f>F48+H48+J48</f>
        <v>0</v>
      </c>
      <c r="L48" s="2968"/>
      <c r="P48" s="3657" t="str">
        <f>A48</f>
        <v>比较价值（元/平方米）</v>
      </c>
      <c r="Q48" s="3657"/>
      <c r="R48" s="3658" t="e">
        <f>IF(E1="售价",ROUND(PRODUCT(R47,AA7:AA46),0),ROUND(PRODUCT(R47,AA7:AA46),1))</f>
        <v>#DIV/0!</v>
      </c>
      <c r="S48" s="3658"/>
      <c r="T48" s="3661" t="e">
        <f>IF(E1="售价",ROUND(PRODUCT(T47,AB7:AB46),0),ROUND(PRODUCT(T47,AB7:AB46),1))</f>
        <v>#DIV/0!</v>
      </c>
      <c r="U48" s="3662"/>
      <c r="V48" s="3658" t="e">
        <f>IF(E1="售价",ROUND(PRODUCT(V47,AC7:AC46),0),ROUND(PRODUCT(V47,AC7:AC46),1))</f>
        <v>#DIV/0!</v>
      </c>
      <c r="W48" s="3658"/>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8"/>
      <c r="P49" s="3663" t="str">
        <f>A49</f>
        <v>估价对象XX用房的比较价值（楼面单价，元/平方米）</v>
      </c>
      <c r="Q49" s="3664"/>
      <c r="R49" s="3665" t="e">
        <f>IF(E1="售价",ROUND(IF(D48="简单平均",AVERAGE(R48:V48),R48*F48+T48*H48+V48*J48),0),ROUND(IF(D48="简单平均",AVERAGE(R48:V48),R48*F48+T48*H48+V48*J48),1))</f>
        <v>#DIV/0!</v>
      </c>
      <c r="S49" s="3665"/>
      <c r="T49" s="3665"/>
      <c r="U49" s="3665"/>
      <c r="V49" s="3665"/>
      <c r="W49" s="3665"/>
      <c r="X49" s="1759"/>
      <c r="Y49" s="1759"/>
      <c r="Z49" s="1759"/>
      <c r="AA49" s="1759"/>
      <c r="AB49" s="1759"/>
      <c r="AC49" s="1759"/>
    </row>
    <row r="50" spans="1:29">
      <c r="G50" s="2972"/>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1780"/>
    </row>
    <row r="55" spans="1:29" s="1781" customFormat="1">
      <c r="B55" s="2973"/>
      <c r="C55" s="2974"/>
      <c r="K55" s="2975"/>
      <c r="L55" s="2969"/>
      <c r="P55" s="1780"/>
    </row>
    <row r="56" spans="1:29">
      <c r="B56" s="2973"/>
      <c r="C56" s="2974"/>
    </row>
    <row r="57" spans="1:29" ht="21.75" thickBot="1">
      <c r="A57" s="1784" t="s">
        <v>2235</v>
      </c>
      <c r="B57" s="1759"/>
      <c r="C57" s="1785"/>
      <c r="D57" s="1785"/>
      <c r="E57" s="1785"/>
      <c r="F57" s="1785"/>
      <c r="G57" s="1785"/>
      <c r="H57" s="1785"/>
      <c r="I57" s="1785"/>
      <c r="J57" s="1785"/>
      <c r="K57" s="1786"/>
      <c r="L57" s="2970"/>
      <c r="M57" s="2971"/>
      <c r="N57" s="2971"/>
      <c r="O57" s="2971"/>
      <c r="P57" s="1788"/>
      <c r="Q57" s="1789"/>
    </row>
    <row r="58" spans="1:29" s="1795" customFormat="1" ht="15">
      <c r="A58" s="1790" t="s">
        <v>2236</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87" t="s">
        <v>2290</v>
      </c>
      <c r="E144" s="1901">
        <v>102</v>
      </c>
      <c r="F144" s="1909">
        <v>100</v>
      </c>
      <c r="G144" s="1387"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8" zoomScale="85" zoomScaleNormal="70" zoomScaleSheetLayoutView="85" workbookViewId="0">
      <selection activeCell="H50" sqref="H50"/>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2689</v>
      </c>
      <c r="D1" s="2437"/>
      <c r="E1" s="1608" t="s">
        <v>2687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1906</v>
      </c>
      <c r="C2" s="1618" t="str">
        <f>'数据-取费表'!B3</f>
        <v>万元</v>
      </c>
      <c r="D2" s="1619" t="s">
        <v>1183</v>
      </c>
      <c r="E2" s="2438" t="e">
        <f ca="1">SUMIF(INDIRECT("'"&amp;G2&amp;"'"&amp;"!A:A"),"承租人权益价值",INDIRECT("'"&amp;G2&amp;"'"&amp;"!c:c"))</f>
        <v>#REF!</v>
      </c>
      <c r="F2" s="1621" t="str">
        <f>C2</f>
        <v>万元</v>
      </c>
      <c r="G2" s="1622"/>
      <c r="H2" s="2977"/>
      <c r="I2" s="2977"/>
      <c r="J2" s="2977"/>
      <c r="K2" s="2977"/>
      <c r="L2" s="2979"/>
      <c r="M2" s="2977"/>
      <c r="N2" s="2977"/>
      <c r="O2" s="2977"/>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52517</v>
      </c>
      <c r="C3" s="1627" t="s">
        <v>2185</v>
      </c>
      <c r="D3" s="1627">
        <f>IF(C1="仅计算典型户型",'数据-取费表'!E5,'数据-取费表'!B5)</f>
        <v>362.84</v>
      </c>
      <c r="F3" s="2976"/>
      <c r="G3" s="2977"/>
      <c r="H3" s="2977"/>
      <c r="I3" s="2977"/>
      <c r="J3" s="2977"/>
      <c r="K3" s="2978"/>
      <c r="L3" s="2979"/>
      <c r="M3" s="2977"/>
      <c r="N3" s="2977"/>
      <c r="O3" s="2977"/>
      <c r="P3" s="2439"/>
      <c r="Q3" s="1924"/>
      <c r="R3" s="1924"/>
      <c r="S3" s="1924"/>
      <c r="T3" s="1924"/>
      <c r="U3" s="1924"/>
      <c r="V3" s="1924"/>
      <c r="W3" s="1924"/>
      <c r="X3" s="1924"/>
      <c r="Y3" s="1924"/>
      <c r="Z3" s="1924"/>
      <c r="AA3" s="1924"/>
      <c r="AB3" s="1924"/>
      <c r="AC3" s="1932"/>
    </row>
    <row r="4" spans="1:29" ht="15">
      <c r="A4" s="1630" t="s">
        <v>2186</v>
      </c>
      <c r="B4" s="1631"/>
      <c r="C4" s="3621" t="s">
        <v>2187</v>
      </c>
      <c r="D4" s="3622"/>
      <c r="E4" s="3623" t="s">
        <v>2188</v>
      </c>
      <c r="F4" s="3624"/>
      <c r="G4" s="3621" t="s">
        <v>2189</v>
      </c>
      <c r="H4" s="3622"/>
      <c r="I4" s="3621" t="s">
        <v>2190</v>
      </c>
      <c r="J4" s="3622"/>
      <c r="K4" s="1933" t="s">
        <v>2191</v>
      </c>
      <c r="L4" s="2962"/>
      <c r="M4" s="2963"/>
      <c r="N4" s="2963"/>
      <c r="O4" s="2963"/>
      <c r="P4" s="3625" t="s">
        <v>2192</v>
      </c>
      <c r="Q4" s="3626"/>
      <c r="R4" s="3631" t="s">
        <v>2188</v>
      </c>
      <c r="S4" s="3632"/>
      <c r="T4" s="3631" t="s">
        <v>2189</v>
      </c>
      <c r="U4" s="3632"/>
      <c r="V4" s="3637" t="s">
        <v>2190</v>
      </c>
      <c r="W4" s="3637"/>
      <c r="X4" s="2042"/>
      <c r="Y4" s="3631" t="s">
        <v>2192</v>
      </c>
      <c r="Z4" s="3632"/>
      <c r="AA4" s="3618" t="s">
        <v>2188</v>
      </c>
      <c r="AB4" s="3637" t="s">
        <v>2189</v>
      </c>
      <c r="AC4" s="3618" t="s">
        <v>2190</v>
      </c>
    </row>
    <row r="5" spans="1:29" ht="15">
      <c r="A5" s="1635"/>
      <c r="B5" s="1636"/>
      <c r="C5" s="3640" t="s">
        <v>2193</v>
      </c>
      <c r="D5" s="3641"/>
      <c r="E5" s="3667" t="s">
        <v>3086</v>
      </c>
      <c r="F5" s="3639"/>
      <c r="G5" s="3666" t="s">
        <v>3091</v>
      </c>
      <c r="H5" s="3641"/>
      <c r="I5" s="3666" t="s">
        <v>3092</v>
      </c>
      <c r="J5" s="3641"/>
      <c r="K5" s="1933"/>
      <c r="L5" s="2962"/>
      <c r="M5" s="2963"/>
      <c r="N5" s="2963"/>
      <c r="O5" s="2963"/>
      <c r="P5" s="3627"/>
      <c r="Q5" s="3628"/>
      <c r="R5" s="3633"/>
      <c r="S5" s="3634"/>
      <c r="T5" s="3633"/>
      <c r="U5" s="3634"/>
      <c r="V5" s="3637"/>
      <c r="W5" s="3637"/>
      <c r="X5" s="2042"/>
      <c r="Y5" s="3633"/>
      <c r="Z5" s="3634"/>
      <c r="AA5" s="3619"/>
      <c r="AB5" s="3637"/>
      <c r="AC5" s="3619"/>
    </row>
    <row r="6" spans="1:29" ht="15.75" thickBot="1">
      <c r="A6" s="1638"/>
      <c r="B6" s="1639"/>
      <c r="C6" s="3642" t="s">
        <v>2197</v>
      </c>
      <c r="D6" s="3643"/>
      <c r="E6" s="3644" t="s">
        <v>2197</v>
      </c>
      <c r="F6" s="3645"/>
      <c r="G6" s="3642" t="s">
        <v>2197</v>
      </c>
      <c r="H6" s="3643"/>
      <c r="I6" s="3642" t="s">
        <v>2197</v>
      </c>
      <c r="J6" s="3643"/>
      <c r="K6" s="1933" t="s">
        <v>2198</v>
      </c>
      <c r="L6" s="2962"/>
      <c r="M6" s="2963"/>
      <c r="N6" s="2963"/>
      <c r="O6" s="2963"/>
      <c r="P6" s="3629"/>
      <c r="Q6" s="3630"/>
      <c r="R6" s="3633"/>
      <c r="S6" s="3634"/>
      <c r="T6" s="3635"/>
      <c r="U6" s="3636"/>
      <c r="V6" s="3637"/>
      <c r="W6" s="3637"/>
      <c r="X6" s="2042"/>
      <c r="Y6" s="3635"/>
      <c r="Z6" s="3636"/>
      <c r="AA6" s="3620"/>
      <c r="AB6" s="3637"/>
      <c r="AC6" s="3620"/>
    </row>
    <row r="7" spans="1:29" s="1652" customFormat="1" ht="15.75" thickBot="1">
      <c r="A7" s="1640" t="s">
        <v>2199</v>
      </c>
      <c r="B7" s="1641"/>
      <c r="C7" s="1642">
        <f>'数据-取费表'!B2</f>
        <v>44554</v>
      </c>
      <c r="D7" s="1643">
        <v>100</v>
      </c>
      <c r="E7" s="1644">
        <f>C7</f>
        <v>44554</v>
      </c>
      <c r="F7" s="1645">
        <f>SUMIF(58:58,YEAR(E7)&amp;"-"&amp;MONTH(E7),59:59)</f>
        <v>100</v>
      </c>
      <c r="G7" s="1644">
        <f>E7</f>
        <v>44554</v>
      </c>
      <c r="H7" s="1643">
        <f>SUMIF(58:58,YEAR(G7)&amp;"-"&amp;MONTH(G7),59:59)</f>
        <v>100</v>
      </c>
      <c r="I7" s="1644">
        <f>G7</f>
        <v>44554</v>
      </c>
      <c r="J7" s="1643">
        <f>SUMIF(58:58,YEAR(I7)&amp;"-"&amp;MONTH(I7),59:59)</f>
        <v>100</v>
      </c>
      <c r="K7" s="1935"/>
      <c r="L7" s="2962"/>
      <c r="M7" s="2935"/>
      <c r="N7" s="2935"/>
      <c r="O7" s="2935"/>
      <c r="P7" s="3653" t="s">
        <v>2200</v>
      </c>
      <c r="Q7" s="3655"/>
      <c r="R7" s="1648" t="s">
        <v>25</v>
      </c>
      <c r="S7" s="1649">
        <f t="shared" ref="S7:S15" si="0">F7</f>
        <v>100</v>
      </c>
      <c r="T7" s="1648" t="s">
        <v>25</v>
      </c>
      <c r="U7" s="1649">
        <f t="shared" ref="U7:U15" si="1">H7</f>
        <v>100</v>
      </c>
      <c r="V7" s="1648" t="s">
        <v>25</v>
      </c>
      <c r="W7" s="1649">
        <f t="shared" ref="W7:W15" si="2">J7</f>
        <v>100</v>
      </c>
      <c r="X7" s="1650"/>
      <c r="Y7" s="3653" t="s">
        <v>2200</v>
      </c>
      <c r="Z7" s="3654"/>
      <c r="AA7" s="1651">
        <f>D7/F7</f>
        <v>1</v>
      </c>
      <c r="AB7" s="1651">
        <f>D7/H7</f>
        <v>1</v>
      </c>
      <c r="AC7" s="1651">
        <f>D7/J7</f>
        <v>1</v>
      </c>
    </row>
    <row r="8" spans="1:29" s="1652" customFormat="1" ht="15.75" thickBot="1">
      <c r="A8" s="1640" t="s">
        <v>2201</v>
      </c>
      <c r="B8" s="1641"/>
      <c r="C8" s="1653" t="s">
        <v>2202</v>
      </c>
      <c r="D8" s="1643">
        <v>100</v>
      </c>
      <c r="E8" s="1653" t="s">
        <v>2825</v>
      </c>
      <c r="F8" s="1645">
        <f>SUMIF(61:61,E8,62:62)-SUMIF(61:61,C8,62:62)+100</f>
        <v>100</v>
      </c>
      <c r="G8" s="1653" t="s">
        <v>2825</v>
      </c>
      <c r="H8" s="1643">
        <f>SUMIF(61:61,G8,62:62)-SUMIF(61:61,C8,62:62)+100</f>
        <v>100</v>
      </c>
      <c r="I8" s="1653" t="s">
        <v>2825</v>
      </c>
      <c r="J8" s="1643">
        <f>SUMIF(61:61,I8,62:62)-SUMIF(61:61,C8,62:62)+100</f>
        <v>100</v>
      </c>
      <c r="K8" s="1935"/>
      <c r="L8" s="2962"/>
      <c r="M8" s="2935"/>
      <c r="N8" s="2935"/>
      <c r="O8" s="2935"/>
      <c r="P8" s="3653" t="s">
        <v>2203</v>
      </c>
      <c r="Q8" s="3654"/>
      <c r="R8" s="1648" t="s">
        <v>25</v>
      </c>
      <c r="S8" s="1649">
        <f t="shared" si="0"/>
        <v>100</v>
      </c>
      <c r="T8" s="1648" t="s">
        <v>25</v>
      </c>
      <c r="U8" s="1649">
        <f t="shared" si="1"/>
        <v>100</v>
      </c>
      <c r="V8" s="1648" t="s">
        <v>25</v>
      </c>
      <c r="W8" s="1649">
        <f t="shared" si="2"/>
        <v>100</v>
      </c>
      <c r="X8" s="1650"/>
      <c r="Y8" s="3653" t="s">
        <v>2203</v>
      </c>
      <c r="Z8" s="3654"/>
      <c r="AA8" s="1651">
        <f t="shared" ref="AA8:AA46" si="3">D8/F8</f>
        <v>1</v>
      </c>
      <c r="AB8" s="1651">
        <f t="shared" ref="AB8:AB46" si="4">D8/H8</f>
        <v>1</v>
      </c>
      <c r="AC8" s="1651">
        <f t="shared" ref="AC8:AC46" si="5">D8/J8</f>
        <v>1</v>
      </c>
    </row>
    <row r="9" spans="1:29" s="1652" customFormat="1">
      <c r="A9" s="2034" t="s">
        <v>2204</v>
      </c>
      <c r="B9" s="1655" t="s">
        <v>2205</v>
      </c>
      <c r="C9" s="3320" t="s">
        <v>3052</v>
      </c>
      <c r="D9" s="1657">
        <v>100</v>
      </c>
      <c r="E9" s="3322" t="s">
        <v>3052</v>
      </c>
      <c r="F9" s="1659">
        <f>SUMIF(63:63,E9,64:64)-SUMIF(63:63,C9,64:64)+100</f>
        <v>100</v>
      </c>
      <c r="G9" s="3322" t="s">
        <v>3052</v>
      </c>
      <c r="H9" s="1657">
        <f>SUMIF(63:63,G9,64:64)-SUMIF(63:63,C9,64:64)+100</f>
        <v>100</v>
      </c>
      <c r="I9" s="3322" t="s">
        <v>3052</v>
      </c>
      <c r="J9" s="1657">
        <f>SUMIF(63:63,I9,64:64)-SUMIF(63:63,C9,64:64)+100</f>
        <v>100</v>
      </c>
      <c r="K9" s="1935"/>
      <c r="L9" s="2962"/>
      <c r="M9" s="2935"/>
      <c r="N9" s="2935"/>
      <c r="O9" s="2935"/>
      <c r="P9" s="3656" t="s">
        <v>2206</v>
      </c>
      <c r="Q9" s="2033" t="str">
        <f t="shared" ref="Q9:Q15" si="6">B9</f>
        <v>用途</v>
      </c>
      <c r="R9" s="1648" t="s">
        <v>25</v>
      </c>
      <c r="S9" s="1649">
        <f t="shared" si="0"/>
        <v>100</v>
      </c>
      <c r="T9" s="1648" t="s">
        <v>25</v>
      </c>
      <c r="U9" s="1649">
        <f t="shared" si="1"/>
        <v>100</v>
      </c>
      <c r="V9" s="1648" t="s">
        <v>25</v>
      </c>
      <c r="W9" s="1649">
        <f t="shared" si="2"/>
        <v>100</v>
      </c>
      <c r="X9" s="1650"/>
      <c r="Y9" s="3433"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3011</v>
      </c>
      <c r="D10" s="1665">
        <v>100</v>
      </c>
      <c r="E10" s="1666" t="s">
        <v>3011</v>
      </c>
      <c r="F10" s="1667">
        <f>SUMIF(65:65,E10,66:66)-SUMIF(65:65,C10,66:66)+100</f>
        <v>100</v>
      </c>
      <c r="G10" s="1664" t="s">
        <v>3011</v>
      </c>
      <c r="H10" s="1665">
        <f>SUMIF(65:65,G10,66:66)-SUMIF(65:65,C10,66:66)+100</f>
        <v>100</v>
      </c>
      <c r="I10" s="1664" t="s">
        <v>3011</v>
      </c>
      <c r="J10" s="1665">
        <f>SUMIF(65:65,I10,66:66)-SUMIF(65:65,C10,66:66)+100</f>
        <v>100</v>
      </c>
      <c r="K10" s="1960">
        <v>1</v>
      </c>
      <c r="L10" s="2964"/>
      <c r="M10" s="2965"/>
      <c r="N10" s="2965"/>
      <c r="O10" s="2965"/>
      <c r="P10" s="3656"/>
      <c r="Q10" s="2033" t="str">
        <f t="shared" si="6"/>
        <v>土地使用年限（年）</v>
      </c>
      <c r="R10" s="1648" t="s">
        <v>25</v>
      </c>
      <c r="S10" s="1649">
        <f t="shared" si="0"/>
        <v>100</v>
      </c>
      <c r="T10" s="1648" t="s">
        <v>25</v>
      </c>
      <c r="U10" s="1649">
        <f t="shared" si="1"/>
        <v>100</v>
      </c>
      <c r="V10" s="1648" t="s">
        <v>25</v>
      </c>
      <c r="W10" s="1649">
        <f t="shared" si="2"/>
        <v>100</v>
      </c>
      <c r="X10" s="1650"/>
      <c r="Y10" s="3433"/>
      <c r="Z10" s="1661" t="str">
        <f t="shared" si="7"/>
        <v>土地使用年限（年）</v>
      </c>
      <c r="AA10" s="1651">
        <f t="shared" si="3"/>
        <v>1</v>
      </c>
      <c r="AB10" s="1651">
        <f t="shared" si="4"/>
        <v>1</v>
      </c>
      <c r="AC10" s="1651">
        <f t="shared" si="5"/>
        <v>1</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60"/>
      <c r="L11" s="2966"/>
      <c r="M11" s="2963"/>
      <c r="N11" s="2963"/>
      <c r="O11" s="2963"/>
      <c r="P11" s="3656"/>
      <c r="Q11" s="2033" t="str">
        <f t="shared" si="6"/>
        <v>容积率</v>
      </c>
      <c r="R11" s="1648" t="s">
        <v>25</v>
      </c>
      <c r="S11" s="1649">
        <f t="shared" si="0"/>
        <v>100</v>
      </c>
      <c r="T11" s="1648" t="s">
        <v>25</v>
      </c>
      <c r="U11" s="1649">
        <f t="shared" si="1"/>
        <v>100</v>
      </c>
      <c r="V11" s="1648" t="s">
        <v>25</v>
      </c>
      <c r="W11" s="1649">
        <f t="shared" si="2"/>
        <v>100</v>
      </c>
      <c r="X11" s="1650"/>
      <c r="Y11" s="3433"/>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2"/>
      <c r="M12" s="2935"/>
      <c r="N12" s="2935"/>
      <c r="O12" s="2935"/>
      <c r="P12" s="3656"/>
      <c r="Q12" s="2033">
        <f t="shared" si="6"/>
        <v>111</v>
      </c>
      <c r="R12" s="1648" t="s">
        <v>25</v>
      </c>
      <c r="S12" s="1649">
        <f t="shared" si="0"/>
        <v>100</v>
      </c>
      <c r="T12" s="1648" t="s">
        <v>25</v>
      </c>
      <c r="U12" s="1649">
        <f t="shared" si="1"/>
        <v>100</v>
      </c>
      <c r="V12" s="1648" t="s">
        <v>25</v>
      </c>
      <c r="W12" s="1649">
        <f t="shared" si="2"/>
        <v>100</v>
      </c>
      <c r="X12" s="1650"/>
      <c r="Y12" s="3433"/>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7"/>
      <c r="M13" s="2963"/>
      <c r="N13" s="2963"/>
      <c r="O13" s="2963"/>
      <c r="P13" s="3656"/>
      <c r="Q13" s="2033">
        <f t="shared" si="6"/>
        <v>111</v>
      </c>
      <c r="R13" s="1648" t="s">
        <v>25</v>
      </c>
      <c r="S13" s="1649">
        <f t="shared" si="0"/>
        <v>100</v>
      </c>
      <c r="T13" s="1648" t="s">
        <v>25</v>
      </c>
      <c r="U13" s="1649">
        <f t="shared" si="1"/>
        <v>100</v>
      </c>
      <c r="V13" s="1648" t="s">
        <v>25</v>
      </c>
      <c r="W13" s="1649">
        <f t="shared" si="2"/>
        <v>100</v>
      </c>
      <c r="X13" s="1650"/>
      <c r="Y13" s="3433"/>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7"/>
      <c r="M14" s="2963"/>
      <c r="N14" s="2963"/>
      <c r="O14" s="2963"/>
      <c r="P14" s="3656"/>
      <c r="Q14" s="2033">
        <f t="shared" si="6"/>
        <v>111</v>
      </c>
      <c r="R14" s="1648" t="s">
        <v>25</v>
      </c>
      <c r="S14" s="1649">
        <f t="shared" si="0"/>
        <v>100</v>
      </c>
      <c r="T14" s="1648" t="s">
        <v>25</v>
      </c>
      <c r="U14" s="1649">
        <f t="shared" si="1"/>
        <v>100</v>
      </c>
      <c r="V14" s="1648" t="s">
        <v>25</v>
      </c>
      <c r="W14" s="1649">
        <f t="shared" si="2"/>
        <v>100</v>
      </c>
      <c r="X14" s="1650"/>
      <c r="Y14" s="3433"/>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100</v>
      </c>
      <c r="G15" s="1691"/>
      <c r="H15" s="1688">
        <f>SUMIF(76:76,G16,77:77)-SUMIF(76:76,C16,77:77)+100</f>
        <v>100</v>
      </c>
      <c r="I15" s="1689"/>
      <c r="J15" s="1688">
        <f>SUMIF(76:76,I16,77:77)-SUMIF(76:76,C16,77:77)+100</f>
        <v>100</v>
      </c>
      <c r="K15" s="2440">
        <v>3</v>
      </c>
      <c r="L15" s="2967"/>
      <c r="M15" s="2963"/>
      <c r="N15" s="2963"/>
      <c r="O15" s="2963"/>
      <c r="P15" s="3659" t="s">
        <v>2211</v>
      </c>
      <c r="Q15" s="2039" t="str">
        <f t="shared" si="6"/>
        <v>商业繁华度</v>
      </c>
      <c r="R15" s="1693" t="s">
        <v>25</v>
      </c>
      <c r="S15" s="1694">
        <f t="shared" si="0"/>
        <v>100</v>
      </c>
      <c r="T15" s="1693" t="s">
        <v>25</v>
      </c>
      <c r="U15" s="1694">
        <f t="shared" si="1"/>
        <v>100</v>
      </c>
      <c r="V15" s="1693" t="s">
        <v>25</v>
      </c>
      <c r="W15" s="1694">
        <f t="shared" si="2"/>
        <v>100</v>
      </c>
      <c r="X15" s="2042"/>
      <c r="Y15" s="3646" t="s">
        <v>2211</v>
      </c>
      <c r="Z15" s="2046" t="str">
        <f t="shared" si="7"/>
        <v>商业繁华度</v>
      </c>
      <c r="AA15" s="2037">
        <f t="shared" si="3"/>
        <v>1</v>
      </c>
      <c r="AB15" s="2037">
        <f t="shared" si="4"/>
        <v>1</v>
      </c>
      <c r="AC15" s="2037">
        <f t="shared" si="5"/>
        <v>1</v>
      </c>
    </row>
    <row r="16" spans="1:29" ht="15">
      <c r="A16" s="1670"/>
      <c r="B16" s="1697"/>
      <c r="C16" s="1698" t="s">
        <v>30</v>
      </c>
      <c r="D16" s="1699"/>
      <c r="E16" s="1698" t="s">
        <v>30</v>
      </c>
      <c r="F16" s="1701"/>
      <c r="G16" s="1698" t="s">
        <v>30</v>
      </c>
      <c r="H16" s="1703"/>
      <c r="I16" s="1698" t="s">
        <v>30</v>
      </c>
      <c r="J16" s="1699"/>
      <c r="K16" s="2441"/>
      <c r="L16" s="2967"/>
      <c r="M16" s="2963"/>
      <c r="N16" s="2963"/>
      <c r="O16" s="2963"/>
      <c r="P16" s="3660"/>
      <c r="Q16" s="2039"/>
      <c r="R16" s="1693"/>
      <c r="S16" s="1694"/>
      <c r="T16" s="1693"/>
      <c r="U16" s="1694"/>
      <c r="V16" s="1693"/>
      <c r="W16" s="1694"/>
      <c r="X16" s="2042"/>
      <c r="Y16" s="3647"/>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2440">
        <v>2</v>
      </c>
      <c r="L17" s="2967"/>
      <c r="M17" s="2963"/>
      <c r="N17" s="2963"/>
      <c r="O17" s="2963"/>
      <c r="P17" s="3660"/>
      <c r="Q17" s="2039" t="str">
        <f>B17</f>
        <v>交通便捷度</v>
      </c>
      <c r="R17" s="1693" t="s">
        <v>25</v>
      </c>
      <c r="S17" s="1694">
        <f>F17</f>
        <v>100</v>
      </c>
      <c r="T17" s="1693" t="s">
        <v>25</v>
      </c>
      <c r="U17" s="1694">
        <f>H17</f>
        <v>100</v>
      </c>
      <c r="V17" s="1693" t="s">
        <v>25</v>
      </c>
      <c r="W17" s="1694">
        <f>J17</f>
        <v>100</v>
      </c>
      <c r="X17" s="2042"/>
      <c r="Y17" s="3647"/>
      <c r="Z17" s="2046" t="str">
        <f>Q17</f>
        <v>交通便捷度</v>
      </c>
      <c r="AA17" s="2037">
        <f t="shared" si="3"/>
        <v>1</v>
      </c>
      <c r="AB17" s="2037">
        <f t="shared" si="4"/>
        <v>1</v>
      </c>
      <c r="AC17" s="2037">
        <f t="shared" si="5"/>
        <v>1</v>
      </c>
    </row>
    <row r="18" spans="1:29" ht="15">
      <c r="A18" s="1670"/>
      <c r="B18" s="1711"/>
      <c r="C18" s="1712" t="s">
        <v>30</v>
      </c>
      <c r="D18" s="1703"/>
      <c r="E18" s="1713" t="s">
        <v>30</v>
      </c>
      <c r="F18" s="1708"/>
      <c r="G18" s="1714" t="s">
        <v>30</v>
      </c>
      <c r="H18" s="1699"/>
      <c r="I18" s="1713" t="s">
        <v>30</v>
      </c>
      <c r="J18" s="1699"/>
      <c r="K18" s="2441"/>
      <c r="L18" s="2967"/>
      <c r="M18" s="2963"/>
      <c r="N18" s="2963"/>
      <c r="O18" s="2963"/>
      <c r="P18" s="3660"/>
      <c r="Q18" s="2039"/>
      <c r="R18" s="1693"/>
      <c r="S18" s="1694"/>
      <c r="T18" s="1693"/>
      <c r="U18" s="1694"/>
      <c r="V18" s="1693"/>
      <c r="W18" s="1694"/>
      <c r="X18" s="2042"/>
      <c r="Y18" s="3647"/>
      <c r="Z18" s="2046"/>
      <c r="AA18" s="2037">
        <v>1</v>
      </c>
      <c r="AB18" s="2037">
        <v>1</v>
      </c>
      <c r="AC18" s="2037">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40">
        <v>2</v>
      </c>
      <c r="L19" s="2967"/>
      <c r="M19" s="2963"/>
      <c r="N19" s="2963"/>
      <c r="O19" s="2963"/>
      <c r="P19" s="3660"/>
      <c r="Q19" s="2039" t="str">
        <f>B19</f>
        <v>公共配套设施</v>
      </c>
      <c r="R19" s="1693" t="s">
        <v>25</v>
      </c>
      <c r="S19" s="1694">
        <f>F19</f>
        <v>100</v>
      </c>
      <c r="T19" s="1693" t="s">
        <v>25</v>
      </c>
      <c r="U19" s="1694">
        <f>H19</f>
        <v>100</v>
      </c>
      <c r="V19" s="1693" t="s">
        <v>25</v>
      </c>
      <c r="W19" s="1694">
        <f>J19</f>
        <v>100</v>
      </c>
      <c r="X19" s="2042"/>
      <c r="Y19" s="3647"/>
      <c r="Z19" s="2046" t="str">
        <f>Q19</f>
        <v>公共配套设施</v>
      </c>
      <c r="AA19" s="2037">
        <f t="shared" si="3"/>
        <v>1</v>
      </c>
      <c r="AB19" s="2037">
        <f t="shared" si="4"/>
        <v>1</v>
      </c>
      <c r="AC19" s="2037">
        <f t="shared" si="5"/>
        <v>1</v>
      </c>
    </row>
    <row r="20" spans="1:29" ht="15">
      <c r="A20" s="1670"/>
      <c r="B20" s="1711"/>
      <c r="C20" s="1698" t="s">
        <v>30</v>
      </c>
      <c r="D20" s="1699"/>
      <c r="E20" s="1698" t="s">
        <v>30</v>
      </c>
      <c r="F20" s="1701"/>
      <c r="G20" s="1698" t="s">
        <v>30</v>
      </c>
      <c r="H20" s="1699"/>
      <c r="I20" s="1698" t="s">
        <v>30</v>
      </c>
      <c r="J20" s="1699"/>
      <c r="K20" s="2441"/>
      <c r="L20" s="2967"/>
      <c r="M20" s="2963"/>
      <c r="N20" s="2963"/>
      <c r="O20" s="2963"/>
      <c r="P20" s="3660"/>
      <c r="Q20" s="2039"/>
      <c r="R20" s="1693"/>
      <c r="S20" s="1694"/>
      <c r="T20" s="1693"/>
      <c r="U20" s="1694"/>
      <c r="V20" s="1693"/>
      <c r="W20" s="1694"/>
      <c r="X20" s="2042"/>
      <c r="Y20" s="3647"/>
      <c r="Z20" s="2046"/>
      <c r="AA20" s="2037">
        <v>1</v>
      </c>
      <c r="AB20" s="2037">
        <v>1</v>
      </c>
      <c r="AC20" s="2037">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40">
        <v>2</v>
      </c>
      <c r="L21" s="2967"/>
      <c r="M21" s="2963"/>
      <c r="N21" s="2963"/>
      <c r="O21" s="2963"/>
      <c r="P21" s="3660"/>
      <c r="Q21" s="2039" t="str">
        <f>B21</f>
        <v>基础设施水平</v>
      </c>
      <c r="R21" s="1693" t="s">
        <v>25</v>
      </c>
      <c r="S21" s="1694">
        <f>F21</f>
        <v>100</v>
      </c>
      <c r="T21" s="1693" t="s">
        <v>25</v>
      </c>
      <c r="U21" s="1694">
        <f>H21</f>
        <v>100</v>
      </c>
      <c r="V21" s="1693" t="s">
        <v>25</v>
      </c>
      <c r="W21" s="1694">
        <f>J21</f>
        <v>100</v>
      </c>
      <c r="X21" s="2042"/>
      <c r="Y21" s="3647"/>
      <c r="Z21" s="2046" t="str">
        <f>Q21</f>
        <v>基础设施水平</v>
      </c>
      <c r="AA21" s="2037">
        <f t="shared" ref="AA21" si="8">D21/F21</f>
        <v>1</v>
      </c>
      <c r="AB21" s="2037">
        <f t="shared" ref="AB21" si="9">D21/H21</f>
        <v>1</v>
      </c>
      <c r="AC21" s="2037">
        <f t="shared" ref="AC21" si="10">D21/J21</f>
        <v>1</v>
      </c>
    </row>
    <row r="22" spans="1:29" ht="15">
      <c r="A22" s="1670"/>
      <c r="B22" s="1718"/>
      <c r="C22" s="1712" t="s">
        <v>3012</v>
      </c>
      <c r="D22" s="1699"/>
      <c r="E22" s="1712" t="s">
        <v>3012</v>
      </c>
      <c r="F22" s="1701"/>
      <c r="G22" s="1712" t="s">
        <v>3012</v>
      </c>
      <c r="H22" s="1699"/>
      <c r="I22" s="1712" t="s">
        <v>3012</v>
      </c>
      <c r="J22" s="1699"/>
      <c r="K22" s="2442"/>
      <c r="L22" s="2967"/>
      <c r="M22" s="2963"/>
      <c r="N22" s="2963"/>
      <c r="O22" s="2963"/>
      <c r="P22" s="3660"/>
      <c r="Q22" s="2039"/>
      <c r="R22" s="1693"/>
      <c r="S22" s="1694"/>
      <c r="T22" s="1693"/>
      <c r="U22" s="1694"/>
      <c r="V22" s="1693"/>
      <c r="W22" s="1694"/>
      <c r="X22" s="2042"/>
      <c r="Y22" s="3647"/>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7"/>
      <c r="M23" s="2963"/>
      <c r="N23" s="2963"/>
      <c r="O23" s="2963"/>
      <c r="P23" s="3660"/>
      <c r="Q23" s="2039" t="str">
        <f>B23</f>
        <v>自然及人文环境</v>
      </c>
      <c r="R23" s="1693" t="s">
        <v>25</v>
      </c>
      <c r="S23" s="1694">
        <f>F23</f>
        <v>100</v>
      </c>
      <c r="T23" s="1693" t="s">
        <v>25</v>
      </c>
      <c r="U23" s="1694">
        <f>H23</f>
        <v>100</v>
      </c>
      <c r="V23" s="1693" t="s">
        <v>25</v>
      </c>
      <c r="W23" s="1694">
        <f>J23</f>
        <v>100</v>
      </c>
      <c r="X23" s="2042"/>
      <c r="Y23" s="3647"/>
      <c r="Z23" s="2046" t="str">
        <f>Q23</f>
        <v>自然及人文环境</v>
      </c>
      <c r="AA23" s="2037">
        <f t="shared" si="3"/>
        <v>1</v>
      </c>
      <c r="AB23" s="2037">
        <f t="shared" si="4"/>
        <v>1</v>
      </c>
      <c r="AC23" s="2037">
        <f t="shared" si="5"/>
        <v>1</v>
      </c>
    </row>
    <row r="24" spans="1:29" ht="15">
      <c r="A24" s="1670"/>
      <c r="B24" s="1711"/>
      <c r="C24" s="1698" t="s">
        <v>30</v>
      </c>
      <c r="D24" s="1699"/>
      <c r="E24" s="1698" t="s">
        <v>30</v>
      </c>
      <c r="F24" s="1701"/>
      <c r="G24" s="1698" t="s">
        <v>30</v>
      </c>
      <c r="H24" s="1699"/>
      <c r="I24" s="1698" t="s">
        <v>30</v>
      </c>
      <c r="J24" s="1699"/>
      <c r="K24" s="2441"/>
      <c r="L24" s="2967"/>
      <c r="M24" s="2963"/>
      <c r="N24" s="2963"/>
      <c r="O24" s="2963"/>
      <c r="P24" s="3660"/>
      <c r="Q24" s="2039"/>
      <c r="R24" s="1693"/>
      <c r="S24" s="1694"/>
      <c r="T24" s="1693"/>
      <c r="U24" s="1694"/>
      <c r="V24" s="1693"/>
      <c r="W24" s="1694"/>
      <c r="X24" s="2042"/>
      <c r="Y24" s="3647"/>
      <c r="Z24" s="2046"/>
      <c r="AA24" s="2037">
        <v>1</v>
      </c>
      <c r="AB24" s="2037">
        <v>1</v>
      </c>
      <c r="AC24" s="2037">
        <v>1</v>
      </c>
    </row>
    <row r="25" spans="1:29" ht="15">
      <c r="A25" s="1670"/>
      <c r="B25" s="1663" t="s">
        <v>2299</v>
      </c>
      <c r="C25" s="1959" t="s">
        <v>3055</v>
      </c>
      <c r="D25" s="1679">
        <v>100</v>
      </c>
      <c r="E25" s="1959" t="s">
        <v>3094</v>
      </c>
      <c r="F25" s="1722">
        <f>SUMIF(86:86,E25,87:87)-SUMIF(86:86,C25,87:87)+100</f>
        <v>105</v>
      </c>
      <c r="G25" s="1959" t="s">
        <v>3055</v>
      </c>
      <c r="H25" s="1679">
        <f>SUMIF(86:86,G25,87:87)-SUMIF(86:86,C25,87:87)+100</f>
        <v>100</v>
      </c>
      <c r="I25" s="1959" t="s">
        <v>3055</v>
      </c>
      <c r="J25" s="1679">
        <f>SUMIF(86:86,I25,87:87)-SUMIF(86:86,C25,87:87)+100</f>
        <v>100</v>
      </c>
      <c r="K25" s="1960">
        <v>5</v>
      </c>
      <c r="L25" s="2967"/>
      <c r="M25" s="2963"/>
      <c r="N25" s="2963"/>
      <c r="O25" s="2963"/>
      <c r="P25" s="3660"/>
      <c r="Q25" s="2039" t="str">
        <f t="shared" ref="Q25:Q46" si="11">B25</f>
        <v>临街状况</v>
      </c>
      <c r="R25" s="1693" t="s">
        <v>25</v>
      </c>
      <c r="S25" s="1694">
        <f>F25</f>
        <v>105</v>
      </c>
      <c r="T25" s="1693" t="s">
        <v>25</v>
      </c>
      <c r="U25" s="1694">
        <f>H25</f>
        <v>100</v>
      </c>
      <c r="V25" s="1693" t="s">
        <v>25</v>
      </c>
      <c r="W25" s="1694">
        <f>J25</f>
        <v>100</v>
      </c>
      <c r="X25" s="2042"/>
      <c r="Y25" s="3647"/>
      <c r="Z25" s="2046" t="str">
        <f>Q25</f>
        <v>临街状况</v>
      </c>
      <c r="AA25" s="2037">
        <f t="shared" si="3"/>
        <v>0.95238095238095233</v>
      </c>
      <c r="AB25" s="2037">
        <f t="shared" si="4"/>
        <v>1</v>
      </c>
      <c r="AC25" s="2037">
        <f t="shared" si="5"/>
        <v>1</v>
      </c>
    </row>
    <row r="26" spans="1:29" ht="15">
      <c r="A26" s="1670"/>
      <c r="B26" s="1728" t="s">
        <v>2300</v>
      </c>
      <c r="C26" s="3340" t="s">
        <v>3079</v>
      </c>
      <c r="D26" s="1679">
        <v>100</v>
      </c>
      <c r="E26" s="3340" t="s">
        <v>3058</v>
      </c>
      <c r="F26" s="1722">
        <f>SUMIF(88:88,E26,89:89)-SUMIF(88:88,C26,89:89)+100</f>
        <v>105</v>
      </c>
      <c r="G26" s="3340" t="s">
        <v>3093</v>
      </c>
      <c r="H26" s="1679">
        <f>SUMIF(88:88,G26,89:89)-SUMIF(88:88,C26,89:89)+100</f>
        <v>100</v>
      </c>
      <c r="I26" s="3340" t="s">
        <v>3079</v>
      </c>
      <c r="J26" s="1679">
        <f>SUMIF(88:88,I26,89:89)-SUMIF(88:88,C26,89:89)+100</f>
        <v>100</v>
      </c>
      <c r="K26" s="1957"/>
      <c r="L26" s="2967"/>
      <c r="M26" s="2963"/>
      <c r="N26" s="2963"/>
      <c r="O26" s="2963"/>
      <c r="P26" s="3660"/>
      <c r="Q26" s="2039" t="str">
        <f t="shared" si="11"/>
        <v>平面位置/可视性</v>
      </c>
      <c r="R26" s="1693" t="s">
        <v>25</v>
      </c>
      <c r="S26" s="1694">
        <f>F26</f>
        <v>105</v>
      </c>
      <c r="T26" s="1693" t="s">
        <v>25</v>
      </c>
      <c r="U26" s="1694">
        <f>H26</f>
        <v>100</v>
      </c>
      <c r="V26" s="1693" t="s">
        <v>25</v>
      </c>
      <c r="W26" s="1694">
        <f>J26</f>
        <v>100</v>
      </c>
      <c r="X26" s="2042"/>
      <c r="Y26" s="3647"/>
      <c r="Z26" s="2046" t="str">
        <f>Q26</f>
        <v>平面位置/可视性</v>
      </c>
      <c r="AA26" s="2037">
        <f t="shared" si="3"/>
        <v>0.95238095238095233</v>
      </c>
      <c r="AB26" s="2037">
        <f t="shared" si="4"/>
        <v>1</v>
      </c>
      <c r="AC26" s="2037">
        <f t="shared" si="5"/>
        <v>1</v>
      </c>
    </row>
    <row r="27" spans="1:29" s="1652" customFormat="1" ht="15">
      <c r="A27" s="1673"/>
      <c r="B27" s="1705" t="s">
        <v>2301</v>
      </c>
      <c r="C27" s="2444" t="s">
        <v>3062</v>
      </c>
      <c r="D27" s="1724">
        <v>100</v>
      </c>
      <c r="E27" s="2444" t="s">
        <v>3078</v>
      </c>
      <c r="F27" s="1726">
        <f>SUMIF(90:90,E27,91:91)-SUMIF(90:90,C27,91:91)+100</f>
        <v>102</v>
      </c>
      <c r="G27" s="2444" t="s">
        <v>3078</v>
      </c>
      <c r="H27" s="1724">
        <f>SUMIF(90:90,G27,91:91)-SUMIF(90:90,C27,91:91)+100</f>
        <v>102</v>
      </c>
      <c r="I27" s="2444" t="s">
        <v>3078</v>
      </c>
      <c r="J27" s="1724">
        <f>SUMIF(90:90,I27,91:91)-SUMIF(90:90,C27,91:91)+100</f>
        <v>102</v>
      </c>
      <c r="K27" s="1960">
        <v>2</v>
      </c>
      <c r="L27" s="2962"/>
      <c r="M27" s="2935"/>
      <c r="N27" s="2935"/>
      <c r="O27" s="2935"/>
      <c r="P27" s="3660"/>
      <c r="Q27" s="2033" t="str">
        <f t="shared" si="11"/>
        <v>人流量</v>
      </c>
      <c r="R27" s="1648" t="s">
        <v>25</v>
      </c>
      <c r="S27" s="1649">
        <f>F27</f>
        <v>102</v>
      </c>
      <c r="T27" s="1648" t="s">
        <v>25</v>
      </c>
      <c r="U27" s="1649">
        <f>H27</f>
        <v>102</v>
      </c>
      <c r="V27" s="1648" t="s">
        <v>25</v>
      </c>
      <c r="W27" s="1649">
        <f>J27</f>
        <v>102</v>
      </c>
      <c r="X27" s="1650"/>
      <c r="Y27" s="3647"/>
      <c r="Z27" s="1661" t="str">
        <f>Q27</f>
        <v>人流量</v>
      </c>
      <c r="AA27" s="2037">
        <f>D27/F27</f>
        <v>0.98039215686274506</v>
      </c>
      <c r="AB27" s="2037">
        <f>D27/H27</f>
        <v>0.98039215686274506</v>
      </c>
      <c r="AC27" s="2037">
        <f>D27/J27</f>
        <v>0.98039215686274506</v>
      </c>
    </row>
    <row r="28" spans="1:29" ht="15">
      <c r="A28" s="1670"/>
      <c r="B28" s="1663" t="s">
        <v>2302</v>
      </c>
      <c r="C28" s="1959" t="s">
        <v>3080</v>
      </c>
      <c r="D28" s="1679">
        <v>100</v>
      </c>
      <c r="E28" s="1959" t="s">
        <v>3080</v>
      </c>
      <c r="F28" s="1722">
        <f>SUMIF(92:92,E28,93:93)-SUMIF(92:92,C28,93:93)+100</f>
        <v>100</v>
      </c>
      <c r="G28" s="1959" t="s">
        <v>3080</v>
      </c>
      <c r="H28" s="1679">
        <f>SUMIF(92:92,G28,93:93)-SUMIF(92:92,C28,93:93)+100</f>
        <v>100</v>
      </c>
      <c r="I28" s="1959" t="s">
        <v>3080</v>
      </c>
      <c r="J28" s="1679">
        <f>SUMIF(92:92,I28,93:93)-SUMIF(92:92,C28,93:93)+100</f>
        <v>100</v>
      </c>
      <c r="K28" s="1957"/>
      <c r="L28" s="2967"/>
      <c r="M28" s="2963"/>
      <c r="N28" s="2963"/>
      <c r="O28" s="2963"/>
      <c r="P28" s="3660"/>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47"/>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7"/>
      <c r="M29" s="2963"/>
      <c r="N29" s="2963"/>
      <c r="O29" s="2963"/>
      <c r="P29" s="3660"/>
      <c r="Q29" s="2039">
        <f t="shared" si="11"/>
        <v>111</v>
      </c>
      <c r="R29" s="1693" t="s">
        <v>25</v>
      </c>
      <c r="S29" s="1694">
        <f t="shared" si="12"/>
        <v>100</v>
      </c>
      <c r="T29" s="1693" t="s">
        <v>25</v>
      </c>
      <c r="U29" s="1694">
        <f t="shared" si="13"/>
        <v>100</v>
      </c>
      <c r="V29" s="1693" t="s">
        <v>25</v>
      </c>
      <c r="W29" s="1694">
        <f t="shared" si="14"/>
        <v>100</v>
      </c>
      <c r="X29" s="2042"/>
      <c r="Y29" s="3647"/>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7"/>
      <c r="M30" s="2963"/>
      <c r="N30" s="2963"/>
      <c r="O30" s="2963"/>
      <c r="P30" s="3660"/>
      <c r="Q30" s="2039">
        <f t="shared" si="11"/>
        <v>111</v>
      </c>
      <c r="R30" s="1693" t="s">
        <v>25</v>
      </c>
      <c r="S30" s="1694">
        <f t="shared" si="12"/>
        <v>100</v>
      </c>
      <c r="T30" s="1693" t="s">
        <v>25</v>
      </c>
      <c r="U30" s="1694">
        <f t="shared" si="13"/>
        <v>100</v>
      </c>
      <c r="V30" s="1693" t="s">
        <v>25</v>
      </c>
      <c r="W30" s="1694">
        <f t="shared" si="14"/>
        <v>100</v>
      </c>
      <c r="X30" s="2042"/>
      <c r="Y30" s="3647"/>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7"/>
      <c r="M31" s="2963"/>
      <c r="N31" s="2963"/>
      <c r="O31" s="2963"/>
      <c r="P31" s="3660"/>
      <c r="Q31" s="2039">
        <f t="shared" si="11"/>
        <v>111</v>
      </c>
      <c r="R31" s="1693" t="s">
        <v>25</v>
      </c>
      <c r="S31" s="1694">
        <f t="shared" si="12"/>
        <v>100</v>
      </c>
      <c r="T31" s="1693" t="s">
        <v>25</v>
      </c>
      <c r="U31" s="1694">
        <f t="shared" si="13"/>
        <v>100</v>
      </c>
      <c r="V31" s="1693" t="s">
        <v>25</v>
      </c>
      <c r="W31" s="1694">
        <f t="shared" si="14"/>
        <v>100</v>
      </c>
      <c r="X31" s="2042"/>
      <c r="Y31" s="3647"/>
      <c r="Z31" s="2046">
        <f t="shared" si="15"/>
        <v>111</v>
      </c>
      <c r="AA31" s="2037">
        <f t="shared" si="3"/>
        <v>1</v>
      </c>
      <c r="AB31" s="2037">
        <f t="shared" si="4"/>
        <v>1</v>
      </c>
      <c r="AC31" s="2037">
        <f t="shared" si="5"/>
        <v>1</v>
      </c>
    </row>
    <row r="32" spans="1:29" ht="15">
      <c r="A32" s="1685" t="s">
        <v>2215</v>
      </c>
      <c r="B32" s="1655" t="s">
        <v>2303</v>
      </c>
      <c r="C32" s="1729" t="s">
        <v>3071</v>
      </c>
      <c r="D32" s="1730">
        <v>100</v>
      </c>
      <c r="E32" s="1729" t="s">
        <v>3071</v>
      </c>
      <c r="F32" s="1722">
        <f>SUMIF(100:100,E32,101:101)-SUMIF(100:100,C32,101:101)+100</f>
        <v>100</v>
      </c>
      <c r="G32" s="1729" t="s">
        <v>3071</v>
      </c>
      <c r="H32" s="1679">
        <f>SUMIF(100:100,G32,101:101)-SUMIF(100:100,C32,101:101)+100</f>
        <v>100</v>
      </c>
      <c r="I32" s="1729" t="s">
        <v>3071</v>
      </c>
      <c r="J32" s="1730">
        <f>SUMIF(100:100,I32,101:101)-SUMIF(100:100,C32,101:101)+100</f>
        <v>100</v>
      </c>
      <c r="K32" s="1960">
        <v>2</v>
      </c>
      <c r="L32" s="2967"/>
      <c r="M32" s="2963"/>
      <c r="N32" s="2963"/>
      <c r="O32" s="2963"/>
      <c r="P32" s="3648" t="s">
        <v>2217</v>
      </c>
      <c r="Q32" s="2039" t="str">
        <f t="shared" si="11"/>
        <v>商业类型</v>
      </c>
      <c r="R32" s="1693" t="s">
        <v>25</v>
      </c>
      <c r="S32" s="1694">
        <f t="shared" si="12"/>
        <v>100</v>
      </c>
      <c r="T32" s="1693" t="s">
        <v>25</v>
      </c>
      <c r="U32" s="1694">
        <f t="shared" si="13"/>
        <v>100</v>
      </c>
      <c r="V32" s="1693" t="s">
        <v>25</v>
      </c>
      <c r="W32" s="1694">
        <f t="shared" si="14"/>
        <v>100</v>
      </c>
      <c r="X32" s="2042"/>
      <c r="Y32" s="3651" t="s">
        <v>2217</v>
      </c>
      <c r="Z32" s="2046" t="str">
        <f t="shared" si="15"/>
        <v>商业类型</v>
      </c>
      <c r="AA32" s="2037">
        <f t="shared" si="3"/>
        <v>1</v>
      </c>
      <c r="AB32" s="2037">
        <f t="shared" si="4"/>
        <v>1</v>
      </c>
      <c r="AC32" s="2037">
        <f t="shared" si="5"/>
        <v>1</v>
      </c>
    </row>
    <row r="33" spans="1:29" s="1739" customFormat="1" ht="15">
      <c r="A33" s="1732"/>
      <c r="B33" s="1663" t="s">
        <v>2218</v>
      </c>
      <c r="C33" s="1733">
        <f>项目基本情况!C12</f>
        <v>362.84</v>
      </c>
      <c r="D33" s="1665">
        <v>100</v>
      </c>
      <c r="E33" s="1672">
        <v>220</v>
      </c>
      <c r="F33" s="1667">
        <f>LOOKUP(E33,103:103,104:104)-LOOKUP(C33,103:103,104:104)+100</f>
        <v>100</v>
      </c>
      <c r="G33" s="1671">
        <v>60</v>
      </c>
      <c r="H33" s="1665">
        <f>LOOKUP(G33,103:103,104:104)-LOOKUP(C33,103:103,104:104)+100</f>
        <v>102</v>
      </c>
      <c r="I33" s="1671">
        <v>115.51</v>
      </c>
      <c r="J33" s="1665">
        <f>LOOKUP(I33,103:103,104:104)-LOOKUP(C33,103:103,104:104)+100</f>
        <v>101</v>
      </c>
      <c r="K33" s="1957"/>
      <c r="L33" s="2966"/>
      <c r="M33" s="2027"/>
      <c r="N33" s="2027"/>
      <c r="O33" s="2027"/>
      <c r="P33" s="3649"/>
      <c r="Q33" s="1734" t="str">
        <f t="shared" si="11"/>
        <v>项目建筑规模</v>
      </c>
      <c r="R33" s="1735" t="s">
        <v>25</v>
      </c>
      <c r="S33" s="1736">
        <f t="shared" si="12"/>
        <v>100</v>
      </c>
      <c r="T33" s="1735" t="s">
        <v>25</v>
      </c>
      <c r="U33" s="1736">
        <f t="shared" si="13"/>
        <v>102</v>
      </c>
      <c r="V33" s="1735" t="s">
        <v>25</v>
      </c>
      <c r="W33" s="1736">
        <f t="shared" si="14"/>
        <v>101</v>
      </c>
      <c r="X33" s="1737"/>
      <c r="Y33" s="3651"/>
      <c r="Z33" s="1738" t="str">
        <f t="shared" si="15"/>
        <v>项目建筑规模</v>
      </c>
      <c r="AA33" s="2037">
        <f t="shared" si="3"/>
        <v>1</v>
      </c>
      <c r="AB33" s="2037">
        <f t="shared" si="4"/>
        <v>0.98039215686274506</v>
      </c>
      <c r="AC33" s="2037">
        <f t="shared" si="5"/>
        <v>0.99009900990099009</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7"/>
      <c r="M34" s="2963"/>
      <c r="N34" s="2963"/>
      <c r="O34" s="2963"/>
      <c r="P34" s="3649"/>
      <c r="Q34" s="2039" t="str">
        <f t="shared" si="11"/>
        <v>建筑结构</v>
      </c>
      <c r="R34" s="1693" t="s">
        <v>25</v>
      </c>
      <c r="S34" s="1694">
        <f t="shared" si="12"/>
        <v>100</v>
      </c>
      <c r="T34" s="1693" t="s">
        <v>25</v>
      </c>
      <c r="U34" s="1694">
        <f t="shared" si="13"/>
        <v>100</v>
      </c>
      <c r="V34" s="1693" t="s">
        <v>25</v>
      </c>
      <c r="W34" s="1694">
        <f t="shared" si="14"/>
        <v>100</v>
      </c>
      <c r="X34" s="2042"/>
      <c r="Y34" s="3651"/>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7"/>
      <c r="M35" s="2963"/>
      <c r="N35" s="2963"/>
      <c r="O35" s="2963"/>
      <c r="P35" s="3649"/>
      <c r="Q35" s="2039" t="str">
        <f t="shared" si="11"/>
        <v>公共部分装修</v>
      </c>
      <c r="R35" s="1693" t="s">
        <v>25</v>
      </c>
      <c r="S35" s="1694">
        <f t="shared" si="12"/>
        <v>100</v>
      </c>
      <c r="T35" s="1693" t="s">
        <v>25</v>
      </c>
      <c r="U35" s="1694">
        <f t="shared" si="13"/>
        <v>100</v>
      </c>
      <c r="V35" s="1693" t="s">
        <v>25</v>
      </c>
      <c r="W35" s="1694">
        <f t="shared" si="14"/>
        <v>100</v>
      </c>
      <c r="X35" s="2042"/>
      <c r="Y35" s="3651"/>
      <c r="Z35" s="2046" t="str">
        <f t="shared" si="15"/>
        <v>公共部分装修</v>
      </c>
      <c r="AA35" s="2037">
        <f t="shared" si="3"/>
        <v>1</v>
      </c>
      <c r="AB35" s="2037">
        <f t="shared" si="4"/>
        <v>1</v>
      </c>
      <c r="AC35" s="2037">
        <f t="shared" si="5"/>
        <v>1</v>
      </c>
    </row>
    <row r="36" spans="1:29" ht="15">
      <c r="A36" s="1740"/>
      <c r="B36" s="1663" t="s">
        <v>2305</v>
      </c>
      <c r="C36" s="1744">
        <v>0.87</v>
      </c>
      <c r="D36" s="1679">
        <v>100</v>
      </c>
      <c r="E36" s="1744">
        <v>0.72</v>
      </c>
      <c r="F36" s="1722">
        <f>LOOKUP(E36,110:110,111:111)-LOOKUP(C36,110:110,111:111)+100</f>
        <v>99</v>
      </c>
      <c r="G36" s="1744">
        <v>0.55000000000000004</v>
      </c>
      <c r="H36" s="1722">
        <f>LOOKUP(G36,110:110,111:111)-LOOKUP(C36,110:110,111:111)+100</f>
        <v>97</v>
      </c>
      <c r="I36" s="1744">
        <v>0.65</v>
      </c>
      <c r="J36" s="1679">
        <f>LOOKUP(I36,110:110,111:111)-LOOKUP(C36,110:110,111:111)+100</f>
        <v>98</v>
      </c>
      <c r="K36" s="1960">
        <v>1</v>
      </c>
      <c r="L36" s="2967"/>
      <c r="M36" s="2963"/>
      <c r="N36" s="2963"/>
      <c r="O36" s="2963"/>
      <c r="P36" s="3649"/>
      <c r="Q36" s="2039" t="str">
        <f t="shared" si="11"/>
        <v>成新度</v>
      </c>
      <c r="R36" s="1693" t="s">
        <v>25</v>
      </c>
      <c r="S36" s="1694">
        <f t="shared" si="12"/>
        <v>99</v>
      </c>
      <c r="T36" s="1693" t="s">
        <v>25</v>
      </c>
      <c r="U36" s="1694">
        <f t="shared" si="13"/>
        <v>97</v>
      </c>
      <c r="V36" s="1693" t="s">
        <v>25</v>
      </c>
      <c r="W36" s="1694">
        <f t="shared" si="14"/>
        <v>98</v>
      </c>
      <c r="X36" s="2042"/>
      <c r="Y36" s="3651"/>
      <c r="Z36" s="2046" t="str">
        <f t="shared" si="15"/>
        <v>成新度</v>
      </c>
      <c r="AA36" s="2037">
        <f t="shared" si="3"/>
        <v>1.0101010101010102</v>
      </c>
      <c r="AB36" s="2037">
        <f t="shared" si="4"/>
        <v>1.0309278350515463</v>
      </c>
      <c r="AC36" s="2037">
        <f t="shared" si="5"/>
        <v>1.0204081632653061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2"/>
      <c r="M37" s="2935"/>
      <c r="N37" s="2935"/>
      <c r="O37" s="2935"/>
      <c r="P37" s="3649"/>
      <c r="Q37" s="2033" t="str">
        <f t="shared" si="11"/>
        <v>市政基础设施</v>
      </c>
      <c r="R37" s="1648" t="s">
        <v>25</v>
      </c>
      <c r="S37" s="1649">
        <f t="shared" si="12"/>
        <v>100</v>
      </c>
      <c r="T37" s="1648" t="s">
        <v>25</v>
      </c>
      <c r="U37" s="1649">
        <f t="shared" si="13"/>
        <v>100</v>
      </c>
      <c r="V37" s="1648" t="s">
        <v>25</v>
      </c>
      <c r="W37" s="1649">
        <f t="shared" si="14"/>
        <v>100</v>
      </c>
      <c r="X37" s="1650"/>
      <c r="Y37" s="3651"/>
      <c r="Z37" s="1661" t="str">
        <f t="shared" si="15"/>
        <v>市政基础设施</v>
      </c>
      <c r="AA37" s="1651">
        <f t="shared" si="3"/>
        <v>1</v>
      </c>
      <c r="AB37" s="1651">
        <f t="shared" si="4"/>
        <v>1</v>
      </c>
      <c r="AC37" s="1651">
        <f t="shared" si="5"/>
        <v>1</v>
      </c>
    </row>
    <row r="38" spans="1:29" ht="15">
      <c r="A38" s="1740"/>
      <c r="B38" s="1663" t="s">
        <v>2307</v>
      </c>
      <c r="C38" s="1723" t="s">
        <v>3067</v>
      </c>
      <c r="D38" s="1679">
        <v>100</v>
      </c>
      <c r="E38" s="1723" t="s">
        <v>3067</v>
      </c>
      <c r="F38" s="1722">
        <f>SUMIF(114:114,E38,115:115)-SUMIF(114:114,C38,115:115)+100</f>
        <v>100</v>
      </c>
      <c r="G38" s="1723" t="s">
        <v>3067</v>
      </c>
      <c r="H38" s="1679">
        <f>SUMIF(114:114,G38,115:115)-SUMIF(114:114,C38,115:115)+100</f>
        <v>100</v>
      </c>
      <c r="I38" s="1723" t="s">
        <v>3067</v>
      </c>
      <c r="J38" s="1679">
        <f>SUMIF(114:114,I38,115:115)-SUMIF(114:114,C38,115:115)+100</f>
        <v>100</v>
      </c>
      <c r="K38" s="1960">
        <v>2</v>
      </c>
      <c r="L38" s="2967"/>
      <c r="M38" s="2963"/>
      <c r="N38" s="2963"/>
      <c r="O38" s="2963"/>
      <c r="P38" s="3649" t="s">
        <v>2217</v>
      </c>
      <c r="Q38" s="2039" t="str">
        <f t="shared" si="11"/>
        <v>业态</v>
      </c>
      <c r="R38" s="1693" t="s">
        <v>25</v>
      </c>
      <c r="S38" s="1694">
        <f t="shared" si="12"/>
        <v>100</v>
      </c>
      <c r="T38" s="1693" t="s">
        <v>25</v>
      </c>
      <c r="U38" s="1694">
        <f t="shared" si="13"/>
        <v>100</v>
      </c>
      <c r="V38" s="1693" t="s">
        <v>25</v>
      </c>
      <c r="W38" s="1694">
        <f t="shared" si="14"/>
        <v>100</v>
      </c>
      <c r="X38" s="2042"/>
      <c r="Y38" s="3651" t="s">
        <v>2217</v>
      </c>
      <c r="Z38" s="2046" t="str">
        <f t="shared" si="15"/>
        <v>业态</v>
      </c>
      <c r="AA38" s="2037">
        <f t="shared" si="3"/>
        <v>1</v>
      </c>
      <c r="AB38" s="2037">
        <f t="shared" si="4"/>
        <v>1</v>
      </c>
      <c r="AC38" s="2037">
        <f t="shared" si="5"/>
        <v>1</v>
      </c>
    </row>
    <row r="39" spans="1:29" ht="15">
      <c r="A39" s="1740"/>
      <c r="B39" s="1663" t="s">
        <v>2308</v>
      </c>
      <c r="C39" s="1723" t="s">
        <v>3038</v>
      </c>
      <c r="D39" s="1679">
        <v>100</v>
      </c>
      <c r="E39" s="1723" t="s">
        <v>3038</v>
      </c>
      <c r="F39" s="1722">
        <f>SUMIF(116:116,E39,117:117)-SUMIF(116:116,C39,117:117)+100</f>
        <v>100</v>
      </c>
      <c r="G39" s="1723" t="s">
        <v>3087</v>
      </c>
      <c r="H39" s="1679">
        <f>SUMIF(116:116,G39,117:117)-SUMIF(116:116,C39,117:117)+100</f>
        <v>102</v>
      </c>
      <c r="I39" s="3341" t="s">
        <v>3088</v>
      </c>
      <c r="J39" s="1679">
        <f>SUMIF(116:116,I39,117:117)-SUMIF(116:116,C39,117:117)+100</f>
        <v>102</v>
      </c>
      <c r="K39" s="1960">
        <v>2</v>
      </c>
      <c r="L39" s="2967"/>
      <c r="M39" s="2963"/>
      <c r="N39" s="2963"/>
      <c r="O39" s="2963"/>
      <c r="P39" s="3649"/>
      <c r="Q39" s="2039" t="str">
        <f t="shared" si="11"/>
        <v>层高</v>
      </c>
      <c r="R39" s="1693" t="s">
        <v>25</v>
      </c>
      <c r="S39" s="1694">
        <f t="shared" si="12"/>
        <v>100</v>
      </c>
      <c r="T39" s="1693" t="s">
        <v>25</v>
      </c>
      <c r="U39" s="1694">
        <f t="shared" si="13"/>
        <v>102</v>
      </c>
      <c r="V39" s="1693" t="s">
        <v>25</v>
      </c>
      <c r="W39" s="1694">
        <f t="shared" si="14"/>
        <v>102</v>
      </c>
      <c r="X39" s="2042"/>
      <c r="Y39" s="3651"/>
      <c r="Z39" s="2046" t="str">
        <f t="shared" si="15"/>
        <v>层高</v>
      </c>
      <c r="AA39" s="2037">
        <f t="shared" si="3"/>
        <v>1</v>
      </c>
      <c r="AB39" s="2037">
        <f t="shared" si="4"/>
        <v>0.98039215686274506</v>
      </c>
      <c r="AC39" s="2037">
        <f t="shared" si="5"/>
        <v>0.98039215686274506</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7"/>
      <c r="M40" s="2963"/>
      <c r="N40" s="2963"/>
      <c r="O40" s="2963"/>
      <c r="P40" s="3649"/>
      <c r="Q40" s="2039" t="str">
        <f t="shared" si="11"/>
        <v>单套建筑面积</v>
      </c>
      <c r="R40" s="1693" t="s">
        <v>25</v>
      </c>
      <c r="S40" s="1694">
        <f t="shared" si="12"/>
        <v>100</v>
      </c>
      <c r="T40" s="1693" t="s">
        <v>25</v>
      </c>
      <c r="U40" s="1694">
        <f t="shared" si="13"/>
        <v>100</v>
      </c>
      <c r="V40" s="1693" t="s">
        <v>25</v>
      </c>
      <c r="W40" s="1694">
        <f t="shared" si="14"/>
        <v>100</v>
      </c>
      <c r="X40" s="2042"/>
      <c r="Y40" s="3651"/>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6"/>
      <c r="M41" s="2027"/>
      <c r="N41" s="2027"/>
      <c r="O41" s="2027"/>
      <c r="P41" s="3649"/>
      <c r="Q41" s="1734" t="str">
        <f t="shared" si="11"/>
        <v>进深比</v>
      </c>
      <c r="R41" s="1735" t="s">
        <v>25</v>
      </c>
      <c r="S41" s="1736">
        <f t="shared" si="12"/>
        <v>100</v>
      </c>
      <c r="T41" s="1735" t="s">
        <v>25</v>
      </c>
      <c r="U41" s="1736">
        <f t="shared" si="13"/>
        <v>100</v>
      </c>
      <c r="V41" s="1735" t="s">
        <v>25</v>
      </c>
      <c r="W41" s="1736">
        <f t="shared" si="14"/>
        <v>100</v>
      </c>
      <c r="X41" s="1737"/>
      <c r="Y41" s="3651"/>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7"/>
      <c r="M42" s="2963"/>
      <c r="N42" s="2963"/>
      <c r="O42" s="2963"/>
      <c r="P42" s="3649"/>
      <c r="Q42" s="2039" t="str">
        <f t="shared" si="11"/>
        <v>内部装修</v>
      </c>
      <c r="R42" s="1693" t="s">
        <v>25</v>
      </c>
      <c r="S42" s="1694">
        <f t="shared" si="12"/>
        <v>100</v>
      </c>
      <c r="T42" s="1693" t="s">
        <v>25</v>
      </c>
      <c r="U42" s="1694">
        <f t="shared" si="13"/>
        <v>100</v>
      </c>
      <c r="V42" s="1693" t="s">
        <v>25</v>
      </c>
      <c r="W42" s="1694">
        <f t="shared" si="14"/>
        <v>100</v>
      </c>
      <c r="X42" s="2042"/>
      <c r="Y42" s="3651"/>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7"/>
      <c r="M43" s="2963"/>
      <c r="N43" s="2963"/>
      <c r="O43" s="2963"/>
      <c r="P43" s="3649"/>
      <c r="Q43" s="2039" t="str">
        <f t="shared" si="11"/>
        <v>内部装修维护情况</v>
      </c>
      <c r="R43" s="1693" t="s">
        <v>25</v>
      </c>
      <c r="S43" s="1694">
        <f t="shared" si="12"/>
        <v>100</v>
      </c>
      <c r="T43" s="1693" t="s">
        <v>25</v>
      </c>
      <c r="U43" s="1694">
        <f t="shared" si="13"/>
        <v>100</v>
      </c>
      <c r="V43" s="1693" t="s">
        <v>25</v>
      </c>
      <c r="W43" s="1694">
        <f t="shared" si="14"/>
        <v>100</v>
      </c>
      <c r="X43" s="2042"/>
      <c r="Y43" s="3651"/>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t="s">
        <v>3089</v>
      </c>
      <c r="H44" s="1665">
        <f>SUMIF(126:126,G44,127:127)-SUMIF(126:126,C44,127:127)+100</f>
        <v>100</v>
      </c>
      <c r="I44" s="1678" t="s">
        <v>3090</v>
      </c>
      <c r="J44" s="1665">
        <f>SUMIF(126:126,I44,127:127)-SUMIF(126:126,C44,127:127)+100</f>
        <v>100</v>
      </c>
      <c r="K44" s="1957"/>
      <c r="L44" s="2962"/>
      <c r="M44" s="2935"/>
      <c r="N44" s="2935"/>
      <c r="O44" s="2935"/>
      <c r="P44" s="3649"/>
      <c r="Q44" s="2033">
        <f t="shared" si="11"/>
        <v>111</v>
      </c>
      <c r="R44" s="1648" t="s">
        <v>25</v>
      </c>
      <c r="S44" s="1649">
        <f t="shared" si="12"/>
        <v>100</v>
      </c>
      <c r="T44" s="1648" t="s">
        <v>25</v>
      </c>
      <c r="U44" s="1649">
        <f t="shared" si="13"/>
        <v>100</v>
      </c>
      <c r="V44" s="1648" t="s">
        <v>25</v>
      </c>
      <c r="W44" s="1649">
        <f t="shared" si="14"/>
        <v>100</v>
      </c>
      <c r="X44" s="1650"/>
      <c r="Y44" s="3651"/>
      <c r="Z44" s="1661">
        <f t="shared" si="15"/>
        <v>111</v>
      </c>
      <c r="AA44" s="1651">
        <f t="shared" si="3"/>
        <v>1</v>
      </c>
      <c r="AB44" s="1651">
        <f t="shared" si="4"/>
        <v>1</v>
      </c>
      <c r="AC44" s="1651">
        <f t="shared" si="5"/>
        <v>1</v>
      </c>
    </row>
    <row r="45" spans="1:29" ht="15">
      <c r="A45" s="1740"/>
      <c r="B45" s="1728">
        <v>111</v>
      </c>
      <c r="C45" s="1678" t="s">
        <v>3096</v>
      </c>
      <c r="D45" s="1679">
        <v>100</v>
      </c>
      <c r="E45" s="1678" t="s">
        <v>3095</v>
      </c>
      <c r="F45" s="1722">
        <f>SUMIF(128:128,E45,129:129)-SUMIF(128:128,C45,129:129)+100</f>
        <v>100</v>
      </c>
      <c r="G45" s="1678">
        <v>94</v>
      </c>
      <c r="H45" s="1679">
        <f>SUMIF(128:128,G45,129:129)-SUMIF(128:128,C45,129:129)+100</f>
        <v>100</v>
      </c>
      <c r="I45" s="1678">
        <v>2000</v>
      </c>
      <c r="J45" s="1679">
        <f>SUMIF(128:128,I45,129:129)-SUMIF(128:128,C45,129:129)+100</f>
        <v>100</v>
      </c>
      <c r="K45" s="1957"/>
      <c r="L45" s="2967"/>
      <c r="M45" s="2963"/>
      <c r="N45" s="2963"/>
      <c r="O45" s="2963"/>
      <c r="P45" s="3649"/>
      <c r="Q45" s="2039">
        <f t="shared" si="11"/>
        <v>111</v>
      </c>
      <c r="R45" s="1693" t="s">
        <v>25</v>
      </c>
      <c r="S45" s="1694">
        <f t="shared" si="12"/>
        <v>100</v>
      </c>
      <c r="T45" s="1693" t="s">
        <v>25</v>
      </c>
      <c r="U45" s="1694">
        <f t="shared" si="13"/>
        <v>100</v>
      </c>
      <c r="V45" s="1693" t="s">
        <v>25</v>
      </c>
      <c r="W45" s="1694">
        <f t="shared" si="14"/>
        <v>100</v>
      </c>
      <c r="X45" s="2042"/>
      <c r="Y45" s="3651"/>
      <c r="Z45" s="2046">
        <f t="shared" si="15"/>
        <v>111</v>
      </c>
      <c r="AA45" s="2037">
        <f t="shared" si="3"/>
        <v>1</v>
      </c>
      <c r="AB45" s="2037">
        <f t="shared" si="4"/>
        <v>1</v>
      </c>
      <c r="AC45" s="2037">
        <f t="shared" si="5"/>
        <v>1</v>
      </c>
    </row>
    <row r="46" spans="1:29" ht="15.75" thickBot="1">
      <c r="A46" s="1748"/>
      <c r="B46" s="1681">
        <v>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7"/>
      <c r="M46" s="2963"/>
      <c r="N46" s="2963"/>
      <c r="O46" s="2963"/>
      <c r="P46" s="3650"/>
      <c r="Q46" s="2039">
        <f t="shared" si="11"/>
        <v>1</v>
      </c>
      <c r="R46" s="1693" t="s">
        <v>25</v>
      </c>
      <c r="S46" s="1694">
        <f t="shared" si="12"/>
        <v>100</v>
      </c>
      <c r="T46" s="1693" t="s">
        <v>25</v>
      </c>
      <c r="U46" s="1694">
        <f t="shared" si="13"/>
        <v>100</v>
      </c>
      <c r="V46" s="1693" t="s">
        <v>25</v>
      </c>
      <c r="W46" s="1694">
        <f t="shared" si="14"/>
        <v>100</v>
      </c>
      <c r="X46" s="2042"/>
      <c r="Y46" s="3652"/>
      <c r="Z46" s="2046">
        <f t="shared" si="15"/>
        <v>1</v>
      </c>
      <c r="AA46" s="2037">
        <f t="shared" si="3"/>
        <v>1</v>
      </c>
      <c r="AB46" s="2037">
        <f t="shared" si="4"/>
        <v>1</v>
      </c>
      <c r="AC46" s="2037">
        <f t="shared" si="5"/>
        <v>1</v>
      </c>
    </row>
    <row r="47" spans="1:29" ht="15">
      <c r="A47" s="1749" t="s">
        <v>2229</v>
      </c>
      <c r="B47" s="1750"/>
      <c r="C47" s="1751" t="s">
        <v>1</v>
      </c>
      <c r="D47" s="1752"/>
      <c r="E47" s="1753">
        <v>65000</v>
      </c>
      <c r="F47" s="1754"/>
      <c r="G47" s="1755">
        <v>51700</v>
      </c>
      <c r="H47" s="1756"/>
      <c r="I47" s="1753">
        <v>50400</v>
      </c>
      <c r="J47" s="1756"/>
      <c r="K47" s="1981"/>
      <c r="L47" s="2968"/>
      <c r="N47" s="2963"/>
      <c r="P47" s="3657" t="str">
        <f>A47</f>
        <v>成交单价（元/平方米）</v>
      </c>
      <c r="Q47" s="3657"/>
      <c r="R47" s="3658">
        <f>E47</f>
        <v>65000</v>
      </c>
      <c r="S47" s="3658"/>
      <c r="T47" s="3658">
        <f>G47</f>
        <v>51700</v>
      </c>
      <c r="U47" s="3658"/>
      <c r="V47" s="3658">
        <f>I47</f>
        <v>50400</v>
      </c>
      <c r="W47" s="3658"/>
      <c r="X47" s="1759"/>
      <c r="Y47" s="2041"/>
      <c r="Z47" s="1759"/>
      <c r="AA47" s="1759"/>
      <c r="AB47" s="1759"/>
      <c r="AC47" s="1759"/>
    </row>
    <row r="48" spans="1:29" ht="15.75" thickBot="1">
      <c r="A48" s="1761" t="s">
        <v>2312</v>
      </c>
      <c r="B48" s="1762"/>
      <c r="C48" s="1763">
        <f>R49</f>
        <v>52517</v>
      </c>
      <c r="D48" s="1764" t="s">
        <v>2686</v>
      </c>
      <c r="E48" s="1765">
        <f>R48</f>
        <v>58385</v>
      </c>
      <c r="F48" s="1766"/>
      <c r="G48" s="1763">
        <f>T48</f>
        <v>50225</v>
      </c>
      <c r="H48" s="1766"/>
      <c r="I48" s="1765">
        <f>V48</f>
        <v>48942</v>
      </c>
      <c r="J48" s="1766"/>
      <c r="K48" s="2478">
        <f>F48+H48+J48</f>
        <v>0</v>
      </c>
      <c r="L48" s="2968"/>
      <c r="N48" s="2963"/>
      <c r="P48" s="3657" t="str">
        <f>A48</f>
        <v>比较价值（元/平方米）</v>
      </c>
      <c r="Q48" s="3657"/>
      <c r="R48" s="3658">
        <f>IF(E1="售价",ROUND(PRODUCT(R47,AA7:AA46),0),ROUND(PRODUCT(R47,AA7:AA46),1))</f>
        <v>58385</v>
      </c>
      <c r="S48" s="3658"/>
      <c r="T48" s="3658">
        <f>IF(E1="售价",ROUND(PRODUCT(T47,AB7:AB46),0),ROUND(PRODUCT(T47,AB7:AB46),1))</f>
        <v>50225</v>
      </c>
      <c r="U48" s="3658"/>
      <c r="V48" s="3658">
        <f>IF(E1="售价",ROUND(PRODUCT(V47,AC7:AC46),0),ROUND(PRODUCT(V47,AC7:AC46),1))</f>
        <v>48942</v>
      </c>
      <c r="W48" s="3658"/>
      <c r="X48" s="1759"/>
      <c r="Y48" s="1759"/>
      <c r="Z48" s="1759"/>
      <c r="AA48" s="1759"/>
      <c r="AB48" s="1759"/>
      <c r="AC48" s="1759"/>
    </row>
    <row r="49" spans="1:29" ht="15.75" thickBot="1">
      <c r="A49" s="1767" t="s">
        <v>2313</v>
      </c>
      <c r="B49" s="1768"/>
      <c r="C49" s="1770">
        <f>R49</f>
        <v>52517</v>
      </c>
      <c r="D49" s="1770"/>
      <c r="E49" s="1770"/>
      <c r="F49" s="1770"/>
      <c r="G49" s="1770"/>
      <c r="H49" s="1770"/>
      <c r="I49" s="1770"/>
      <c r="J49" s="1770"/>
      <c r="K49" s="1986"/>
      <c r="L49" s="2968"/>
      <c r="N49" s="2963"/>
      <c r="P49" s="3663" t="str">
        <f>A49</f>
        <v>估价对象XX用房的比较价值（楼面单价，元/平方米）</v>
      </c>
      <c r="Q49" s="3664"/>
      <c r="R49" s="3665">
        <f>IF(E1="售价",ROUND(IF(D48="简单平均",AVERAGE(R48:V48),R48*F48+T48*H48+V48*J48),0),ROUND(IF(D48="简单平均",AVERAGE(R48:V48),R48*F48+T48*H48+V48*J48),1))</f>
        <v>52517</v>
      </c>
      <c r="S49" s="3665"/>
      <c r="T49" s="3665"/>
      <c r="U49" s="3665"/>
      <c r="V49" s="3665"/>
      <c r="W49" s="3665"/>
      <c r="X49" s="1759"/>
      <c r="Y49" s="1759"/>
      <c r="Z49" s="1759"/>
      <c r="AA49" s="1759"/>
      <c r="AB49" s="1759"/>
      <c r="AC49" s="1759"/>
    </row>
    <row r="50" spans="1:29">
      <c r="G50" s="2972"/>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0.1132996488824185</v>
      </c>
      <c r="F52" s="1777" t="str">
        <f>IF(OR(E52&gt;=0.3,E52&lt;=-0.3),"超过30%","")</f>
        <v/>
      </c>
      <c r="G52" s="1776">
        <f>IF(G47&lt;G48,G48/G47-1,G47/G48-1)</f>
        <v>2.9367844698855228E-2</v>
      </c>
      <c r="H52" s="1777" t="str">
        <f>IF(OR(G52&gt;=0.3,G52&lt;=-0.3),"超过30%","")</f>
        <v/>
      </c>
      <c r="I52" s="1776">
        <f>IF(I47&lt;I48,I48/I47-1,I47/I48-1)</f>
        <v>2.9790364104450129E-2</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0.1624688899950224</v>
      </c>
      <c r="F53" s="1777" t="str">
        <f>IF(OR(E53&gt;=0.2,E53&lt;=-0.2),"超过20%","")</f>
        <v/>
      </c>
      <c r="G53" s="1776">
        <f>IF(G48&lt;I48,I48/G48-1,G48/I48-1)</f>
        <v>2.6214703117976468E-2</v>
      </c>
      <c r="H53" s="1777" t="str">
        <f>IF(OR(G53&gt;=0.2,G53&lt;=-0.2),"超过20%","")</f>
        <v/>
      </c>
      <c r="I53" s="1776">
        <f>IF(I48&lt;E48,E48/I48-1,I48/E48-1)</f>
        <v>0.19294266683012551</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0.25725338491295946</v>
      </c>
      <c r="F54" s="1777" t="str">
        <f>IF(OR(E54&gt;=0.3,E54&lt;=-0.3),"超过30%","")</f>
        <v/>
      </c>
      <c r="G54" s="1776">
        <f>IF(G47&lt;I47,I47/G47-1,G47/I47-1)</f>
        <v>2.5793650793650702E-2</v>
      </c>
      <c r="H54" s="1777" t="str">
        <f>IF(OR(G54&gt;=0.3,G54&lt;=-0.3),"超过30%","")</f>
        <v/>
      </c>
      <c r="I54" s="1776">
        <f>IF(I47&lt;E47,E47/I47-1,I47/E47-1)</f>
        <v>0.28968253968253976</v>
      </c>
      <c r="J54" s="1777" t="str">
        <f>IF(OR(I54&gt;=0.3,I54&lt;=-0.3),"超过30%","")</f>
        <v/>
      </c>
      <c r="K54" s="2975"/>
      <c r="L54" s="2969"/>
      <c r="P54" s="2448"/>
      <c r="Q54" s="1779"/>
      <c r="R54" s="1779"/>
      <c r="S54" s="1779"/>
      <c r="T54" s="1779"/>
      <c r="U54" s="1779"/>
      <c r="V54" s="1779"/>
      <c r="W54" s="1779"/>
      <c r="X54" s="1779"/>
      <c r="Y54" s="1779"/>
      <c r="Z54" s="1779"/>
      <c r="AA54" s="1779"/>
      <c r="AB54" s="1779"/>
      <c r="AC54" s="1779"/>
    </row>
    <row r="55" spans="1:29" s="1781" customFormat="1">
      <c r="B55" s="2973"/>
      <c r="C55" s="2974"/>
      <c r="K55" s="2975"/>
      <c r="L55" s="2969"/>
      <c r="P55" s="2448"/>
      <c r="Q55" s="1779"/>
      <c r="R55" s="1779"/>
      <c r="S55" s="1779"/>
      <c r="T55" s="1779"/>
      <c r="U55" s="1779"/>
      <c r="V55" s="1779"/>
      <c r="W55" s="1779"/>
      <c r="X55" s="1779"/>
      <c r="Y55" s="1779"/>
      <c r="Z55" s="1779"/>
      <c r="AA55" s="1779"/>
      <c r="AB55" s="1779"/>
      <c r="AC55" s="1779"/>
    </row>
    <row r="56" spans="1:29">
      <c r="B56" s="2973"/>
      <c r="C56" s="2974"/>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1"/>
      <c r="O57" s="2971"/>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80"/>
      <c r="O61" s="2980"/>
      <c r="P61" s="1811"/>
      <c r="Q61" s="1789"/>
    </row>
    <row r="62" spans="1:29" s="1652" customFormat="1" ht="15.75" thickBot="1">
      <c r="A62" s="1807"/>
      <c r="B62" s="1797"/>
      <c r="C62" s="1812">
        <v>100</v>
      </c>
      <c r="D62" s="1799"/>
      <c r="E62" s="1799"/>
      <c r="F62" s="1799"/>
      <c r="G62" s="1799"/>
      <c r="H62" s="1799"/>
      <c r="I62" s="1799"/>
      <c r="J62" s="1799"/>
      <c r="K62" s="1799"/>
      <c r="L62" s="1799"/>
      <c r="M62" s="1813"/>
      <c r="N62" s="2980"/>
      <c r="O62" s="2980"/>
      <c r="P62" s="1801"/>
      <c r="Q62" s="1789"/>
    </row>
    <row r="63" spans="1:29">
      <c r="A63" s="1814" t="s">
        <v>2240</v>
      </c>
      <c r="B63" s="1815" t="s">
        <v>2205</v>
      </c>
      <c r="C63" s="1816" t="str">
        <f>C9</f>
        <v>商业</v>
      </c>
      <c r="D63" s="1817"/>
      <c r="E63" s="1817"/>
      <c r="F63" s="1817"/>
      <c r="G63" s="1817"/>
      <c r="H63" s="1817"/>
      <c r="I63" s="1817"/>
      <c r="J63" s="1817"/>
      <c r="K63" s="417"/>
      <c r="L63" s="417"/>
      <c r="M63" s="1818"/>
      <c r="N63" s="2981"/>
      <c r="O63" s="2981"/>
      <c r="P63" s="1820"/>
      <c r="Q63" s="1789"/>
    </row>
    <row r="64" spans="1:29" ht="15.75" thickBot="1">
      <c r="A64" s="1821"/>
      <c r="B64" s="1822"/>
      <c r="C64" s="1823">
        <v>100</v>
      </c>
      <c r="D64" s="1823"/>
      <c r="E64" s="1823"/>
      <c r="F64" s="1823"/>
      <c r="G64" s="1823"/>
      <c r="H64" s="1823"/>
      <c r="I64" s="1823"/>
      <c r="J64" s="1823"/>
      <c r="K64" s="1823"/>
      <c r="L64" s="1823"/>
      <c r="M64" s="1824"/>
      <c r="N64" s="2982"/>
      <c r="O64" s="2982"/>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1"/>
      <c r="O65" s="2981"/>
      <c r="P65" s="1820"/>
      <c r="Q65" s="1789"/>
    </row>
    <row r="66" spans="1:17" ht="15.75" thickBot="1">
      <c r="A66" s="1821"/>
      <c r="B66" s="1829"/>
      <c r="C66" s="1830" t="s">
        <v>36</v>
      </c>
      <c r="D66" s="1830" t="s">
        <v>37</v>
      </c>
      <c r="E66" s="1830" t="s">
        <v>38</v>
      </c>
      <c r="F66" s="1830">
        <v>100</v>
      </c>
      <c r="G66" s="1830">
        <f>F66-$K10</f>
        <v>99</v>
      </c>
      <c r="H66" s="1830">
        <f>G66-$K10</f>
        <v>98</v>
      </c>
      <c r="I66" s="1830">
        <f>H66-$K10</f>
        <v>97</v>
      </c>
      <c r="J66" s="1830"/>
      <c r="K66" s="1830"/>
      <c r="L66" s="1830"/>
      <c r="M66" s="1831"/>
      <c r="N66" s="2982"/>
      <c r="O66" s="2982"/>
      <c r="P66" s="1820"/>
      <c r="Q66" s="1789"/>
    </row>
    <row r="67" spans="1:17" ht="15.75" thickTop="1">
      <c r="A67" s="1821"/>
      <c r="B67" s="1832" t="s">
        <v>2209</v>
      </c>
      <c r="C67" s="1833" t="str">
        <f>C68&amp;"（含）"&amp;"-"&amp;D68</f>
        <v>0（含）-1</v>
      </c>
      <c r="D67" s="1833" t="str">
        <f t="shared" ref="D67:L67" si="17">D68&amp;"（含）"&amp;"-"&amp;E68</f>
        <v>1（含）-2</v>
      </c>
      <c r="E67" s="1833" t="str">
        <f t="shared" si="17"/>
        <v>2（含）-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2"/>
      <c r="O67" s="2982"/>
      <c r="P67" s="1820"/>
      <c r="Q67" s="1789"/>
    </row>
    <row r="68" spans="1:17" ht="15">
      <c r="A68" s="1821"/>
      <c r="B68" s="1834"/>
      <c r="C68" s="1835">
        <v>0</v>
      </c>
      <c r="D68" s="1835">
        <v>1</v>
      </c>
      <c r="E68" s="1835">
        <v>2</v>
      </c>
      <c r="F68" s="1835"/>
      <c r="G68" s="1835"/>
      <c r="H68" s="1835"/>
      <c r="I68" s="1835"/>
      <c r="J68" s="1835"/>
      <c r="K68" s="438"/>
      <c r="L68" s="438"/>
      <c r="M68" s="1836"/>
      <c r="N68" s="2981"/>
      <c r="O68" s="2981"/>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2"/>
      <c r="O69" s="2982"/>
      <c r="P69" s="1820"/>
      <c r="Q69" s="1789"/>
    </row>
    <row r="70" spans="1:17" s="1739" customFormat="1" ht="15.75" thickTop="1">
      <c r="A70" s="1837"/>
      <c r="B70" s="1826">
        <f>B12</f>
        <v>111</v>
      </c>
      <c r="C70" s="468"/>
      <c r="D70" s="468"/>
      <c r="E70" s="468"/>
      <c r="F70" s="468"/>
      <c r="G70" s="468"/>
      <c r="H70" s="443"/>
      <c r="I70" s="443"/>
      <c r="J70" s="443"/>
      <c r="K70" s="443"/>
      <c r="L70" s="443"/>
      <c r="M70" s="1838"/>
      <c r="N70" s="2983"/>
      <c r="O70" s="2983"/>
      <c r="P70" s="1840"/>
      <c r="Q70" s="1841"/>
    </row>
    <row r="71" spans="1:17" s="1739" customFormat="1" ht="15.75" thickBot="1">
      <c r="A71" s="1837"/>
      <c r="B71" s="1829"/>
      <c r="C71" s="1842"/>
      <c r="D71" s="1823"/>
      <c r="E71" s="1823"/>
      <c r="F71" s="1823"/>
      <c r="G71" s="1823"/>
      <c r="H71" s="1823"/>
      <c r="I71" s="1823"/>
      <c r="J71" s="1823"/>
      <c r="K71" s="1823"/>
      <c r="L71" s="1823"/>
      <c r="M71" s="1824"/>
      <c r="N71" s="2982"/>
      <c r="O71" s="2982"/>
      <c r="P71" s="1840"/>
      <c r="Q71" s="1841"/>
    </row>
    <row r="72" spans="1:17" s="1739" customFormat="1" ht="15.75" thickTop="1">
      <c r="A72" s="1837"/>
      <c r="B72" s="1826">
        <f>B13</f>
        <v>111</v>
      </c>
      <c r="C72" s="468"/>
      <c r="D72" s="468"/>
      <c r="E72" s="468"/>
      <c r="F72" s="468"/>
      <c r="G72" s="468"/>
      <c r="H72" s="443"/>
      <c r="I72" s="443"/>
      <c r="J72" s="443"/>
      <c r="K72" s="443"/>
      <c r="L72" s="443"/>
      <c r="M72" s="1838"/>
      <c r="N72" s="2983"/>
      <c r="O72" s="2983"/>
      <c r="P72" s="1843"/>
      <c r="Q72" s="1844"/>
    </row>
    <row r="73" spans="1:17" s="1739" customFormat="1" ht="15.75" thickBot="1">
      <c r="A73" s="1837"/>
      <c r="B73" s="1829"/>
      <c r="C73" s="1842"/>
      <c r="D73" s="1823"/>
      <c r="E73" s="1823"/>
      <c r="F73" s="1823"/>
      <c r="G73" s="1842"/>
      <c r="H73" s="1845"/>
      <c r="I73" s="1845"/>
      <c r="J73" s="1845"/>
      <c r="K73" s="1845"/>
      <c r="L73" s="1845"/>
      <c r="M73" s="1846"/>
      <c r="N73" s="2983"/>
      <c r="O73" s="2983"/>
      <c r="P73" s="1840"/>
      <c r="Q73" s="1841"/>
    </row>
    <row r="74" spans="1:17" s="1739" customFormat="1" ht="15.75" thickTop="1">
      <c r="A74" s="1837"/>
      <c r="B74" s="1832">
        <f>B14</f>
        <v>111</v>
      </c>
      <c r="C74" s="468"/>
      <c r="D74" s="468"/>
      <c r="E74" s="468"/>
      <c r="F74" s="468"/>
      <c r="G74" s="409"/>
      <c r="H74" s="453"/>
      <c r="I74" s="453"/>
      <c r="J74" s="453"/>
      <c r="K74" s="453"/>
      <c r="L74" s="453"/>
      <c r="M74" s="1847"/>
      <c r="N74" s="2983"/>
      <c r="O74" s="2983"/>
      <c r="P74" s="1840"/>
      <c r="Q74" s="1841"/>
    </row>
    <row r="75" spans="1:17" s="1739" customFormat="1" ht="15.75" thickBot="1">
      <c r="A75" s="1848"/>
      <c r="B75" s="1849"/>
      <c r="C75" s="1850"/>
      <c r="D75" s="1850"/>
      <c r="E75" s="1850"/>
      <c r="F75" s="1850"/>
      <c r="G75" s="1850"/>
      <c r="H75" s="1851"/>
      <c r="I75" s="1851"/>
      <c r="J75" s="1851"/>
      <c r="K75" s="1851"/>
      <c r="L75" s="1851"/>
      <c r="M75" s="1852"/>
      <c r="N75" s="2983"/>
      <c r="O75" s="2983"/>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1"/>
      <c r="O76" s="2981"/>
      <c r="P76" s="1820"/>
      <c r="Q76" s="1789"/>
    </row>
    <row r="77" spans="1:17" ht="15.75" thickBot="1">
      <c r="A77" s="1821"/>
      <c r="B77" s="1829"/>
      <c r="C77" s="1830">
        <v>100</v>
      </c>
      <c r="D77" s="1830">
        <f>C77-$K15</f>
        <v>97</v>
      </c>
      <c r="E77" s="1830">
        <f>D77-$K15</f>
        <v>94</v>
      </c>
      <c r="F77" s="1830">
        <f>E77-$K15</f>
        <v>91</v>
      </c>
      <c r="G77" s="1830">
        <f>F77-$K15</f>
        <v>88</v>
      </c>
      <c r="H77" s="1830"/>
      <c r="I77" s="1830"/>
      <c r="J77" s="1830"/>
      <c r="K77" s="1830"/>
      <c r="L77" s="1830"/>
      <c r="M77" s="1831"/>
      <c r="N77" s="2982"/>
      <c r="O77" s="2982"/>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1"/>
      <c r="O78" s="2981"/>
      <c r="P78" s="1820"/>
      <c r="Q78" s="1789"/>
    </row>
    <row r="79" spans="1:17" ht="15.75" thickBot="1">
      <c r="A79" s="1821"/>
      <c r="B79" s="1829"/>
      <c r="C79" s="1830">
        <v>100</v>
      </c>
      <c r="D79" s="1830">
        <f>C79-$K17</f>
        <v>98</v>
      </c>
      <c r="E79" s="1830">
        <f>D79-$K17</f>
        <v>96</v>
      </c>
      <c r="F79" s="1830">
        <f>E79-$K17</f>
        <v>94</v>
      </c>
      <c r="G79" s="1830">
        <f>F79-$K17</f>
        <v>92</v>
      </c>
      <c r="H79" s="1830"/>
      <c r="I79" s="1830"/>
      <c r="J79" s="1830"/>
      <c r="K79" s="1830"/>
      <c r="L79" s="1830"/>
      <c r="M79" s="1831"/>
      <c r="N79" s="2982"/>
      <c r="O79" s="2982"/>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1"/>
      <c r="O80" s="2981"/>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2"/>
      <c r="O81" s="2982"/>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2"/>
      <c r="O82" s="2982"/>
      <c r="P82" s="1820"/>
      <c r="Q82" s="1789"/>
    </row>
    <row r="83" spans="1:17" ht="15.75" thickBot="1">
      <c r="A83" s="1821"/>
      <c r="B83" s="1832"/>
      <c r="C83" s="1830">
        <v>100</v>
      </c>
      <c r="D83" s="1830">
        <f>C83-$K21</f>
        <v>98</v>
      </c>
      <c r="E83" s="1830">
        <f>D83-$K21</f>
        <v>96</v>
      </c>
      <c r="F83" s="1830">
        <f>E83-$K21</f>
        <v>94</v>
      </c>
      <c r="G83" s="1830">
        <f>F83-$K21</f>
        <v>92</v>
      </c>
      <c r="H83" s="1856"/>
      <c r="I83" s="1856"/>
      <c r="J83" s="1856"/>
      <c r="K83" s="1856"/>
      <c r="L83" s="1856"/>
      <c r="M83" s="1703"/>
      <c r="N83" s="2982"/>
      <c r="O83" s="2982"/>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1"/>
      <c r="O84" s="2981"/>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2"/>
      <c r="O85" s="2982"/>
      <c r="P85" s="1820"/>
      <c r="Q85" s="1789"/>
    </row>
    <row r="86" spans="1:17" s="1652" customFormat="1" ht="15.75" thickTop="1">
      <c r="A86" s="1857"/>
      <c r="B86" s="1826" t="s">
        <v>2318</v>
      </c>
      <c r="C86" s="3323" t="s">
        <v>3053</v>
      </c>
      <c r="D86" s="3323" t="s">
        <v>3054</v>
      </c>
      <c r="E86" s="3323" t="s">
        <v>3056</v>
      </c>
      <c r="F86" s="3323" t="s">
        <v>3057</v>
      </c>
      <c r="G86" s="468"/>
      <c r="H86" s="468"/>
      <c r="I86" s="468"/>
      <c r="J86" s="468"/>
      <c r="K86" s="468"/>
      <c r="L86" s="468"/>
      <c r="M86" s="1858"/>
      <c r="N86" s="2980"/>
      <c r="O86" s="2980"/>
      <c r="P86" s="1820"/>
      <c r="Q86" s="1789"/>
    </row>
    <row r="87" spans="1:17" s="1652" customFormat="1" ht="15.75" thickBot="1">
      <c r="A87" s="1857"/>
      <c r="B87" s="1829"/>
      <c r="C87" s="1859">
        <v>100</v>
      </c>
      <c r="D87" s="1830">
        <f t="shared" ref="D87:M87" si="19">C87-$K25</f>
        <v>95</v>
      </c>
      <c r="E87" s="1830">
        <f t="shared" si="19"/>
        <v>90</v>
      </c>
      <c r="F87" s="1830">
        <f t="shared" si="19"/>
        <v>85</v>
      </c>
      <c r="G87" s="1830">
        <f t="shared" si="19"/>
        <v>80</v>
      </c>
      <c r="H87" s="1830">
        <f t="shared" si="19"/>
        <v>75</v>
      </c>
      <c r="I87" s="1830">
        <f t="shared" si="19"/>
        <v>70</v>
      </c>
      <c r="J87" s="1830">
        <f t="shared" si="19"/>
        <v>65</v>
      </c>
      <c r="K87" s="1830">
        <f t="shared" si="19"/>
        <v>60</v>
      </c>
      <c r="L87" s="1830">
        <f t="shared" si="19"/>
        <v>55</v>
      </c>
      <c r="M87" s="1830">
        <f t="shared" si="19"/>
        <v>50</v>
      </c>
      <c r="N87" s="2982"/>
      <c r="O87" s="2982"/>
      <c r="P87" s="1820"/>
      <c r="Q87" s="1789"/>
    </row>
    <row r="88" spans="1:17" s="1652" customFormat="1" ht="15.75" thickTop="1">
      <c r="A88" s="1857"/>
      <c r="B88" s="1826" t="str">
        <f>B26</f>
        <v>平面位置/可视性</v>
      </c>
      <c r="C88" s="3323" t="s">
        <v>3058</v>
      </c>
      <c r="D88" s="3323" t="s">
        <v>3059</v>
      </c>
      <c r="E88" s="3323" t="s">
        <v>3060</v>
      </c>
      <c r="F88" s="1860"/>
      <c r="G88" s="468"/>
      <c r="H88" s="468"/>
      <c r="I88" s="468"/>
      <c r="J88" s="468"/>
      <c r="K88" s="468"/>
      <c r="L88" s="468"/>
      <c r="M88" s="1858"/>
      <c r="N88" s="2980"/>
      <c r="O88" s="2980"/>
      <c r="P88" s="1820"/>
      <c r="Q88" s="1789"/>
    </row>
    <row r="89" spans="1:17" s="1652" customFormat="1" ht="15.75" thickBot="1">
      <c r="A89" s="1857"/>
      <c r="B89" s="1829"/>
      <c r="C89" s="1842">
        <v>100</v>
      </c>
      <c r="D89" s="1823">
        <v>95</v>
      </c>
      <c r="E89" s="1823">
        <v>90</v>
      </c>
      <c r="F89" s="1823"/>
      <c r="G89" s="1823"/>
      <c r="H89" s="1823"/>
      <c r="I89" s="1823"/>
      <c r="J89" s="1823"/>
      <c r="K89" s="1823"/>
      <c r="L89" s="1823"/>
      <c r="M89" s="1823"/>
      <c r="N89" s="2982"/>
      <c r="O89" s="2982"/>
      <c r="P89" s="1820"/>
      <c r="Q89" s="1789"/>
    </row>
    <row r="90" spans="1:17" s="1739" customFormat="1" ht="15.75" thickTop="1">
      <c r="A90" s="1837"/>
      <c r="B90" s="1826" t="str">
        <f>B27</f>
        <v>人流量</v>
      </c>
      <c r="C90" s="3323" t="s">
        <v>3061</v>
      </c>
      <c r="D90" s="3323" t="s">
        <v>3063</v>
      </c>
      <c r="E90" s="3323" t="s">
        <v>3060</v>
      </c>
      <c r="F90" s="468"/>
      <c r="G90" s="468"/>
      <c r="H90" s="443"/>
      <c r="I90" s="443"/>
      <c r="J90" s="443"/>
      <c r="K90" s="443"/>
      <c r="L90" s="443"/>
      <c r="M90" s="1838"/>
      <c r="N90" s="2983"/>
      <c r="O90" s="2983"/>
      <c r="P90" s="1840"/>
      <c r="Q90" s="1841"/>
    </row>
    <row r="91" spans="1:17" s="1739" customFormat="1" ht="15.75" thickBot="1">
      <c r="A91" s="1837"/>
      <c r="B91" s="1829"/>
      <c r="C91" s="1859">
        <v>100</v>
      </c>
      <c r="D91" s="1830">
        <f>C91-$K27</f>
        <v>98</v>
      </c>
      <c r="E91" s="1830">
        <f t="shared" ref="E91:M91" si="20">D91-$K27</f>
        <v>96</v>
      </c>
      <c r="F91" s="1830">
        <f t="shared" si="20"/>
        <v>94</v>
      </c>
      <c r="G91" s="1830">
        <f t="shared" si="20"/>
        <v>92</v>
      </c>
      <c r="H91" s="1830">
        <f t="shared" si="20"/>
        <v>90</v>
      </c>
      <c r="I91" s="1830">
        <f t="shared" si="20"/>
        <v>88</v>
      </c>
      <c r="J91" s="1830">
        <f t="shared" si="20"/>
        <v>86</v>
      </c>
      <c r="K91" s="1830">
        <f t="shared" si="20"/>
        <v>84</v>
      </c>
      <c r="L91" s="1830">
        <f t="shared" si="20"/>
        <v>82</v>
      </c>
      <c r="M91" s="1830">
        <f t="shared" si="20"/>
        <v>80</v>
      </c>
      <c r="N91" s="2983"/>
      <c r="O91" s="2983"/>
      <c r="P91" s="1840"/>
      <c r="Q91" s="1841"/>
    </row>
    <row r="92" spans="1:17" ht="15.75" thickTop="1">
      <c r="A92" s="1821"/>
      <c r="B92" s="1826" t="str">
        <f>B28</f>
        <v>楼层</v>
      </c>
      <c r="C92" s="468" t="s">
        <v>3064</v>
      </c>
      <c r="D92" s="468" t="s">
        <v>3065</v>
      </c>
      <c r="E92" s="468" t="s">
        <v>3074</v>
      </c>
      <c r="F92" s="468"/>
      <c r="G92" s="468"/>
      <c r="H92" s="468"/>
      <c r="I92" s="468"/>
      <c r="J92" s="468"/>
      <c r="K92" s="468"/>
      <c r="L92" s="468"/>
      <c r="M92" s="1858"/>
      <c r="N92" s="2981"/>
      <c r="O92" s="2981"/>
      <c r="P92" s="1820"/>
      <c r="Q92" s="1789"/>
    </row>
    <row r="93" spans="1:17" ht="15.75" thickBot="1">
      <c r="A93" s="1821"/>
      <c r="B93" s="1829"/>
      <c r="C93" s="1823">
        <v>100</v>
      </c>
      <c r="D93" s="1823">
        <v>85</v>
      </c>
      <c r="E93" s="1823">
        <f>ROUND((100+70+60)/3,0)</f>
        <v>77</v>
      </c>
      <c r="F93" s="1823"/>
      <c r="G93" s="1823"/>
      <c r="H93" s="1823"/>
      <c r="I93" s="1823"/>
      <c r="J93" s="1823"/>
      <c r="K93" s="1823"/>
      <c r="L93" s="1823"/>
      <c r="M93" s="1824"/>
      <c r="N93" s="2982"/>
      <c r="O93" s="2982"/>
      <c r="P93" s="1820"/>
      <c r="Q93" s="1789"/>
    </row>
    <row r="94" spans="1:17" ht="15.75" thickTop="1">
      <c r="A94" s="1821"/>
      <c r="B94" s="1826">
        <f>B29</f>
        <v>111</v>
      </c>
      <c r="C94" s="468"/>
      <c r="D94" s="468"/>
      <c r="E94" s="468"/>
      <c r="F94" s="468"/>
      <c r="G94" s="1545"/>
      <c r="H94" s="1545"/>
      <c r="I94" s="1545"/>
      <c r="J94" s="1545"/>
      <c r="K94" s="473"/>
      <c r="L94" s="473"/>
      <c r="M94" s="1861"/>
      <c r="N94" s="2981"/>
      <c r="O94" s="2981"/>
      <c r="P94" s="1820"/>
      <c r="Q94" s="1789"/>
    </row>
    <row r="95" spans="1:17" ht="15.75" thickBot="1">
      <c r="A95" s="1821"/>
      <c r="B95" s="1829"/>
      <c r="C95" s="1842"/>
      <c r="D95" s="1823"/>
      <c r="E95" s="1823"/>
      <c r="F95" s="1823"/>
      <c r="G95" s="1823"/>
      <c r="H95" s="1823"/>
      <c r="I95" s="1823"/>
      <c r="J95" s="1823"/>
      <c r="K95" s="1823"/>
      <c r="L95" s="1823"/>
      <c r="M95" s="1824"/>
      <c r="N95" s="2982"/>
      <c r="O95" s="2982"/>
      <c r="P95" s="1820"/>
      <c r="Q95" s="1789"/>
    </row>
    <row r="96" spans="1:17" ht="15.75" thickTop="1">
      <c r="A96" s="1821"/>
      <c r="B96" s="1826">
        <f>B30</f>
        <v>111</v>
      </c>
      <c r="C96" s="468"/>
      <c r="D96" s="468"/>
      <c r="E96" s="468"/>
      <c r="F96" s="468"/>
      <c r="G96" s="1545"/>
      <c r="H96" s="1545"/>
      <c r="I96" s="1545"/>
      <c r="J96" s="1545"/>
      <c r="K96" s="473"/>
      <c r="L96" s="473"/>
      <c r="M96" s="1861"/>
      <c r="N96" s="2981"/>
      <c r="O96" s="2981"/>
      <c r="P96" s="1820"/>
      <c r="Q96" s="1789"/>
    </row>
    <row r="97" spans="1:17" ht="15.75" thickBot="1">
      <c r="A97" s="1821"/>
      <c r="B97" s="1829"/>
      <c r="C97" s="1842"/>
      <c r="D97" s="1823"/>
      <c r="E97" s="1823"/>
      <c r="F97" s="1823"/>
      <c r="G97" s="1823"/>
      <c r="H97" s="1823"/>
      <c r="I97" s="1823"/>
      <c r="J97" s="1823"/>
      <c r="K97" s="1823"/>
      <c r="L97" s="1823"/>
      <c r="M97" s="1824"/>
      <c r="N97" s="2982"/>
      <c r="O97" s="2982"/>
      <c r="P97" s="1820"/>
      <c r="Q97" s="1789"/>
    </row>
    <row r="98" spans="1:17" ht="15.75" thickTop="1">
      <c r="A98" s="1821"/>
      <c r="B98" s="1832">
        <f>B31</f>
        <v>111</v>
      </c>
      <c r="C98" s="468"/>
      <c r="D98" s="468"/>
      <c r="E98" s="468"/>
      <c r="F98" s="468"/>
      <c r="G98" s="1862"/>
      <c r="H98" s="1862"/>
      <c r="I98" s="1862"/>
      <c r="J98" s="1862"/>
      <c r="K98" s="477"/>
      <c r="L98" s="477"/>
      <c r="M98" s="1863"/>
      <c r="N98" s="2981"/>
      <c r="O98" s="2981"/>
      <c r="P98" s="1820"/>
      <c r="Q98" s="1789"/>
    </row>
    <row r="99" spans="1:17" ht="15.75" thickBot="1">
      <c r="A99" s="1864"/>
      <c r="B99" s="1849"/>
      <c r="C99" s="1850"/>
      <c r="D99" s="1850"/>
      <c r="E99" s="1850"/>
      <c r="F99" s="1850"/>
      <c r="G99" s="1865"/>
      <c r="H99" s="1865"/>
      <c r="I99" s="1865"/>
      <c r="J99" s="1865"/>
      <c r="K99" s="1865"/>
      <c r="L99" s="1865"/>
      <c r="M99" s="1866"/>
      <c r="N99" s="2982"/>
      <c r="O99" s="2982"/>
      <c r="P99" s="1820"/>
      <c r="Q99" s="1789"/>
    </row>
    <row r="100" spans="1:17">
      <c r="A100" s="1814" t="s">
        <v>2215</v>
      </c>
      <c r="B100" s="1815" t="s">
        <v>2319</v>
      </c>
      <c r="C100" s="3324" t="s">
        <v>3075</v>
      </c>
      <c r="D100" s="3324" t="s">
        <v>3076</v>
      </c>
      <c r="E100" s="3324" t="s">
        <v>3077</v>
      </c>
      <c r="F100" s="3324" t="s">
        <v>3072</v>
      </c>
      <c r="G100" s="1817"/>
      <c r="H100" s="1817"/>
      <c r="I100" s="1817"/>
      <c r="J100" s="1817"/>
      <c r="K100" s="417"/>
      <c r="L100" s="417"/>
      <c r="M100" s="1818"/>
      <c r="N100" s="2981"/>
      <c r="O100" s="2981"/>
      <c r="P100" s="1820"/>
      <c r="Q100" s="1789"/>
    </row>
    <row r="101" spans="1:17" ht="15.75" thickBot="1">
      <c r="A101" s="1821"/>
      <c r="B101" s="1829"/>
      <c r="C101" s="1830">
        <v>100</v>
      </c>
      <c r="D101" s="1830">
        <f t="shared" ref="D101:M101" si="21">C101-$K32</f>
        <v>98</v>
      </c>
      <c r="E101" s="1830">
        <f t="shared" si="21"/>
        <v>96</v>
      </c>
      <c r="F101" s="1830">
        <f t="shared" si="21"/>
        <v>94</v>
      </c>
      <c r="G101" s="1830">
        <f t="shared" si="21"/>
        <v>92</v>
      </c>
      <c r="H101" s="1830">
        <f t="shared" si="21"/>
        <v>90</v>
      </c>
      <c r="I101" s="1830">
        <f t="shared" si="21"/>
        <v>88</v>
      </c>
      <c r="J101" s="1830">
        <f t="shared" si="21"/>
        <v>86</v>
      </c>
      <c r="K101" s="1830">
        <f t="shared" si="21"/>
        <v>84</v>
      </c>
      <c r="L101" s="1830">
        <f t="shared" si="21"/>
        <v>82</v>
      </c>
      <c r="M101" s="1831">
        <f t="shared" si="21"/>
        <v>80</v>
      </c>
      <c r="N101" s="2982"/>
      <c r="O101" s="2982"/>
      <c r="P101" s="1820"/>
      <c r="Q101" s="1789"/>
    </row>
    <row r="102" spans="1:17" ht="15.75" thickTop="1">
      <c r="A102" s="1821"/>
      <c r="B102" s="1826"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8" t="str">
        <f>M103&amp;"(含)"&amp;"-"&amp;P103</f>
        <v>(含)-</v>
      </c>
      <c r="N102" s="2980"/>
      <c r="O102" s="2980"/>
      <c r="P102" s="1820"/>
      <c r="Q102" s="1789"/>
    </row>
    <row r="103" spans="1:17" s="1739" customFormat="1">
      <c r="A103" s="1867"/>
      <c r="B103" s="1868"/>
      <c r="C103" s="1869">
        <v>0</v>
      </c>
      <c r="D103" s="1869">
        <v>50</v>
      </c>
      <c r="E103" s="1869">
        <v>100</v>
      </c>
      <c r="F103" s="1869">
        <v>200</v>
      </c>
      <c r="G103" s="1869">
        <v>400</v>
      </c>
      <c r="H103" s="1869">
        <v>800</v>
      </c>
      <c r="I103" s="1869">
        <v>1200</v>
      </c>
      <c r="J103" s="485">
        <v>2000</v>
      </c>
      <c r="K103" s="485"/>
      <c r="L103" s="485"/>
      <c r="M103" s="1870"/>
      <c r="N103" s="2983"/>
      <c r="O103" s="2983"/>
      <c r="P103" s="1840"/>
      <c r="Q103" s="1841"/>
    </row>
    <row r="104" spans="1:17" s="1739" customFormat="1" ht="15.75" thickBot="1">
      <c r="A104" s="1837"/>
      <c r="B104" s="1829"/>
      <c r="C104" s="1842">
        <v>100</v>
      </c>
      <c r="D104" s="1823">
        <v>99</v>
      </c>
      <c r="E104" s="1823">
        <v>98</v>
      </c>
      <c r="F104" s="1823">
        <v>97</v>
      </c>
      <c r="G104" s="1823">
        <v>96</v>
      </c>
      <c r="H104" s="1823">
        <v>95</v>
      </c>
      <c r="I104" s="1823">
        <v>94</v>
      </c>
      <c r="J104" s="1823"/>
      <c r="K104" s="1823"/>
      <c r="L104" s="1823"/>
      <c r="M104" s="1824"/>
      <c r="N104" s="2982"/>
      <c r="O104" s="2982"/>
      <c r="P104" s="1840"/>
      <c r="Q104" s="1841"/>
    </row>
    <row r="105" spans="1:17" ht="15" thickTop="1">
      <c r="A105" s="1871"/>
      <c r="B105" s="1826" t="s">
        <v>2266</v>
      </c>
      <c r="C105" s="468"/>
      <c r="D105" s="468"/>
      <c r="E105" s="1545"/>
      <c r="F105" s="1545"/>
      <c r="G105" s="1545"/>
      <c r="H105" s="1545"/>
      <c r="I105" s="1545"/>
      <c r="J105" s="1545"/>
      <c r="K105" s="473"/>
      <c r="L105" s="473"/>
      <c r="M105" s="1861"/>
      <c r="N105" s="2981"/>
      <c r="O105" s="2981"/>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2"/>
      <c r="O106" s="2982"/>
      <c r="P106" s="1820"/>
      <c r="Q106" s="1789"/>
    </row>
    <row r="107" spans="1:17" ht="15" thickTop="1">
      <c r="A107" s="1871"/>
      <c r="B107" s="1826" t="s">
        <v>2268</v>
      </c>
      <c r="C107" s="468"/>
      <c r="D107" s="468"/>
      <c r="E107" s="468"/>
      <c r="F107" s="1545"/>
      <c r="G107" s="1545"/>
      <c r="H107" s="1545"/>
      <c r="I107" s="1545"/>
      <c r="J107" s="1545"/>
      <c r="K107" s="473"/>
      <c r="L107" s="473"/>
      <c r="M107" s="1861"/>
      <c r="N107" s="2981"/>
      <c r="O107" s="2981"/>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2"/>
      <c r="O108" s="2982"/>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1"/>
      <c r="O109" s="2981"/>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1"/>
      <c r="O110" s="2981"/>
      <c r="P110" s="1820"/>
      <c r="Q110" s="1789"/>
    </row>
    <row r="111" spans="1:17" ht="15.75" thickBot="1">
      <c r="A111" s="1821"/>
      <c r="B111" s="1829"/>
      <c r="C111" s="1859">
        <v>100</v>
      </c>
      <c r="D111" s="1830">
        <f>C111+$K36</f>
        <v>101</v>
      </c>
      <c r="E111" s="1830">
        <f t="shared" ref="E111:M111" si="25">D111+$K36</f>
        <v>102</v>
      </c>
      <c r="F111" s="1830">
        <f t="shared" si="25"/>
        <v>103</v>
      </c>
      <c r="G111" s="1830">
        <f t="shared" si="25"/>
        <v>104</v>
      </c>
      <c r="H111" s="1830">
        <f t="shared" si="25"/>
        <v>105</v>
      </c>
      <c r="I111" s="1830">
        <f t="shared" si="25"/>
        <v>106</v>
      </c>
      <c r="J111" s="1830">
        <f t="shared" si="25"/>
        <v>107</v>
      </c>
      <c r="K111" s="1830">
        <f t="shared" si="25"/>
        <v>108</v>
      </c>
      <c r="L111" s="1830">
        <f t="shared" si="25"/>
        <v>109</v>
      </c>
      <c r="M111" s="1830">
        <f t="shared" si="25"/>
        <v>110</v>
      </c>
      <c r="N111" s="2982"/>
      <c r="O111" s="2982"/>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3"/>
      <c r="O112" s="2983"/>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3"/>
      <c r="O113" s="2983"/>
      <c r="P113" s="1840"/>
      <c r="Q113" s="1841"/>
    </row>
    <row r="114" spans="1:17" ht="15" thickTop="1">
      <c r="A114" s="1871"/>
      <c r="B114" s="1826" t="s">
        <v>2320</v>
      </c>
      <c r="C114" s="3323" t="s">
        <v>3066</v>
      </c>
      <c r="D114" s="3323" t="s">
        <v>3068</v>
      </c>
      <c r="E114" s="1545"/>
      <c r="F114" s="1545"/>
      <c r="G114" s="1545"/>
      <c r="H114" s="1545"/>
      <c r="I114" s="1545"/>
      <c r="J114" s="1545"/>
      <c r="K114" s="473"/>
      <c r="L114" s="473"/>
      <c r="M114" s="1861"/>
      <c r="N114" s="2981"/>
      <c r="O114" s="2981"/>
      <c r="P114" s="1820"/>
      <c r="Q114" s="1789"/>
    </row>
    <row r="115" spans="1:17" ht="15.75" thickBot="1">
      <c r="A115" s="1821"/>
      <c r="B115" s="1829"/>
      <c r="C115" s="1830">
        <v>100</v>
      </c>
      <c r="D115" s="1830">
        <f t="shared" ref="D115:M115" si="27">C115-$K38</f>
        <v>98</v>
      </c>
      <c r="E115" s="1830">
        <f t="shared" si="27"/>
        <v>96</v>
      </c>
      <c r="F115" s="1830">
        <f t="shared" si="27"/>
        <v>94</v>
      </c>
      <c r="G115" s="1830">
        <f t="shared" si="27"/>
        <v>92</v>
      </c>
      <c r="H115" s="1830">
        <f t="shared" si="27"/>
        <v>90</v>
      </c>
      <c r="I115" s="1830">
        <f t="shared" si="27"/>
        <v>88</v>
      </c>
      <c r="J115" s="1830">
        <f t="shared" si="27"/>
        <v>86</v>
      </c>
      <c r="K115" s="1830">
        <f t="shared" si="27"/>
        <v>84</v>
      </c>
      <c r="L115" s="1830">
        <f t="shared" si="27"/>
        <v>82</v>
      </c>
      <c r="M115" s="1831">
        <f t="shared" si="27"/>
        <v>80</v>
      </c>
      <c r="N115" s="2982"/>
      <c r="O115" s="2982"/>
      <c r="P115" s="1820"/>
      <c r="Q115" s="1789"/>
    </row>
    <row r="116" spans="1:17" ht="15" thickTop="1">
      <c r="A116" s="1871"/>
      <c r="B116" s="1826" t="s">
        <v>2321</v>
      </c>
      <c r="C116" s="3323" t="s">
        <v>3069</v>
      </c>
      <c r="D116" s="3323" t="s">
        <v>3070</v>
      </c>
      <c r="E116" s="468"/>
      <c r="F116" s="468"/>
      <c r="G116" s="468"/>
      <c r="H116" s="1545"/>
      <c r="I116" s="1545"/>
      <c r="J116" s="1545"/>
      <c r="K116" s="473"/>
      <c r="L116" s="473"/>
      <c r="M116" s="1861"/>
      <c r="N116" s="2981"/>
      <c r="O116" s="2981"/>
      <c r="P116" s="1820"/>
      <c r="Q116" s="1789"/>
    </row>
    <row r="117" spans="1:17" ht="15.75" thickBot="1">
      <c r="A117" s="1821"/>
      <c r="B117" s="1829"/>
      <c r="C117" s="1830">
        <v>100</v>
      </c>
      <c r="D117" s="1830">
        <f>C117-$K39</f>
        <v>98</v>
      </c>
      <c r="E117" s="1830">
        <f>D117-$K39</f>
        <v>96</v>
      </c>
      <c r="F117" s="1830">
        <f>E117-$K39</f>
        <v>94</v>
      </c>
      <c r="G117" s="1830">
        <f>F117-$K39</f>
        <v>92</v>
      </c>
      <c r="H117" s="1830"/>
      <c r="I117" s="1830"/>
      <c r="J117" s="1830"/>
      <c r="K117" s="1830"/>
      <c r="L117" s="1830"/>
      <c r="M117" s="1831"/>
      <c r="N117" s="2982"/>
      <c r="O117" s="2982"/>
      <c r="P117" s="1820"/>
      <c r="Q117" s="1789"/>
    </row>
    <row r="118" spans="1:17" ht="15" thickTop="1">
      <c r="A118" s="1871"/>
      <c r="B118" s="1826" t="s">
        <v>2322</v>
      </c>
      <c r="C118" s="2453"/>
      <c r="D118" s="2453"/>
      <c r="E118" s="2453"/>
      <c r="F118" s="2453"/>
      <c r="G118" s="2453"/>
      <c r="H118" s="443"/>
      <c r="I118" s="443"/>
      <c r="J118" s="443"/>
      <c r="K118" s="443"/>
      <c r="L118" s="443"/>
      <c r="M118" s="1838"/>
      <c r="N118" s="2981"/>
      <c r="O118" s="2981"/>
      <c r="P118" s="1820"/>
      <c r="Q118" s="1789"/>
    </row>
    <row r="119" spans="1:17" ht="15.75" thickBot="1">
      <c r="A119" s="1821"/>
      <c r="B119" s="1829"/>
      <c r="C119" s="1842"/>
      <c r="D119" s="1823"/>
      <c r="E119" s="1823"/>
      <c r="F119" s="1823"/>
      <c r="G119" s="1823"/>
      <c r="H119" s="1823"/>
      <c r="I119" s="1823"/>
      <c r="J119" s="1823"/>
      <c r="K119" s="1823"/>
      <c r="L119" s="1823"/>
      <c r="M119" s="1824"/>
      <c r="N119" s="2982"/>
      <c r="O119" s="2982"/>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3"/>
      <c r="O120" s="2983"/>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3"/>
      <c r="O121" s="2983"/>
      <c r="P121" s="1840"/>
      <c r="Q121" s="1841"/>
    </row>
    <row r="122" spans="1:17" ht="15" thickTop="1">
      <c r="A122" s="1871"/>
      <c r="B122" s="1826" t="s">
        <v>2273</v>
      </c>
      <c r="C122" s="468"/>
      <c r="D122" s="468"/>
      <c r="E122" s="468"/>
      <c r="F122" s="1545"/>
      <c r="G122" s="1545"/>
      <c r="H122" s="1545"/>
      <c r="I122" s="1545"/>
      <c r="J122" s="1545"/>
      <c r="K122" s="473"/>
      <c r="L122" s="473"/>
      <c r="M122" s="1861"/>
      <c r="N122" s="2981"/>
      <c r="O122" s="2981"/>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2"/>
      <c r="O123" s="2982"/>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1"/>
      <c r="O124" s="2981"/>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2"/>
      <c r="O125" s="2982"/>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3"/>
      <c r="O126" s="2983"/>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3"/>
      <c r="O127" s="2983"/>
      <c r="P127" s="1840"/>
      <c r="Q127" s="1841"/>
    </row>
    <row r="128" spans="1:17" ht="15" thickTop="1">
      <c r="A128" s="1871"/>
      <c r="B128" s="1826">
        <f>B45</f>
        <v>111</v>
      </c>
      <c r="C128" s="468"/>
      <c r="D128" s="468"/>
      <c r="E128" s="468"/>
      <c r="F128" s="468"/>
      <c r="G128" s="1545"/>
      <c r="H128" s="1545"/>
      <c r="I128" s="1545"/>
      <c r="J128" s="1545"/>
      <c r="K128" s="473"/>
      <c r="L128" s="473"/>
      <c r="M128" s="1861"/>
      <c r="N128" s="2981"/>
      <c r="O128" s="2981"/>
      <c r="P128" s="1820"/>
      <c r="Q128" s="1789"/>
    </row>
    <row r="129" spans="1:17" ht="15.75" thickBot="1">
      <c r="A129" s="1821"/>
      <c r="B129" s="1829"/>
      <c r="C129" s="1842"/>
      <c r="D129" s="1823"/>
      <c r="E129" s="1823"/>
      <c r="F129" s="1823"/>
      <c r="G129" s="1823"/>
      <c r="H129" s="1823"/>
      <c r="I129" s="1823"/>
      <c r="J129" s="1823"/>
      <c r="K129" s="1823"/>
      <c r="L129" s="1823"/>
      <c r="M129" s="1824"/>
      <c r="N129" s="2982"/>
      <c r="O129" s="2982"/>
      <c r="P129" s="1820"/>
      <c r="Q129" s="1789"/>
    </row>
    <row r="130" spans="1:17" ht="15" thickTop="1">
      <c r="A130" s="1871"/>
      <c r="B130" s="1832">
        <f>B46</f>
        <v>1</v>
      </c>
      <c r="C130" s="468"/>
      <c r="D130" s="468"/>
      <c r="E130" s="468"/>
      <c r="F130" s="468"/>
      <c r="G130" s="1862"/>
      <c r="H130" s="1862"/>
      <c r="I130" s="1862"/>
      <c r="J130" s="1862"/>
      <c r="K130" s="409"/>
      <c r="L130" s="409"/>
      <c r="M130" s="1863"/>
      <c r="N130" s="2981"/>
      <c r="O130" s="2981"/>
      <c r="P130" s="1820"/>
      <c r="Q130" s="1789"/>
    </row>
    <row r="131" spans="1:17" ht="15.75" thickBot="1">
      <c r="A131" s="1864"/>
      <c r="B131" s="1849"/>
      <c r="C131" s="1850"/>
      <c r="D131" s="1850"/>
      <c r="E131" s="1850"/>
      <c r="F131" s="1850"/>
      <c r="G131" s="1865"/>
      <c r="H131" s="1865"/>
      <c r="I131" s="1865"/>
      <c r="J131" s="1865"/>
      <c r="K131" s="1865"/>
      <c r="L131" s="1865"/>
      <c r="M131" s="1866"/>
      <c r="N131" s="2982"/>
      <c r="O131" s="2982"/>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pageSetUpPr fitToPage="1"/>
  </sheetPr>
  <dimension ref="A1:AK75"/>
  <sheetViews>
    <sheetView view="pageBreakPreview" zoomScaleNormal="60" zoomScaleSheetLayoutView="100" workbookViewId="0">
      <selection activeCell="D44" sqref="D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2689</v>
      </c>
      <c r="E1" s="1593" t="s">
        <v>1183</v>
      </c>
      <c r="F1" s="1594"/>
      <c r="G1" s="1595" t="e">
        <f>MATCH(C1,'数据-取费表'!A19:A19,0)+5</f>
        <v>#N/A</v>
      </c>
      <c r="H1" s="2952"/>
      <c r="I1" s="923"/>
      <c r="J1" s="923"/>
      <c r="K1" s="924"/>
      <c r="L1" s="923"/>
      <c r="M1" s="923"/>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1321</v>
      </c>
      <c r="C2" s="1486"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36420</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716052</v>
      </c>
      <c r="D5" s="1600" t="s">
        <v>2667</v>
      </c>
      <c r="E5" s="925"/>
      <c r="F5" s="1053"/>
      <c r="G5" s="949"/>
      <c r="H5" s="232">
        <v>1</v>
      </c>
      <c r="I5" s="233" t="s">
        <v>1954</v>
      </c>
      <c r="J5" s="234">
        <f ca="1">J6+J10+J12</f>
        <v>0</v>
      </c>
      <c r="K5" s="1487" t="s">
        <v>1955</v>
      </c>
      <c r="L5" s="925"/>
      <c r="M5" s="1053"/>
    </row>
    <row r="6" spans="1:37" ht="18" customHeight="1">
      <c r="A6" s="1054" t="s">
        <v>1956</v>
      </c>
      <c r="B6" s="1409" t="s">
        <v>1957</v>
      </c>
      <c r="C6" s="234">
        <f>ROUND(F6*F8*F7*(1-F9),0)</f>
        <v>715158</v>
      </c>
      <c r="D6" s="36" t="s">
        <v>2642</v>
      </c>
      <c r="E6" s="235" t="s">
        <v>1958</v>
      </c>
      <c r="F6" s="236">
        <f>'数据-取费表'!B30</f>
        <v>6</v>
      </c>
      <c r="G6" s="949"/>
      <c r="H6" s="1054" t="s">
        <v>1956</v>
      </c>
      <c r="I6" s="1409"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362.84</v>
      </c>
      <c r="G7" s="949"/>
      <c r="H7" s="237"/>
      <c r="I7" s="238"/>
      <c r="J7" s="239"/>
      <c r="K7" s="240"/>
      <c r="L7" s="235" t="s">
        <v>1959</v>
      </c>
      <c r="M7" s="236">
        <f>IF('数据-取费表'!B42="",IF(D1="仅计算典型户型",'数据-取费表'!E5,'数据-取费表'!B5),'数据-取费表'!B42)</f>
        <v>362.84</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894</v>
      </c>
      <c r="D10" s="1489" t="s">
        <v>2648</v>
      </c>
      <c r="E10" s="246" t="s">
        <v>1965</v>
      </c>
      <c r="F10" s="1490" t="s">
        <v>1966</v>
      </c>
      <c r="G10" s="949"/>
      <c r="H10" s="1054" t="s">
        <v>1963</v>
      </c>
      <c r="I10" s="1488" t="s">
        <v>1964</v>
      </c>
      <c r="J10" s="1055">
        <f ca="1">ROUND(IF(M10="押一",J6/12*M11,IF(M10="押二",J6/12*2*M11,IF(M10="押三",J6/12*3*M11,J11*M11))),0)</f>
        <v>0</v>
      </c>
      <c r="K10" s="36" t="s">
        <v>2648</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1673886</v>
      </c>
      <c r="D13" s="1062" t="s">
        <v>1973</v>
      </c>
      <c r="E13" s="1062" t="s">
        <v>1974</v>
      </c>
      <c r="F13" s="1063">
        <f>'数据-取费表'!E20</f>
        <v>0.87</v>
      </c>
      <c r="G13" s="950"/>
      <c r="H13" s="1060">
        <v>2</v>
      </c>
      <c r="I13" s="1061" t="s">
        <v>1972</v>
      </c>
      <c r="J13" s="1056">
        <f ca="1">ROUND(J14*J15,0)</f>
        <v>0</v>
      </c>
      <c r="K13" s="1067" t="s">
        <v>1973</v>
      </c>
      <c r="L13" s="1079"/>
      <c r="M13" s="1080"/>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1269940</v>
      </c>
      <c r="D14" s="1295" t="s">
        <v>1977</v>
      </c>
      <c r="E14" s="1296"/>
      <c r="F14" s="798"/>
      <c r="G14" s="950"/>
      <c r="H14" s="253" t="s">
        <v>1956</v>
      </c>
      <c r="I14" s="235" t="s">
        <v>1978</v>
      </c>
      <c r="J14" s="13">
        <f ca="1">C29</f>
        <v>1924007</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38098</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28860</v>
      </c>
      <c r="K16" s="1067" t="s">
        <v>1988</v>
      </c>
      <c r="L16" s="1068"/>
      <c r="M16" s="1069"/>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72568</v>
      </c>
      <c r="D17" s="235" t="s">
        <v>1991</v>
      </c>
      <c r="E17" s="235" t="s">
        <v>1992</v>
      </c>
      <c r="F17" s="15">
        <f>'数据-取费表'!E23</f>
        <v>200</v>
      </c>
      <c r="G17" s="950"/>
      <c r="H17" s="253" t="s">
        <v>1993</v>
      </c>
      <c r="I17" s="235" t="s">
        <v>1994</v>
      </c>
      <c r="J17" s="2792">
        <f>ROUND(IF(AND(项目基本情况!B7="自然人",项目基本情况!B6="北京市"),J6*M17/(1+'数据-取费表'!F30),J18+J19+J20),0)</f>
        <v>0</v>
      </c>
      <c r="K17" s="1295" t="s">
        <v>1995</v>
      </c>
      <c r="L17" s="1298" t="s">
        <v>1996</v>
      </c>
      <c r="M17" s="2791">
        <f>IF(项目基本情况!B7="企业","——",IF('数据-取费表'!B10="住宅",IF(M6*M7*M8/12/(1+'数据-取费表'!F30)&gt;100000,4%,2.5%),IF(M6*M7*M8/12/(1+'数据-取费表'!F30)&gt;100000,12%,7%)))</f>
        <v>7.0000000000000007E-2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19049</v>
      </c>
      <c r="D18" s="235" t="s">
        <v>1981</v>
      </c>
      <c r="E18" s="235" t="s">
        <v>1982</v>
      </c>
      <c r="F18" s="258">
        <f>'数据-取费表'!E24</f>
        <v>1.4999999999999999E-2</v>
      </c>
      <c r="G18" s="949"/>
      <c r="H18" s="253" t="s">
        <v>1999</v>
      </c>
      <c r="I18" s="235" t="s">
        <v>2000</v>
      </c>
      <c r="J18" s="13" t="str">
        <f>IF(项目基本情况!B7="自然人","——",ROUND(J6*M18/(1+'数据-取费表'!F30),0))</f>
        <v>——</v>
      </c>
      <c r="K18" s="1298" t="s">
        <v>2669</v>
      </c>
      <c r="L18" s="235" t="s">
        <v>1982</v>
      </c>
      <c r="M18" s="258">
        <f>'数据-取费表'!E29</f>
        <v>5.5000000000000007E-2</v>
      </c>
    </row>
    <row r="19" spans="1:37" s="257" customFormat="1" ht="18" customHeight="1">
      <c r="A19" s="253" t="s">
        <v>1993</v>
      </c>
      <c r="B19" s="235" t="s">
        <v>2001</v>
      </c>
      <c r="C19" s="13">
        <f>SUM(C14:C18)</f>
        <v>1399655</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27993</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28860</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62103</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399" t="str">
        <f>IF(F23&lt;=1,"销售费用×利率×(建设周期÷2)","销售费用×((1+利率)^(建设周期÷2)-1)")</f>
        <v>销售费用×((1+利率)^(建设周期÷2)-1)</v>
      </c>
      <c r="E24" s="235" t="s">
        <v>2027</v>
      </c>
      <c r="F24" s="267">
        <f ca="1">'数据-取费表'!E27</f>
        <v>4.3499999999999997E-2</v>
      </c>
      <c r="G24" s="950"/>
      <c r="H24" s="1070" t="s">
        <v>2016</v>
      </c>
      <c r="I24" s="1071" t="s">
        <v>2005</v>
      </c>
      <c r="J24" s="1072">
        <f ca="1">ROUND(J5*M24,0)</f>
        <v>0</v>
      </c>
      <c r="K24" s="1073" t="s">
        <v>2028</v>
      </c>
      <c r="L24" s="1071" t="s">
        <v>2024</v>
      </c>
      <c r="M24" s="1066">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0"/>
      <c r="F25" s="15"/>
      <c r="G25" s="950"/>
      <c r="H25" s="1060" t="s">
        <v>22</v>
      </c>
      <c r="I25" s="1075" t="s">
        <v>2032</v>
      </c>
      <c r="J25" s="243">
        <f ca="1">J5-J16</f>
        <v>-28860</v>
      </c>
      <c r="K25" s="1076" t="s">
        <v>2033</v>
      </c>
      <c r="L25" s="1077"/>
      <c r="M25" s="1078"/>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285530</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0" t="s">
        <v>2049</v>
      </c>
      <c r="B29" s="1071" t="s">
        <v>2050</v>
      </c>
      <c r="C29" s="1072">
        <f ca="1">ROUND((C19+C20+C23+C26)/(1-F21-C24-C27-C28),0)</f>
        <v>1924007</v>
      </c>
      <c r="D29" s="1073"/>
      <c r="E29" s="1071"/>
      <c r="F29" s="1074"/>
      <c r="G29" s="651"/>
      <c r="H29" s="271" t="s">
        <v>24</v>
      </c>
      <c r="I29" s="272" t="s">
        <v>2051</v>
      </c>
      <c r="J29" s="273">
        <f ca="1">ROUND(J26/(1+F40)^F41,0)</f>
        <v>0</v>
      </c>
      <c r="K29" s="274" t="s">
        <v>2052</v>
      </c>
      <c r="L29" s="275"/>
      <c r="M29" s="276">
        <f>IF(D1="仅计算典型户型",'数据-取费表'!E5,'数据-取费表'!B5)</f>
        <v>362.84</v>
      </c>
    </row>
    <row r="30" spans="1:37" ht="18" customHeight="1" thickTop="1">
      <c r="A30" s="1060" t="s">
        <v>14</v>
      </c>
      <c r="B30" s="1061" t="s">
        <v>2053</v>
      </c>
      <c r="C30" s="243">
        <f ca="1">ROUND(C31+C36+C37+C38,0)</f>
        <v>86209</v>
      </c>
      <c r="D30" s="1067" t="s">
        <v>2054</v>
      </c>
      <c r="E30" s="1068"/>
      <c r="F30" s="1069"/>
      <c r="G30" s="651"/>
      <c r="H30" s="929"/>
      <c r="I30" s="930"/>
      <c r="J30" s="931"/>
      <c r="K30" s="932"/>
      <c r="L30" s="933"/>
      <c r="M30" s="934"/>
    </row>
    <row r="31" spans="1:37" ht="18" customHeight="1">
      <c r="A31" s="253" t="s">
        <v>1956</v>
      </c>
      <c r="B31" s="235" t="s">
        <v>1994</v>
      </c>
      <c r="C31" s="2792">
        <f>ROUND(IF(AND(项目基本情况!B7="自然人",项目基本情况!B6="北京市"),C6*F31/(1+'数据-取费表'!F30),C32+C33+C34),0)</f>
        <v>47677</v>
      </c>
      <c r="D31" s="1295" t="s">
        <v>2055</v>
      </c>
      <c r="E31" s="1298" t="s">
        <v>2056</v>
      </c>
      <c r="F31" s="2791">
        <f>IF(项目基本情况!B7="企业","——",IF('数据-取费表'!B10="住宅",IF(F6*F7*F8/12/(1+'数据-取费表'!F30)&gt;100000,4%,2.5%),IF(F6*F7*F8/12/(1+'数据-取费表'!F30)&gt;100000,12%,7%)))</f>
        <v>7.0000000000000007E-2</v>
      </c>
      <c r="G31" s="651"/>
      <c r="H31" s="929"/>
      <c r="I31" s="930"/>
      <c r="J31" s="931"/>
      <c r="K31" s="932"/>
      <c r="L31" s="933"/>
      <c r="M31" s="934"/>
    </row>
    <row r="32" spans="1:37" ht="18" customHeight="1">
      <c r="A32" s="253" t="s">
        <v>1975</v>
      </c>
      <c r="B32" s="235" t="s">
        <v>2057</v>
      </c>
      <c r="C32" s="13" t="str">
        <f>IF(项目基本情况!B7="自然人","——",ROUND(C6*F32/(1+'数据-取费表'!F30),0))</f>
        <v>——</v>
      </c>
      <c r="D32" s="1298" t="s">
        <v>2668</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1"/>
      <c r="H34" s="929"/>
      <c r="I34" s="280" t="s">
        <v>2060</v>
      </c>
      <c r="J34" s="281">
        <f ca="1">ROUND(C13*J35,0)</f>
        <v>0</v>
      </c>
      <c r="K34" s="943"/>
      <c r="L34" s="944"/>
      <c r="M34" s="944"/>
    </row>
    <row r="35" spans="1:18" ht="24.6" customHeight="1">
      <c r="A35" s="1058"/>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7" t="s">
        <v>1963</v>
      </c>
      <c r="B36" s="235" t="s">
        <v>2062</v>
      </c>
      <c r="C36" s="13">
        <f ca="1">ROUND(C29*F36,0)</f>
        <v>28860</v>
      </c>
      <c r="D36" s="1298"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2511</v>
      </c>
      <c r="D37" s="1298" t="s">
        <v>2023</v>
      </c>
      <c r="E37" s="235" t="s">
        <v>2024</v>
      </c>
      <c r="F37" s="266">
        <f>'数据-取费表'!B46</f>
        <v>1.5E-3</v>
      </c>
      <c r="G37" s="651"/>
      <c r="H37" s="941"/>
      <c r="I37" s="132" t="s">
        <v>2065</v>
      </c>
      <c r="J37" s="286"/>
      <c r="K37" s="945"/>
      <c r="L37" s="941"/>
      <c r="M37" s="941"/>
    </row>
    <row r="38" spans="1:18" ht="18" customHeight="1" thickBot="1">
      <c r="A38" s="1070" t="s">
        <v>2016</v>
      </c>
      <c r="B38" s="1071" t="s">
        <v>2005</v>
      </c>
      <c r="C38" s="1072">
        <f ca="1">ROUND(C5*F38,0)</f>
        <v>7161</v>
      </c>
      <c r="D38" s="1073" t="s">
        <v>2028</v>
      </c>
      <c r="E38" s="1071" t="s">
        <v>2024</v>
      </c>
      <c r="F38" s="1066">
        <f>'数据-取费表'!B47</f>
        <v>0.01</v>
      </c>
      <c r="G38" s="651"/>
      <c r="H38" s="941"/>
      <c r="I38" s="280" t="s">
        <v>2066</v>
      </c>
      <c r="J38" s="136">
        <f ca="1">ROUND(J34/C39,3)</f>
        <v>0</v>
      </c>
      <c r="K38" s="946"/>
      <c r="L38" s="941"/>
      <c r="M38" s="941"/>
    </row>
    <row r="39" spans="1:18" ht="18" customHeight="1" thickTop="1">
      <c r="A39" s="1060" t="s">
        <v>22</v>
      </c>
      <c r="B39" s="1075" t="s">
        <v>2067</v>
      </c>
      <c r="C39" s="243">
        <f ca="1">C5-C30</f>
        <v>629843</v>
      </c>
      <c r="D39" s="1076" t="s">
        <v>2068</v>
      </c>
      <c r="E39" s="1077"/>
      <c r="F39" s="1078"/>
      <c r="G39" s="651"/>
      <c r="H39" s="941"/>
      <c r="I39" s="280" t="s">
        <v>2069</v>
      </c>
      <c r="J39" s="136">
        <f ca="1">1-J38</f>
        <v>1</v>
      </c>
      <c r="K39" s="946"/>
      <c r="L39" s="941"/>
      <c r="M39" s="941"/>
    </row>
    <row r="40" spans="1:18" s="651" customFormat="1" ht="18" customHeight="1">
      <c r="A40" s="232" t="s">
        <v>23</v>
      </c>
      <c r="B40" s="233" t="s">
        <v>2070</v>
      </c>
      <c r="C40" s="234">
        <f ca="1">ROUND(C39*(1-((1+F42)/(1+F40))^F41)/(F40-F42),0)</f>
        <v>13214735</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1" t="s">
        <v>2651</v>
      </c>
      <c r="F41" s="270">
        <f>IF('数据-取费表'!B29="租赁期内按合同租金",'数据-取费表'!B35,IF(E41="收益年期(n)",'数据-取费表'!B34,'数据-取费表'!B13))</f>
        <v>31</v>
      </c>
      <c r="H41" s="948"/>
      <c r="I41" s="135" t="s">
        <v>1944</v>
      </c>
      <c r="J41" s="136">
        <f ca="1">ROUND(C13/C40,3)</f>
        <v>0.127</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0.873</v>
      </c>
      <c r="K42" s="945"/>
      <c r="L42" s="948"/>
      <c r="M42" s="948"/>
      <c r="Q42" s="655"/>
    </row>
    <row r="43" spans="1:18" s="651" customFormat="1" ht="18" customHeight="1" thickBot="1">
      <c r="A43" s="271" t="s">
        <v>24</v>
      </c>
      <c r="B43" s="272" t="s">
        <v>2073</v>
      </c>
      <c r="C43" s="273">
        <f ca="1">ROUND(C40/F43,0)</f>
        <v>36420</v>
      </c>
      <c r="D43" s="274" t="s">
        <v>2074</v>
      </c>
      <c r="E43" s="275" t="s">
        <v>2075</v>
      </c>
      <c r="F43" s="276">
        <f>IF(D1="仅计算典型户型",'数据-取费表'!E5,'数据-取费表'!B5)</f>
        <v>362.84</v>
      </c>
      <c r="G43" s="653"/>
      <c r="H43" s="948"/>
      <c r="I43" s="948"/>
      <c r="J43" s="948"/>
      <c r="K43" s="945"/>
      <c r="L43" s="948"/>
      <c r="M43" s="948"/>
      <c r="O43" s="1038" t="s">
        <v>2076</v>
      </c>
      <c r="P43" s="1039"/>
      <c r="Q43" s="1035"/>
      <c r="R43" s="1039"/>
    </row>
    <row r="44" spans="1:18" s="651" customFormat="1" ht="18" customHeight="1" thickBot="1">
      <c r="A44" s="648"/>
      <c r="B44" s="648"/>
      <c r="C44" s="650"/>
      <c r="D44" s="648"/>
      <c r="E44" s="648"/>
      <c r="F44" s="648"/>
      <c r="G44" s="653"/>
      <c r="K44" s="652"/>
      <c r="O44" s="1040" t="s">
        <v>2077</v>
      </c>
      <c r="P44" s="1041" t="s">
        <v>2078</v>
      </c>
      <c r="Q44" s="1042" t="s">
        <v>2079</v>
      </c>
      <c r="R44" s="1043" t="s">
        <v>2080</v>
      </c>
    </row>
    <row r="45" spans="1:18" s="651" customFormat="1" ht="18" customHeight="1" thickBot="1">
      <c r="A45" s="648"/>
      <c r="B45" s="648"/>
      <c r="C45" s="650"/>
      <c r="D45" s="648"/>
      <c r="E45" s="648"/>
      <c r="F45" s="648"/>
      <c r="G45" s="654"/>
      <c r="K45" s="652"/>
      <c r="O45" s="1044" t="s">
        <v>949</v>
      </c>
      <c r="P45" s="1045" t="s">
        <v>2081</v>
      </c>
      <c r="Q45" s="1046">
        <f ca="1">C40+J29</f>
        <v>13214735</v>
      </c>
      <c r="R45" s="1047" t="s">
        <v>2082</v>
      </c>
    </row>
    <row r="46" spans="1:18" s="651" customFormat="1" ht="18" customHeight="1" thickBot="1">
      <c r="A46" s="648"/>
      <c r="D46" s="648"/>
      <c r="E46" s="648"/>
      <c r="F46" s="648"/>
      <c r="K46" s="652"/>
      <c r="O46" s="1044" t="s">
        <v>950</v>
      </c>
      <c r="P46" s="1045" t="s">
        <v>2083</v>
      </c>
      <c r="Q46" s="1046" t="str">
        <f>J61</f>
        <v>0</v>
      </c>
      <c r="R46" s="1047" t="s">
        <v>2084</v>
      </c>
    </row>
    <row r="47" spans="1:18" s="651" customFormat="1" ht="21.75" thickBot="1">
      <c r="A47" s="1494" t="s">
        <v>2085</v>
      </c>
      <c r="C47" s="990">
        <f ca="1">IF(C2="元",C69-C40,ROUND((C69-C40)/10000,0))</f>
        <v>-1368</v>
      </c>
      <c r="D47" s="1495" t="str">
        <f>C2</f>
        <v>万元</v>
      </c>
      <c r="E47" s="648"/>
      <c r="F47" s="648"/>
      <c r="I47" s="1496" t="s">
        <v>2086</v>
      </c>
      <c r="J47" s="1021"/>
      <c r="K47" s="1022"/>
      <c r="L47" s="1034" t="str">
        <f>IF(M48="住宅",0,IF(L49&gt;J52,L61,J61))</f>
        <v>0</v>
      </c>
      <c r="O47" s="1048" t="s">
        <v>951</v>
      </c>
      <c r="P47" s="1045" t="s">
        <v>2087</v>
      </c>
      <c r="Q47" s="1046">
        <f ca="1">C29</f>
        <v>1924007</v>
      </c>
      <c r="R47" s="1047" t="s">
        <v>2082</v>
      </c>
    </row>
    <row r="48" spans="1:18" s="651" customFormat="1" ht="15.75" thickBot="1">
      <c r="A48" s="228" t="s">
        <v>2088</v>
      </c>
      <c r="B48" s="229" t="s">
        <v>2089</v>
      </c>
      <c r="C48" s="229" t="s">
        <v>2090</v>
      </c>
      <c r="D48" s="229" t="s">
        <v>2091</v>
      </c>
      <c r="E48" s="984" t="s">
        <v>2092</v>
      </c>
      <c r="F48" s="985"/>
      <c r="I48" s="1497" t="s">
        <v>2093</v>
      </c>
      <c r="J48" s="1498" t="s">
        <v>2988</v>
      </c>
      <c r="K48" s="1499" t="s">
        <v>2094</v>
      </c>
      <c r="L48" s="1023">
        <f>'数据-取费表'!B11</f>
        <v>40</v>
      </c>
      <c r="M48" s="1035" t="str">
        <f>IF('数据-取费表'!B10="住宅","住宅","非住宅")</f>
        <v>非住宅</v>
      </c>
      <c r="O48" s="1048" t="s">
        <v>952</v>
      </c>
      <c r="P48" s="1045" t="s">
        <v>2095</v>
      </c>
      <c r="Q48" s="1049" t="e">
        <f>J59</f>
        <v>#VALUE!</v>
      </c>
      <c r="R48" s="1047"/>
    </row>
    <row r="49" spans="1:18" s="651" customFormat="1" ht="15.75" thickBot="1">
      <c r="A49" s="1095" t="s">
        <v>963</v>
      </c>
      <c r="B49" s="233" t="s">
        <v>2096</v>
      </c>
      <c r="C49" s="1096">
        <f ca="1">C50+C54+C56</f>
        <v>0</v>
      </c>
      <c r="D49" s="1097"/>
      <c r="E49" s="44"/>
      <c r="F49" s="15"/>
      <c r="I49" s="1500" t="s">
        <v>2097</v>
      </c>
      <c r="J49" s="1501" t="s">
        <v>2989</v>
      </c>
      <c r="K49" s="1502" t="s">
        <v>2098</v>
      </c>
      <c r="L49" s="862">
        <f>'数据-取费表'!B13</f>
        <v>31</v>
      </c>
      <c r="O49" s="1048" t="s">
        <v>953</v>
      </c>
      <c r="P49" s="1045" t="s">
        <v>2099</v>
      </c>
      <c r="Q49" s="1049">
        <f>J53</f>
        <v>0.08</v>
      </c>
      <c r="R49" s="1047"/>
    </row>
    <row r="50" spans="1:18" s="651" customFormat="1" ht="15.75" thickBot="1">
      <c r="A50" s="260" t="s">
        <v>1956</v>
      </c>
      <c r="B50" s="1409" t="s">
        <v>2100</v>
      </c>
      <c r="C50" s="234">
        <f>ROUND(F50*F52*F51*(1-F53),0)</f>
        <v>0</v>
      </c>
      <c r="D50" s="42" t="s">
        <v>2643</v>
      </c>
      <c r="E50" s="1503" t="s">
        <v>2101</v>
      </c>
      <c r="F50" s="986"/>
      <c r="I50" s="1500" t="s">
        <v>2102</v>
      </c>
      <c r="J50" s="862">
        <f>'数据-取费表'!B27</f>
        <v>2013</v>
      </c>
      <c r="K50" s="1504" t="s">
        <v>2103</v>
      </c>
      <c r="L50" s="1024"/>
      <c r="O50" s="1048" t="s">
        <v>954</v>
      </c>
      <c r="P50" s="1045" t="s">
        <v>2104</v>
      </c>
      <c r="Q50" s="1046">
        <f>J54</f>
        <v>31</v>
      </c>
      <c r="R50" s="1047" t="s">
        <v>2105</v>
      </c>
    </row>
    <row r="51" spans="1:18" s="651" customFormat="1" ht="15.75" thickBot="1">
      <c r="A51" s="237"/>
      <c r="B51" s="238"/>
      <c r="C51" s="239"/>
      <c r="D51" s="240"/>
      <c r="E51" s="255" t="s">
        <v>1959</v>
      </c>
      <c r="F51" s="983">
        <f>F7</f>
        <v>362.84</v>
      </c>
      <c r="I51" s="1500" t="s">
        <v>2106</v>
      </c>
      <c r="J51" s="1025">
        <f>SUMPRODUCT((I64:I66=J48)*(J63:L63=J49)*(J64:L66))</f>
        <v>60</v>
      </c>
      <c r="K51" s="1504" t="s">
        <v>2107</v>
      </c>
      <c r="L51" s="1024"/>
      <c r="O51" s="1044" t="s">
        <v>955</v>
      </c>
      <c r="P51" s="1045" t="str">
        <f>IF(C2="元","收益价值(元)","收益价值(万元)")</f>
        <v>收益价值(万元)</v>
      </c>
      <c r="Q51" s="1046">
        <f ca="1">ROUND(IF(C2="元",Q45+Q46,(Q45+Q46)/10000),0)</f>
        <v>1321</v>
      </c>
      <c r="R51" s="1047" t="s">
        <v>956</v>
      </c>
    </row>
    <row r="52" spans="1:18" s="651" customFormat="1" ht="16.5" thickBot="1">
      <c r="A52" s="237"/>
      <c r="B52" s="238"/>
      <c r="C52" s="239"/>
      <c r="D52" s="240"/>
      <c r="E52" s="235" t="s">
        <v>1961</v>
      </c>
      <c r="F52" s="236">
        <f>F8</f>
        <v>365</v>
      </c>
      <c r="I52" s="1505" t="s">
        <v>2108</v>
      </c>
      <c r="J52" s="1026">
        <f>IF(J50="",J51,J50+J51-YEAR('数据-取费表'!B2))</f>
        <v>52</v>
      </c>
      <c r="K52" s="1506" t="s">
        <v>2109</v>
      </c>
      <c r="L52" s="1027">
        <f ca="1">ROUND(-PV('数据-取费表'!B15,J52,(C40-C13*J35)),0)</f>
        <v>243389954</v>
      </c>
      <c r="O52" s="1038" t="s">
        <v>2110</v>
      </c>
      <c r="P52" s="1039"/>
      <c r="Q52" s="1035"/>
      <c r="R52" s="1039"/>
    </row>
    <row r="53" spans="1:18" s="651" customFormat="1" ht="15.75" thickBot="1">
      <c r="A53" s="241"/>
      <c r="B53" s="242"/>
      <c r="C53" s="243"/>
      <c r="D53" s="244"/>
      <c r="E53" s="235" t="s">
        <v>1962</v>
      </c>
      <c r="F53" s="1033"/>
      <c r="I53" s="1507" t="s">
        <v>2111</v>
      </c>
      <c r="J53" s="1028">
        <v>0.08</v>
      </c>
      <c r="K53" s="1507" t="s">
        <v>2112</v>
      </c>
      <c r="L53" s="1028"/>
      <c r="O53" s="1040" t="s">
        <v>2077</v>
      </c>
      <c r="P53" s="1041" t="s">
        <v>2078</v>
      </c>
      <c r="Q53" s="1042" t="s">
        <v>2079</v>
      </c>
      <c r="R53" s="1043" t="s">
        <v>2080</v>
      </c>
    </row>
    <row r="54" spans="1:18" s="651" customFormat="1" ht="29.25" customHeight="1" thickBot="1">
      <c r="A54" s="1054" t="s">
        <v>1963</v>
      </c>
      <c r="B54" s="1488" t="s">
        <v>1964</v>
      </c>
      <c r="C54" s="1055">
        <f ca="1">ROUND(IF(F54="押一",C50/12*F11,IF(F54="押二",C50/12*2*F11,IF(F54="押三",C50/12*3*F11,C55*F11))),0)</f>
        <v>0</v>
      </c>
      <c r="D54" s="1489" t="s">
        <v>2649</v>
      </c>
      <c r="E54" s="246" t="s">
        <v>1965</v>
      </c>
      <c r="F54" s="1490"/>
      <c r="I54" s="1596" t="s">
        <v>2652</v>
      </c>
      <c r="J54" s="1029">
        <f>IF(M48="住宅",IF(E1="——",MAX(J52,L49),MAX(J52,L49-'数据-取费表'!B26)),IF(E1="——",MIN(J52,L49),MIN(J52,L49-'数据-取费表'!B26)))</f>
        <v>31</v>
      </c>
      <c r="K54" s="3668" t="s">
        <v>2641</v>
      </c>
      <c r="L54" s="3669"/>
      <c r="O54" s="1044" t="s">
        <v>949</v>
      </c>
      <c r="P54" s="1045" t="s">
        <v>2081</v>
      </c>
      <c r="Q54" s="1046">
        <f ca="1">C40+J29</f>
        <v>13214735</v>
      </c>
      <c r="R54" s="1047" t="s">
        <v>2082</v>
      </c>
    </row>
    <row r="55" spans="1:18" s="651" customFormat="1" ht="20.25"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1" customFormat="1" ht="20.25" thickBot="1">
      <c r="A56" s="1064" t="s">
        <v>1970</v>
      </c>
      <c r="B56" s="1492" t="s">
        <v>1971</v>
      </c>
      <c r="C56" s="1065"/>
      <c r="D56" s="1081"/>
      <c r="E56" s="1511"/>
      <c r="F56" s="1120"/>
      <c r="I56" s="1512" t="s">
        <v>2115</v>
      </c>
      <c r="J56" s="1287" t="e">
        <f>ROUND(IF(J48="钢混",J58/J51,1-(1-2%)*(J51-J58)/J51),3)</f>
        <v>#VALUE!</v>
      </c>
      <c r="K56" s="1513" t="s">
        <v>2116</v>
      </c>
      <c r="L56" s="1030"/>
      <c r="O56" s="1048" t="s">
        <v>951</v>
      </c>
      <c r="P56" s="1045" t="s">
        <v>2117</v>
      </c>
      <c r="Q56" s="1046">
        <f>IF(L56="比较法",L50,IF(L56="基准地价",L51,0))</f>
        <v>0</v>
      </c>
      <c r="R56" s="1047" t="s">
        <v>2082</v>
      </c>
    </row>
    <row r="57" spans="1:18" s="651" customFormat="1" ht="44.25" thickTop="1" thickBot="1">
      <c r="A57" s="1060">
        <v>2</v>
      </c>
      <c r="B57" s="1061" t="s">
        <v>1972</v>
      </c>
      <c r="C57" s="1119">
        <f ca="1">C13</f>
        <v>1673886</v>
      </c>
      <c r="D57" s="981"/>
      <c r="E57" s="982"/>
      <c r="F57" s="989"/>
      <c r="I57" s="1514" t="s">
        <v>2118</v>
      </c>
      <c r="J57" s="3741" t="s">
        <v>2981</v>
      </c>
      <c r="K57" s="1500" t="s">
        <v>2119</v>
      </c>
      <c r="L57" s="862" t="str">
        <f>IF(L49&lt;J52,"——",L49-J52)</f>
        <v>——</v>
      </c>
      <c r="O57" s="1048" t="s">
        <v>952</v>
      </c>
      <c r="P57" s="1045" t="s">
        <v>2120</v>
      </c>
      <c r="Q57" s="1049">
        <f>L53</f>
        <v>0</v>
      </c>
      <c r="R57" s="1047"/>
    </row>
    <row r="58" spans="1:18" s="651" customFormat="1" ht="29.25" thickBot="1">
      <c r="A58" s="988"/>
      <c r="B58" s="235" t="s">
        <v>2050</v>
      </c>
      <c r="C58" s="104">
        <f ca="1">C29</f>
        <v>1924007</v>
      </c>
      <c r="D58" s="981"/>
      <c r="E58" s="982"/>
      <c r="F58" s="989"/>
      <c r="I58" s="1515" t="s">
        <v>2121</v>
      </c>
      <c r="J58" s="1032" t="str">
        <f>IF(OR(M48="住宅",J52&lt;L49,J57="是"),"——",J52-L49)</f>
        <v>——</v>
      </c>
      <c r="K58" s="1500" t="s">
        <v>2122</v>
      </c>
      <c r="L58" s="862" t="str">
        <f>IF(L49&lt;J52,"——",IF(L56="比较法",L50,IF(L56="基准地价",L51,L52)))</f>
        <v>——</v>
      </c>
      <c r="O58" s="1048" t="s">
        <v>953</v>
      </c>
      <c r="P58" s="1045" t="s">
        <v>2123</v>
      </c>
      <c r="Q58" s="1046" t="e">
        <f>L59</f>
        <v>#DIV/0!</v>
      </c>
      <c r="R58" s="1047" t="s">
        <v>2124</v>
      </c>
    </row>
    <row r="59" spans="1:18" s="651" customFormat="1" ht="29.25" thickBot="1">
      <c r="A59" s="248" t="s">
        <v>14</v>
      </c>
      <c r="B59" s="249" t="s">
        <v>2053</v>
      </c>
      <c r="C59" s="250">
        <f ca="1">ROUND(C60+C65+C66+C67,0)</f>
        <v>31371</v>
      </c>
      <c r="D59" s="12" t="s">
        <v>2054</v>
      </c>
      <c r="E59" s="1300"/>
      <c r="F59" s="15"/>
      <c r="I59" s="1515" t="s">
        <v>2125</v>
      </c>
      <c r="J59" s="1286" t="e">
        <f>IF(J56&lt;0.4,0.4,J56)</f>
        <v>#VALUE!</v>
      </c>
      <c r="K59" s="1506" t="s">
        <v>2126</v>
      </c>
      <c r="L59" s="862" t="e">
        <f>ROUND(POWER(1+L53,L48-L49)*(POWER(1+L53,L49)-1)/(POWER(1+L53,L48)-1),4)</f>
        <v>#DIV/0!</v>
      </c>
      <c r="O59" s="1048" t="s">
        <v>954</v>
      </c>
      <c r="P59" s="1045" t="str">
        <f>K60</f>
        <v>建筑物剩余耐用年限下的土地年期修正系数Kn</v>
      </c>
      <c r="Q59" s="1046" t="e">
        <f>L60</f>
        <v>#DIV/0!</v>
      </c>
      <c r="R59" s="1047" t="s">
        <v>2127</v>
      </c>
    </row>
    <row r="60" spans="1:18" s="651" customFormat="1" ht="29.25" thickBot="1">
      <c r="A60" s="253" t="s">
        <v>15</v>
      </c>
      <c r="B60" s="235" t="s">
        <v>1994</v>
      </c>
      <c r="C60" s="2792">
        <f>ROUND(IF(AND(项目基本情况!B7="自然人",项目基本情况!B6="北京市"),C50*F60/(1+'数据-取费表'!F30),C61+C62+C63),0)</f>
        <v>0</v>
      </c>
      <c r="D60" s="1295" t="s">
        <v>2055</v>
      </c>
      <c r="E60" s="1298" t="s">
        <v>2056</v>
      </c>
      <c r="F60" s="2791">
        <f>IF(项目基本情况!B7="企业","——",IF('数据-取费表'!B10="住宅",IF(F50*F51*F52/12/(1+'数据-取费表'!F30)&gt;100000,4%,2.5%),IF(F50*F51*F52/12/(1+'数据-取费表'!F30)&gt;100000,12%,7%)))</f>
        <v>7.0000000000000007E-2</v>
      </c>
      <c r="I60" s="1515" t="s">
        <v>2128</v>
      </c>
      <c r="J60" s="1032"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1321</v>
      </c>
      <c r="R60" s="1047" t="s">
        <v>956</v>
      </c>
    </row>
    <row r="61" spans="1:18" s="651" customFormat="1" ht="16.5"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1" t="str">
        <f>IF(OR(M48="住宅",J52&lt;L49,J57="是"),"0",ROUND(J60/(1+J53)^J54,0))</f>
        <v>0</v>
      </c>
      <c r="K61" s="1517" t="s">
        <v>2130</v>
      </c>
      <c r="L61" s="1031">
        <f>IF(OR(M48="住宅",L49&lt;J52),0,ROUND(L58*(L59/L60-1),0))</f>
        <v>0</v>
      </c>
      <c r="O61" s="1038" t="s">
        <v>2131</v>
      </c>
      <c r="P61" s="1039"/>
      <c r="Q61" s="1035"/>
      <c r="R61" s="1039"/>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1" customFormat="1" ht="15.7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13214735</v>
      </c>
      <c r="R63" s="1047" t="s">
        <v>2082</v>
      </c>
    </row>
    <row r="64" spans="1:18" s="651" customFormat="1" ht="20.25"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1" customFormat="1" ht="23.25" thickBot="1">
      <c r="A65" s="253" t="s">
        <v>19</v>
      </c>
      <c r="B65" s="235" t="s">
        <v>2062</v>
      </c>
      <c r="C65" s="13">
        <f ca="1">ROUND(C58*F65,0)</f>
        <v>28860</v>
      </c>
      <c r="D65" s="1298" t="s">
        <v>2063</v>
      </c>
      <c r="E65" s="235" t="s">
        <v>2007</v>
      </c>
      <c r="F65" s="265">
        <f t="shared" si="0"/>
        <v>1.4999999999999999E-2</v>
      </c>
      <c r="I65" s="1518" t="s">
        <v>2143</v>
      </c>
      <c r="J65" s="1290">
        <v>50</v>
      </c>
      <c r="K65" s="1290">
        <v>35</v>
      </c>
      <c r="L65" s="1290">
        <v>60</v>
      </c>
      <c r="M65" s="1289">
        <v>0</v>
      </c>
      <c r="O65" s="1048" t="s">
        <v>951</v>
      </c>
      <c r="P65" s="1045" t="s">
        <v>2117</v>
      </c>
      <c r="Q65" s="1050">
        <f ca="1">L52</f>
        <v>243389954</v>
      </c>
      <c r="R65" s="1051" t="s">
        <v>2144</v>
      </c>
    </row>
    <row r="66" spans="1:18" s="651" customFormat="1" ht="20.25" thickBot="1">
      <c r="A66" s="253" t="s">
        <v>20</v>
      </c>
      <c r="B66" s="235" t="s">
        <v>2022</v>
      </c>
      <c r="C66" s="13">
        <f ca="1">ROUND(C57*F66,0)</f>
        <v>2511</v>
      </c>
      <c r="D66" s="1298" t="s">
        <v>2023</v>
      </c>
      <c r="E66" s="235" t="s">
        <v>2024</v>
      </c>
      <c r="F66" s="266">
        <f t="shared" si="0"/>
        <v>1.5E-3</v>
      </c>
      <c r="I66" s="1518" t="s">
        <v>2145</v>
      </c>
      <c r="J66" s="1290">
        <v>40</v>
      </c>
      <c r="K66" s="1290">
        <v>30</v>
      </c>
      <c r="L66" s="1290">
        <v>50</v>
      </c>
      <c r="M66" s="1288">
        <v>0.02</v>
      </c>
      <c r="O66" s="1048" t="s">
        <v>952</v>
      </c>
      <c r="P66" s="1052" t="s">
        <v>2146</v>
      </c>
      <c r="Q66" s="1046">
        <f ca="1">ROUND(Q67-Q68*Q69,0)</f>
        <v>629843</v>
      </c>
      <c r="R66" s="1047"/>
    </row>
    <row r="67" spans="1:18" s="651" customFormat="1" ht="15.75" thickBot="1">
      <c r="A67" s="253" t="s">
        <v>21</v>
      </c>
      <c r="B67" s="235" t="s">
        <v>2005</v>
      </c>
      <c r="C67" s="13">
        <f ca="1">ROUND(C49*F67,0)</f>
        <v>0</v>
      </c>
      <c r="D67" s="1298" t="s">
        <v>2028</v>
      </c>
      <c r="E67" s="235" t="s">
        <v>2024</v>
      </c>
      <c r="F67" s="245">
        <f t="shared" si="0"/>
        <v>0.01</v>
      </c>
      <c r="O67" s="1048" t="s">
        <v>957</v>
      </c>
      <c r="P67" s="1052" t="s">
        <v>2147</v>
      </c>
      <c r="Q67" s="1046">
        <f ca="1">C39</f>
        <v>629843</v>
      </c>
      <c r="R67" s="1047" t="s">
        <v>2082</v>
      </c>
    </row>
    <row r="68" spans="1:18" ht="15.75" thickBot="1">
      <c r="A68" s="248" t="s">
        <v>22</v>
      </c>
      <c r="B68" s="41" t="s">
        <v>2032</v>
      </c>
      <c r="C68" s="250">
        <f ca="1">C49-C59</f>
        <v>-31371</v>
      </c>
      <c r="D68" s="1295" t="s">
        <v>2033</v>
      </c>
      <c r="E68" s="1297"/>
      <c r="F68" s="268"/>
      <c r="H68" s="651"/>
      <c r="I68" s="651"/>
      <c r="J68" s="651"/>
      <c r="K68" s="651"/>
      <c r="L68" s="651"/>
      <c r="M68" s="651"/>
      <c r="O68" s="1048" t="s">
        <v>958</v>
      </c>
      <c r="P68" s="1052" t="s">
        <v>2148</v>
      </c>
      <c r="Q68" s="1046">
        <f ca="1">C13</f>
        <v>1673886</v>
      </c>
      <c r="R68" s="1047" t="s">
        <v>2082</v>
      </c>
    </row>
    <row r="69" spans="1:18" ht="15.75" thickBot="1">
      <c r="A69" s="232" t="s">
        <v>23</v>
      </c>
      <c r="B69" s="233" t="s">
        <v>2070</v>
      </c>
      <c r="C69" s="234">
        <f ca="1">ROUND(C68*(1-((1+F71)/(1+F69))^F70)/(F69-F71),0)</f>
        <v>-461904</v>
      </c>
      <c r="D69" s="261" t="s">
        <v>2038</v>
      </c>
      <c r="E69" s="235" t="s">
        <v>2039</v>
      </c>
      <c r="F69" s="245">
        <f>F40</f>
        <v>5.5E-2</v>
      </c>
      <c r="H69" s="651"/>
      <c r="I69" s="651"/>
      <c r="J69" s="651"/>
      <c r="K69" s="651"/>
      <c r="L69" s="651"/>
      <c r="M69" s="651"/>
      <c r="O69" s="1048" t="s">
        <v>959</v>
      </c>
      <c r="P69" s="1052" t="s">
        <v>2149</v>
      </c>
      <c r="Q69" s="1049">
        <f>J35</f>
        <v>0</v>
      </c>
      <c r="R69" s="1047"/>
    </row>
    <row r="70" spans="1:18" ht="15.75" thickBot="1">
      <c r="A70" s="237"/>
      <c r="B70" s="238"/>
      <c r="C70" s="239"/>
      <c r="D70" s="269" t="s">
        <v>2072</v>
      </c>
      <c r="E70" s="235" t="s">
        <v>2044</v>
      </c>
      <c r="F70" s="270">
        <f>F41</f>
        <v>31</v>
      </c>
      <c r="H70" s="651"/>
      <c r="I70" s="651"/>
      <c r="J70" s="651"/>
      <c r="K70" s="651"/>
      <c r="L70" s="651"/>
      <c r="M70" s="651"/>
      <c r="O70" s="1048" t="s">
        <v>953</v>
      </c>
      <c r="P70" s="1045" t="s">
        <v>2120</v>
      </c>
      <c r="Q70" s="1049">
        <f>L53</f>
        <v>0</v>
      </c>
      <c r="R70" s="1047"/>
    </row>
    <row r="71" spans="1:18" ht="20.25" thickBot="1">
      <c r="A71" s="241"/>
      <c r="B71" s="242"/>
      <c r="C71" s="243"/>
      <c r="D71" s="264"/>
      <c r="E71" s="235" t="s">
        <v>2048</v>
      </c>
      <c r="F71" s="1033"/>
      <c r="H71" s="651"/>
      <c r="M71" s="651"/>
      <c r="O71" s="1048" t="s">
        <v>954</v>
      </c>
      <c r="P71" s="1045" t="s">
        <v>2123</v>
      </c>
      <c r="Q71" s="1046" t="e">
        <f>L59</f>
        <v>#DIV/0!</v>
      </c>
      <c r="R71" s="1047" t="s">
        <v>2124</v>
      </c>
    </row>
    <row r="72" spans="1:18" ht="15.75" thickBot="1">
      <c r="A72" s="271" t="s">
        <v>24</v>
      </c>
      <c r="B72" s="272" t="s">
        <v>2073</v>
      </c>
      <c r="C72" s="273">
        <f ca="1">ROUND(C69/F72,0)</f>
        <v>-1273</v>
      </c>
      <c r="D72" s="274" t="s">
        <v>2074</v>
      </c>
      <c r="E72" s="275" t="s">
        <v>2075</v>
      </c>
      <c r="F72" s="276">
        <f>F43</f>
        <v>362.84</v>
      </c>
      <c r="O72" s="1048" t="s">
        <v>960</v>
      </c>
      <c r="P72" s="1045" t="str">
        <f>K60</f>
        <v>建筑物剩余耐用年限下的土地年期修正系数Kn</v>
      </c>
      <c r="Q72" s="1046" t="e">
        <f>L60</f>
        <v>#DIV/0!</v>
      </c>
      <c r="R72" s="1047" t="s">
        <v>2127</v>
      </c>
    </row>
    <row r="73" spans="1:18" ht="15.75" thickBot="1">
      <c r="A73" s="651"/>
      <c r="B73" s="655"/>
      <c r="C73" s="655"/>
      <c r="D73" s="651"/>
      <c r="E73" s="651"/>
      <c r="F73" s="651"/>
      <c r="O73" s="1044" t="s">
        <v>955</v>
      </c>
      <c r="P73" s="1045" t="str">
        <f>IF(C2="元","收益价值(元)","收益价值(万元)")</f>
        <v>收益价值(万元)</v>
      </c>
      <c r="Q73" s="1046">
        <f ca="1">ROUND(IF(C2="元",Q63+Q64,(Q63+Q64)/10000),0)</f>
        <v>1321</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xr:uid="{00000000-0002-0000-1600-000000000000}">
      <formula1>"按租金收入计税,按房产原值计税"</formula1>
    </dataValidation>
    <dataValidation type="list" allowBlank="1" showInputMessage="1" showErrorMessage="1" sqref="D33 D62" xr:uid="{00000000-0002-0000-1600-000001000000}">
      <formula1>"按租金收入计税,按房产原值计税,按票据"</formula1>
    </dataValidation>
    <dataValidation type="list" allowBlank="1" showInputMessage="1" showErrorMessage="1" sqref="D1" xr:uid="{00000000-0002-0000-1600-000002000000}">
      <formula1>"估价对象,仅计算典型户型"</formula1>
    </dataValidation>
    <dataValidation type="list" allowBlank="1" showInputMessage="1" showErrorMessage="1" sqref="J57" xr:uid="{00000000-0002-0000-1600-000003000000}">
      <formula1>判定</formula1>
    </dataValidation>
    <dataValidation type="list" allowBlank="1" showInputMessage="1" showErrorMessage="1" sqref="J49" xr:uid="{00000000-0002-0000-1600-000004000000}">
      <formula1>"非生产用房,生产用房,受腐蚀的生产用房"</formula1>
    </dataValidation>
    <dataValidation type="list" allowBlank="1" showInputMessage="1" showErrorMessage="1" sqref="J48" xr:uid="{00000000-0002-0000-1600-000005000000}">
      <formula1>"钢,钢混,砖混"</formula1>
    </dataValidation>
    <dataValidation type="list" allowBlank="1" showInputMessage="1" showErrorMessage="1" sqref="L56" xr:uid="{00000000-0002-0000-1600-000006000000}">
      <formula1>"比较法,基准地价,收益还原"</formula1>
    </dataValidation>
    <dataValidation type="list" allowBlank="1" showInputMessage="1" showErrorMessage="1" sqref="F10 M10 F54" xr:uid="{00000000-0002-0000-1600-000007000000}">
      <formula1>"押一,押二,押三,自定义"</formula1>
    </dataValidation>
    <dataValidation type="list" allowBlank="1" showInputMessage="1" showErrorMessage="1" sqref="E41" xr:uid="{00000000-0002-0000-1600-000008000000}">
      <formula1>"收益年期(n),设定收益年期(n)"</formula1>
    </dataValidation>
    <dataValidation type="list" allowBlank="1" showInputMessage="1" showErrorMessage="1" sqref="E1" xr:uid="{00000000-0002-0000-16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2689</v>
      </c>
      <c r="D1" s="1605"/>
      <c r="E1" s="1608" t="s">
        <v>2687</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1023</v>
      </c>
      <c r="C2" s="1618" t="str">
        <f>'数据-取费表'!B3</f>
        <v>万元</v>
      </c>
      <c r="D2" s="1619" t="s">
        <v>1183</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28189</v>
      </c>
      <c r="C3" s="1627" t="s">
        <v>2185</v>
      </c>
      <c r="D3" s="1627">
        <f>IF(C1="仅计算典型户型",'数据-取费表'!E5,'数据-取费表'!B5)</f>
        <v>362.84</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2186</v>
      </c>
      <c r="B4" s="1631"/>
      <c r="C4" s="3621" t="s">
        <v>2187</v>
      </c>
      <c r="D4" s="3622"/>
      <c r="E4" s="3623" t="s">
        <v>2188</v>
      </c>
      <c r="F4" s="3624"/>
      <c r="G4" s="3621" t="s">
        <v>2189</v>
      </c>
      <c r="H4" s="3622"/>
      <c r="I4" s="3621" t="s">
        <v>2190</v>
      </c>
      <c r="J4" s="3622"/>
      <c r="K4" s="1933" t="s">
        <v>2191</v>
      </c>
      <c r="L4" s="2962"/>
      <c r="M4" s="2963"/>
      <c r="N4" s="2963"/>
      <c r="O4" s="2963"/>
      <c r="P4" s="3625" t="s">
        <v>2192</v>
      </c>
      <c r="Q4" s="3626"/>
      <c r="R4" s="3631" t="s">
        <v>2188</v>
      </c>
      <c r="S4" s="3632"/>
      <c r="T4" s="3631" t="s">
        <v>2189</v>
      </c>
      <c r="U4" s="3632"/>
      <c r="V4" s="3637" t="s">
        <v>2190</v>
      </c>
      <c r="W4" s="3637"/>
      <c r="X4" s="2042"/>
      <c r="Y4" s="3631" t="s">
        <v>2192</v>
      </c>
      <c r="Z4" s="3632"/>
      <c r="AA4" s="3618" t="s">
        <v>2188</v>
      </c>
      <c r="AB4" s="3618" t="s">
        <v>2189</v>
      </c>
      <c r="AC4" s="3618" t="s">
        <v>2190</v>
      </c>
    </row>
    <row r="5" spans="1:29" ht="15">
      <c r="A5" s="1635"/>
      <c r="B5" s="1636"/>
      <c r="C5" s="3640" t="s">
        <v>2193</v>
      </c>
      <c r="D5" s="3641"/>
      <c r="E5" s="3667" t="s">
        <v>2998</v>
      </c>
      <c r="F5" s="3639"/>
      <c r="G5" s="3666" t="s">
        <v>2999</v>
      </c>
      <c r="H5" s="3641"/>
      <c r="I5" s="3666" t="s">
        <v>3000</v>
      </c>
      <c r="J5" s="3641"/>
      <c r="K5" s="1933"/>
      <c r="L5" s="2962"/>
      <c r="M5" s="2963"/>
      <c r="N5" s="2963"/>
      <c r="O5" s="2963"/>
      <c r="P5" s="3627"/>
      <c r="Q5" s="3628"/>
      <c r="R5" s="3633"/>
      <c r="S5" s="3634"/>
      <c r="T5" s="3633"/>
      <c r="U5" s="3634"/>
      <c r="V5" s="3637"/>
      <c r="W5" s="3637"/>
      <c r="X5" s="2042"/>
      <c r="Y5" s="3633"/>
      <c r="Z5" s="3634"/>
      <c r="AA5" s="3619"/>
      <c r="AB5" s="3619"/>
      <c r="AC5" s="3619"/>
    </row>
    <row r="6" spans="1:29" ht="15.75" thickBot="1">
      <c r="A6" s="1638"/>
      <c r="B6" s="1639"/>
      <c r="C6" s="3642" t="s">
        <v>2197</v>
      </c>
      <c r="D6" s="3643"/>
      <c r="E6" s="3644" t="s">
        <v>2197</v>
      </c>
      <c r="F6" s="3645"/>
      <c r="G6" s="3642" t="s">
        <v>2197</v>
      </c>
      <c r="H6" s="3643"/>
      <c r="I6" s="3642" t="s">
        <v>2197</v>
      </c>
      <c r="J6" s="3643"/>
      <c r="K6" s="1933" t="s">
        <v>2198</v>
      </c>
      <c r="L6" s="2962"/>
      <c r="M6" s="2963"/>
      <c r="N6" s="2963"/>
      <c r="O6" s="2963"/>
      <c r="P6" s="3629"/>
      <c r="Q6" s="3630"/>
      <c r="R6" s="3633"/>
      <c r="S6" s="3634"/>
      <c r="T6" s="3635"/>
      <c r="U6" s="3636"/>
      <c r="V6" s="3637"/>
      <c r="W6" s="3637"/>
      <c r="X6" s="2042"/>
      <c r="Y6" s="3635"/>
      <c r="Z6" s="3636"/>
      <c r="AA6" s="3620"/>
      <c r="AB6" s="3620"/>
      <c r="AC6" s="3620"/>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2"/>
      <c r="M7" s="2935"/>
      <c r="N7" s="2935"/>
      <c r="O7" s="2935"/>
      <c r="P7" s="3653" t="s">
        <v>2200</v>
      </c>
      <c r="Q7" s="3655"/>
      <c r="R7" s="1648" t="s">
        <v>25</v>
      </c>
      <c r="S7" s="1649">
        <f t="shared" ref="S7:S15" si="0">F7</f>
        <v>100</v>
      </c>
      <c r="T7" s="1648" t="s">
        <v>25</v>
      </c>
      <c r="U7" s="1649">
        <f t="shared" ref="U7:U15" si="1">H7</f>
        <v>100</v>
      </c>
      <c r="V7" s="1648" t="s">
        <v>25</v>
      </c>
      <c r="W7" s="1649">
        <f t="shared" ref="W7:W15" si="2">J7</f>
        <v>100</v>
      </c>
      <c r="X7" s="1650"/>
      <c r="Y7" s="3653" t="s">
        <v>2200</v>
      </c>
      <c r="Z7" s="3654"/>
      <c r="AA7" s="1651">
        <f>D7/F7</f>
        <v>1</v>
      </c>
      <c r="AB7" s="1651">
        <f>D7/H7</f>
        <v>1</v>
      </c>
      <c r="AC7" s="1651">
        <f>D7/J7</f>
        <v>1</v>
      </c>
    </row>
    <row r="8" spans="1:29" s="1652" customFormat="1" ht="15.75" thickBot="1">
      <c r="A8" s="1640" t="s">
        <v>2201</v>
      </c>
      <c r="B8" s="1641"/>
      <c r="C8" s="1653" t="s">
        <v>2202</v>
      </c>
      <c r="D8" s="1643">
        <v>100</v>
      </c>
      <c r="E8" s="1653" t="s">
        <v>2825</v>
      </c>
      <c r="F8" s="1645">
        <f>SUMIF(62:62,E8,63:63)-SUMIF(62:62,C8,63:63)+100</f>
        <v>100</v>
      </c>
      <c r="G8" s="1653" t="s">
        <v>2825</v>
      </c>
      <c r="H8" s="1643">
        <f>SUMIF(62:62,G8,63:63)-SUMIF(62:62,C8,63:63)+100</f>
        <v>100</v>
      </c>
      <c r="I8" s="1653" t="s">
        <v>2825</v>
      </c>
      <c r="J8" s="1643">
        <f>SUMIF(62:62,I8,63:63)-SUMIF(62:62,C8,63:63)+100</f>
        <v>100</v>
      </c>
      <c r="K8" s="1935"/>
      <c r="L8" s="2962"/>
      <c r="M8" s="2935"/>
      <c r="N8" s="2935"/>
      <c r="O8" s="2935"/>
      <c r="P8" s="3653" t="s">
        <v>2203</v>
      </c>
      <c r="Q8" s="3654"/>
      <c r="R8" s="1648" t="s">
        <v>25</v>
      </c>
      <c r="S8" s="1649">
        <f t="shared" si="0"/>
        <v>100</v>
      </c>
      <c r="T8" s="1648" t="s">
        <v>25</v>
      </c>
      <c r="U8" s="1649">
        <f t="shared" si="1"/>
        <v>100</v>
      </c>
      <c r="V8" s="1648" t="s">
        <v>25</v>
      </c>
      <c r="W8" s="1649">
        <f t="shared" si="2"/>
        <v>100</v>
      </c>
      <c r="X8" s="1650"/>
      <c r="Y8" s="3653" t="s">
        <v>2203</v>
      </c>
      <c r="Z8" s="3654"/>
      <c r="AA8" s="1651">
        <f t="shared" ref="AA8:AA47" si="3">D8/F8</f>
        <v>1</v>
      </c>
      <c r="AB8" s="1651">
        <f t="shared" ref="AB8:AB47" si="4">D8/H8</f>
        <v>1</v>
      </c>
      <c r="AC8" s="1651">
        <f t="shared" ref="AC8:AC47" si="5">D8/J8</f>
        <v>1</v>
      </c>
    </row>
    <row r="9" spans="1:29" s="1652" customFormat="1">
      <c r="A9" s="2034" t="s">
        <v>2204</v>
      </c>
      <c r="B9" s="1655" t="s">
        <v>2205</v>
      </c>
      <c r="C9" s="3320" t="s">
        <v>3001</v>
      </c>
      <c r="D9" s="1657">
        <v>100</v>
      </c>
      <c r="E9" s="3321" t="s">
        <v>3001</v>
      </c>
      <c r="F9" s="1657">
        <f>SUMIF(64:64,E9,65:65)-SUMIF(64:64,C9,65:65)+100</f>
        <v>100</v>
      </c>
      <c r="G9" s="3322" t="s">
        <v>3001</v>
      </c>
      <c r="H9" s="1657">
        <f>SUMIF(64:64,G9,65:65)-SUMIF(64:64,C9,65:65)+100</f>
        <v>100</v>
      </c>
      <c r="I9" s="3322" t="s">
        <v>3001</v>
      </c>
      <c r="J9" s="1657">
        <f>SUMIF(64:64,I9,65:65)-SUMIF(64:64,C9,65:65)+100</f>
        <v>100</v>
      </c>
      <c r="K9" s="1935"/>
      <c r="L9" s="2962"/>
      <c r="M9" s="2935"/>
      <c r="N9" s="2935"/>
      <c r="O9" s="2935"/>
      <c r="P9" s="3657" t="s">
        <v>2206</v>
      </c>
      <c r="Q9" s="2880" t="str">
        <f t="shared" ref="Q9:Q15" si="6">B9</f>
        <v>用途</v>
      </c>
      <c r="R9" s="1648" t="s">
        <v>25</v>
      </c>
      <c r="S9" s="1649">
        <f t="shared" si="0"/>
        <v>100</v>
      </c>
      <c r="T9" s="1648" t="s">
        <v>25</v>
      </c>
      <c r="U9" s="1649">
        <f t="shared" si="1"/>
        <v>100</v>
      </c>
      <c r="V9" s="1648" t="s">
        <v>25</v>
      </c>
      <c r="W9" s="1649">
        <f t="shared" si="2"/>
        <v>100</v>
      </c>
      <c r="X9" s="1650"/>
      <c r="Y9" s="3433" t="s">
        <v>2207</v>
      </c>
      <c r="Z9" s="1661" t="str">
        <f t="shared" ref="Z9:Z15" si="7">Q9</f>
        <v>用途</v>
      </c>
      <c r="AA9" s="1651">
        <f t="shared" si="3"/>
        <v>1</v>
      </c>
      <c r="AB9" s="1651">
        <f t="shared" si="4"/>
        <v>1</v>
      </c>
      <c r="AC9" s="1651">
        <f t="shared" si="5"/>
        <v>1</v>
      </c>
    </row>
    <row r="10" spans="1:29" s="1669" customFormat="1" ht="27">
      <c r="A10" s="1662"/>
      <c r="B10" s="1663" t="s">
        <v>2208</v>
      </c>
      <c r="C10" s="1664" t="s">
        <v>3002</v>
      </c>
      <c r="D10" s="1665">
        <v>100</v>
      </c>
      <c r="E10" s="1664" t="s">
        <v>3002</v>
      </c>
      <c r="F10" s="1665">
        <f>SUMIF(66:66,E10,67:67)-SUMIF(66:66,C10,67:67)+100</f>
        <v>100</v>
      </c>
      <c r="G10" s="1664" t="s">
        <v>3002</v>
      </c>
      <c r="H10" s="1665">
        <f>SUMIF(66:66,G10,67:67)-SUMIF(66:66,C10,67:67)+100</f>
        <v>100</v>
      </c>
      <c r="I10" s="1664" t="s">
        <v>3002</v>
      </c>
      <c r="J10" s="1665">
        <f>SUMIF(66:66,I10,67:67)-SUMIF(66:66,C10,67:67)+100</f>
        <v>100</v>
      </c>
      <c r="K10" s="1960">
        <v>1</v>
      </c>
      <c r="L10" s="2964"/>
      <c r="M10" s="2965"/>
      <c r="N10" s="2965"/>
      <c r="O10" s="2965"/>
      <c r="P10" s="3657"/>
      <c r="Q10" s="2880" t="str">
        <f t="shared" si="6"/>
        <v>土地使用年限（年）</v>
      </c>
      <c r="R10" s="1648" t="s">
        <v>25</v>
      </c>
      <c r="S10" s="1649">
        <f t="shared" si="0"/>
        <v>100</v>
      </c>
      <c r="T10" s="1648" t="s">
        <v>25</v>
      </c>
      <c r="U10" s="1649">
        <f t="shared" si="1"/>
        <v>100</v>
      </c>
      <c r="V10" s="1648" t="s">
        <v>25</v>
      </c>
      <c r="W10" s="1649">
        <f t="shared" si="2"/>
        <v>100</v>
      </c>
      <c r="X10" s="1650"/>
      <c r="Y10" s="3433"/>
      <c r="Z10" s="1661" t="str">
        <f t="shared" si="7"/>
        <v>土地使用年限（年）</v>
      </c>
      <c r="AA10" s="1651">
        <f t="shared" si="3"/>
        <v>1</v>
      </c>
      <c r="AB10" s="1651">
        <f t="shared" si="4"/>
        <v>1</v>
      </c>
      <c r="AC10" s="1651">
        <f t="shared" si="5"/>
        <v>1</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6"/>
      <c r="M11" s="2963"/>
      <c r="N11" s="2963"/>
      <c r="O11" s="2963"/>
      <c r="P11" s="3657"/>
      <c r="Q11" s="2880" t="str">
        <f t="shared" si="6"/>
        <v>容积率</v>
      </c>
      <c r="R11" s="1648" t="s">
        <v>25</v>
      </c>
      <c r="S11" s="1649">
        <f t="shared" si="0"/>
        <v>100</v>
      </c>
      <c r="T11" s="1648" t="s">
        <v>25</v>
      </c>
      <c r="U11" s="1649">
        <f t="shared" si="1"/>
        <v>100</v>
      </c>
      <c r="V11" s="1648" t="s">
        <v>25</v>
      </c>
      <c r="W11" s="1649">
        <f t="shared" si="2"/>
        <v>100</v>
      </c>
      <c r="X11" s="1650"/>
      <c r="Y11" s="3433"/>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2"/>
      <c r="M12" s="2935"/>
      <c r="N12" s="2935"/>
      <c r="O12" s="2935"/>
      <c r="P12" s="3657"/>
      <c r="Q12" s="2880">
        <f t="shared" si="6"/>
        <v>111</v>
      </c>
      <c r="R12" s="1648" t="s">
        <v>25</v>
      </c>
      <c r="S12" s="1649">
        <f t="shared" si="0"/>
        <v>100</v>
      </c>
      <c r="T12" s="1648" t="s">
        <v>25</v>
      </c>
      <c r="U12" s="1649">
        <f t="shared" si="1"/>
        <v>100</v>
      </c>
      <c r="V12" s="1648" t="s">
        <v>25</v>
      </c>
      <c r="W12" s="1649">
        <f t="shared" si="2"/>
        <v>100</v>
      </c>
      <c r="X12" s="1650"/>
      <c r="Y12" s="3433"/>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7"/>
      <c r="M13" s="2963"/>
      <c r="N13" s="2963"/>
      <c r="O13" s="2963"/>
      <c r="P13" s="3657"/>
      <c r="Q13" s="2880">
        <f t="shared" si="6"/>
        <v>111</v>
      </c>
      <c r="R13" s="1648" t="s">
        <v>25</v>
      </c>
      <c r="S13" s="1649">
        <f t="shared" si="0"/>
        <v>100</v>
      </c>
      <c r="T13" s="1648" t="s">
        <v>25</v>
      </c>
      <c r="U13" s="1649">
        <f t="shared" si="1"/>
        <v>100</v>
      </c>
      <c r="V13" s="1648" t="s">
        <v>25</v>
      </c>
      <c r="W13" s="1649">
        <f t="shared" si="2"/>
        <v>100</v>
      </c>
      <c r="X13" s="1650"/>
      <c r="Y13" s="3433"/>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7"/>
      <c r="M14" s="2963"/>
      <c r="N14" s="2963"/>
      <c r="O14" s="2963"/>
      <c r="P14" s="3657"/>
      <c r="Q14" s="2880">
        <f t="shared" si="6"/>
        <v>111</v>
      </c>
      <c r="R14" s="1648" t="s">
        <v>25</v>
      </c>
      <c r="S14" s="1649">
        <f t="shared" si="0"/>
        <v>100</v>
      </c>
      <c r="T14" s="1648" t="s">
        <v>25</v>
      </c>
      <c r="U14" s="1649">
        <f t="shared" si="1"/>
        <v>100</v>
      </c>
      <c r="V14" s="1648" t="s">
        <v>25</v>
      </c>
      <c r="W14" s="1649">
        <f t="shared" si="2"/>
        <v>100</v>
      </c>
      <c r="X14" s="1650"/>
      <c r="Y14" s="3433"/>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c r="L15" s="2967"/>
      <c r="M15" s="2963"/>
      <c r="N15" s="2963"/>
      <c r="O15" s="2963"/>
      <c r="P15" s="3646" t="s">
        <v>2211</v>
      </c>
      <c r="Q15" s="2881" t="str">
        <f t="shared" si="6"/>
        <v>办公集聚程度</v>
      </c>
      <c r="R15" s="1693" t="s">
        <v>25</v>
      </c>
      <c r="S15" s="1694">
        <f t="shared" si="0"/>
        <v>100</v>
      </c>
      <c r="T15" s="1693" t="s">
        <v>25</v>
      </c>
      <c r="U15" s="1694">
        <f t="shared" si="1"/>
        <v>100</v>
      </c>
      <c r="V15" s="1693" t="s">
        <v>25</v>
      </c>
      <c r="W15" s="1694">
        <f t="shared" si="2"/>
        <v>100</v>
      </c>
      <c r="X15" s="2042"/>
      <c r="Y15" s="3646" t="s">
        <v>2211</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7"/>
      <c r="M16" s="2963"/>
      <c r="N16" s="2963"/>
      <c r="O16" s="2963"/>
      <c r="P16" s="3647"/>
      <c r="Q16" s="2881"/>
      <c r="R16" s="1693"/>
      <c r="S16" s="1694"/>
      <c r="T16" s="1693"/>
      <c r="U16" s="1694"/>
      <c r="V16" s="1693"/>
      <c r="W16" s="1694"/>
      <c r="X16" s="2042"/>
      <c r="Y16" s="3647"/>
      <c r="Z16" s="2046"/>
      <c r="AA16" s="2037">
        <v>1</v>
      </c>
      <c r="AB16" s="2037">
        <v>1</v>
      </c>
      <c r="AC16" s="2037">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40"/>
      <c r="L17" s="2967"/>
      <c r="M17" s="2963"/>
      <c r="N17" s="2963"/>
      <c r="O17" s="2963"/>
      <c r="P17" s="3647"/>
      <c r="Q17" s="2881" t="str">
        <f>B17</f>
        <v>交通便捷度</v>
      </c>
      <c r="R17" s="1693" t="s">
        <v>25</v>
      </c>
      <c r="S17" s="1694">
        <f>F17</f>
        <v>100</v>
      </c>
      <c r="T17" s="1693" t="s">
        <v>25</v>
      </c>
      <c r="U17" s="1694">
        <f>H17</f>
        <v>100</v>
      </c>
      <c r="V17" s="1693" t="s">
        <v>25</v>
      </c>
      <c r="W17" s="1694">
        <f>J17</f>
        <v>100</v>
      </c>
      <c r="X17" s="2042"/>
      <c r="Y17" s="3647"/>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7"/>
      <c r="M18" s="2963"/>
      <c r="N18" s="2963"/>
      <c r="O18" s="2963"/>
      <c r="P18" s="3647"/>
      <c r="Q18" s="2881"/>
      <c r="R18" s="1693"/>
      <c r="S18" s="1694"/>
      <c r="T18" s="1693"/>
      <c r="U18" s="1694"/>
      <c r="V18" s="1693"/>
      <c r="W18" s="1694"/>
      <c r="X18" s="2042"/>
      <c r="Y18" s="3647"/>
      <c r="Z18" s="2046"/>
      <c r="AA18" s="2037">
        <v>1</v>
      </c>
      <c r="AB18" s="2037">
        <v>1</v>
      </c>
      <c r="AC18" s="2037">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c r="L19" s="2967"/>
      <c r="M19" s="2963"/>
      <c r="N19" s="2963"/>
      <c r="O19" s="2963"/>
      <c r="P19" s="3647"/>
      <c r="Q19" s="2881" t="str">
        <f>B19</f>
        <v>公共配套设施</v>
      </c>
      <c r="R19" s="1693" t="s">
        <v>25</v>
      </c>
      <c r="S19" s="1694">
        <f>F19</f>
        <v>100</v>
      </c>
      <c r="T19" s="1693" t="s">
        <v>25</v>
      </c>
      <c r="U19" s="1694">
        <f>H19</f>
        <v>100</v>
      </c>
      <c r="V19" s="1693" t="s">
        <v>25</v>
      </c>
      <c r="W19" s="1694">
        <f>J19</f>
        <v>100</v>
      </c>
      <c r="X19" s="2042"/>
      <c r="Y19" s="3647"/>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7"/>
      <c r="M20" s="2963"/>
      <c r="N20" s="2963"/>
      <c r="O20" s="2963"/>
      <c r="P20" s="3647"/>
      <c r="Q20" s="2881"/>
      <c r="R20" s="1693"/>
      <c r="S20" s="1694"/>
      <c r="T20" s="1693"/>
      <c r="U20" s="1694"/>
      <c r="V20" s="1693"/>
      <c r="W20" s="1694"/>
      <c r="X20" s="2042"/>
      <c r="Y20" s="3647"/>
      <c r="Z20" s="2046"/>
      <c r="AA20" s="2037">
        <v>1</v>
      </c>
      <c r="AB20" s="2037">
        <v>1</v>
      </c>
      <c r="AC20" s="2037">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c r="L21" s="2967"/>
      <c r="M21" s="2963"/>
      <c r="N21" s="2963"/>
      <c r="O21" s="2963"/>
      <c r="P21" s="3647"/>
      <c r="Q21" s="2881" t="str">
        <f>B21</f>
        <v>基础设施水平</v>
      </c>
      <c r="R21" s="1693" t="s">
        <v>25</v>
      </c>
      <c r="S21" s="1694">
        <f>F21</f>
        <v>100</v>
      </c>
      <c r="T21" s="1693" t="s">
        <v>25</v>
      </c>
      <c r="U21" s="1694">
        <f>H21</f>
        <v>100</v>
      </c>
      <c r="V21" s="1693" t="s">
        <v>25</v>
      </c>
      <c r="W21" s="1694">
        <f>J21</f>
        <v>100</v>
      </c>
      <c r="X21" s="2042"/>
      <c r="Y21" s="3647"/>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7"/>
      <c r="M22" s="2963"/>
      <c r="N22" s="2963"/>
      <c r="O22" s="2963"/>
      <c r="P22" s="3647"/>
      <c r="Q22" s="2881"/>
      <c r="R22" s="1693"/>
      <c r="S22" s="1694"/>
      <c r="T22" s="1693"/>
      <c r="U22" s="1694"/>
      <c r="V22" s="1693"/>
      <c r="W22" s="1694"/>
      <c r="X22" s="2042"/>
      <c r="Y22" s="3647"/>
      <c r="Z22" s="2046"/>
      <c r="AA22" s="2037">
        <v>1</v>
      </c>
      <c r="AB22" s="2037">
        <v>1</v>
      </c>
      <c r="AC22" s="2037">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c r="L23" s="2967"/>
      <c r="M23" s="2963"/>
      <c r="N23" s="2963"/>
      <c r="O23" s="2963"/>
      <c r="P23" s="3647"/>
      <c r="Q23" s="2881" t="str">
        <f>B23</f>
        <v>环境质量</v>
      </c>
      <c r="R23" s="1693" t="s">
        <v>25</v>
      </c>
      <c r="S23" s="1694">
        <f>F23</f>
        <v>100</v>
      </c>
      <c r="T23" s="1693" t="s">
        <v>25</v>
      </c>
      <c r="U23" s="1694">
        <f>H23</f>
        <v>100</v>
      </c>
      <c r="V23" s="1693" t="s">
        <v>25</v>
      </c>
      <c r="W23" s="1694">
        <f>J23</f>
        <v>100</v>
      </c>
      <c r="X23" s="2042"/>
      <c r="Y23" s="3647"/>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7"/>
      <c r="M24" s="2963"/>
      <c r="N24" s="2963"/>
      <c r="O24" s="2963"/>
      <c r="P24" s="3647"/>
      <c r="Q24" s="2881"/>
      <c r="R24" s="1693"/>
      <c r="S24" s="1694"/>
      <c r="T24" s="1693"/>
      <c r="U24" s="1694"/>
      <c r="V24" s="1693"/>
      <c r="W24" s="1694"/>
      <c r="X24" s="2042"/>
      <c r="Y24" s="3647"/>
      <c r="Z24" s="2046"/>
      <c r="AA24" s="2037">
        <v>1</v>
      </c>
      <c r="AB24" s="2037">
        <v>1</v>
      </c>
      <c r="AC24" s="2037">
        <v>1</v>
      </c>
    </row>
    <row r="25" spans="1:29" ht="27">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7"/>
      <c r="M25" s="2963"/>
      <c r="N25" s="2963"/>
      <c r="O25" s="2963"/>
      <c r="P25" s="3647"/>
      <c r="Q25" s="2881" t="str">
        <f>B25</f>
        <v>毗邻道路的类型与等级</v>
      </c>
      <c r="R25" s="1693" t="s">
        <v>25</v>
      </c>
      <c r="S25" s="1694">
        <f>F25</f>
        <v>100</v>
      </c>
      <c r="T25" s="1693" t="s">
        <v>25</v>
      </c>
      <c r="U25" s="1694">
        <f>H25</f>
        <v>100</v>
      </c>
      <c r="V25" s="1693" t="s">
        <v>25</v>
      </c>
      <c r="W25" s="1694">
        <f>J25</f>
        <v>100</v>
      </c>
      <c r="X25" s="2042"/>
      <c r="Y25" s="3647"/>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7"/>
      <c r="M26" s="2963"/>
      <c r="N26" s="2963"/>
      <c r="O26" s="2963"/>
      <c r="P26" s="3647"/>
      <c r="Q26" s="2881"/>
      <c r="R26" s="1693"/>
      <c r="S26" s="1694"/>
      <c r="T26" s="1693"/>
      <c r="U26" s="1694"/>
      <c r="V26" s="1693"/>
      <c r="W26" s="1694"/>
      <c r="X26" s="2042"/>
      <c r="Y26" s="3647"/>
      <c r="Z26" s="2046"/>
      <c r="AA26" s="2037">
        <v>1</v>
      </c>
      <c r="AB26" s="2037">
        <v>1</v>
      </c>
      <c r="AC26" s="2037">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7"/>
      <c r="M27" s="2963"/>
      <c r="N27" s="2963"/>
      <c r="O27" s="2963"/>
      <c r="P27" s="3647"/>
      <c r="Q27" s="2881" t="str">
        <f t="shared" ref="Q27:Q47" si="11">B27</f>
        <v>楼层</v>
      </c>
      <c r="R27" s="1693" t="s">
        <v>25</v>
      </c>
      <c r="S27" s="1694">
        <f>F27</f>
        <v>100</v>
      </c>
      <c r="T27" s="1693" t="s">
        <v>25</v>
      </c>
      <c r="U27" s="1694">
        <f>H27</f>
        <v>100</v>
      </c>
      <c r="V27" s="1693" t="s">
        <v>25</v>
      </c>
      <c r="W27" s="1694">
        <f>J27</f>
        <v>100</v>
      </c>
      <c r="X27" s="2042"/>
      <c r="Y27" s="3647"/>
      <c r="Z27" s="2046" t="str">
        <f>Q27</f>
        <v>楼层</v>
      </c>
      <c r="AA27" s="2037">
        <f t="shared" si="3"/>
        <v>1</v>
      </c>
      <c r="AB27" s="2037">
        <f t="shared" si="4"/>
        <v>1</v>
      </c>
      <c r="AC27" s="2037">
        <f t="shared" si="5"/>
        <v>1</v>
      </c>
    </row>
    <row r="28" spans="1:29" s="1652" customFormat="1" ht="15" hidden="1">
      <c r="A28" s="1673"/>
      <c r="B28" s="2462" t="s">
        <v>2330</v>
      </c>
      <c r="C28" s="2466"/>
      <c r="D28" s="1724">
        <v>100</v>
      </c>
      <c r="E28" s="2444"/>
      <c r="F28" s="1724">
        <f>SUMIF(91:91,E28,92:92)-SUMIF(91:91,C28,92:92)+100</f>
        <v>100</v>
      </c>
      <c r="G28" s="2466"/>
      <c r="H28" s="1724">
        <f>SUMIF(91:91,G28,92:92)-SUMIF(91:91,C28,92:92)+100</f>
        <v>100</v>
      </c>
      <c r="I28" s="2444"/>
      <c r="J28" s="1724">
        <f>SUMIF(91:91,I28,92:92)-SUMIF(91:91,C28,92:92)+100</f>
        <v>100</v>
      </c>
      <c r="K28" s="1960"/>
      <c r="L28" s="2962"/>
      <c r="M28" s="2935"/>
      <c r="N28" s="2935"/>
      <c r="O28" s="2935"/>
      <c r="P28" s="3647"/>
      <c r="Q28" s="2880" t="str">
        <f t="shared" si="11"/>
        <v>朝向</v>
      </c>
      <c r="R28" s="1648" t="s">
        <v>25</v>
      </c>
      <c r="S28" s="1649">
        <f>F28</f>
        <v>100</v>
      </c>
      <c r="T28" s="1648" t="s">
        <v>25</v>
      </c>
      <c r="U28" s="1649">
        <f>H28</f>
        <v>100</v>
      </c>
      <c r="V28" s="1648" t="s">
        <v>25</v>
      </c>
      <c r="W28" s="1649">
        <f>J28</f>
        <v>100</v>
      </c>
      <c r="X28" s="1650"/>
      <c r="Y28" s="3647"/>
      <c r="Z28" s="1661" t="str">
        <f>Q28</f>
        <v>朝向</v>
      </c>
      <c r="AA28" s="2037">
        <f>D28/F28</f>
        <v>1</v>
      </c>
      <c r="AB28" s="2037">
        <f>D28/H28</f>
        <v>1</v>
      </c>
      <c r="AC28" s="2037">
        <f>D28/J28</f>
        <v>1</v>
      </c>
    </row>
    <row r="29" spans="1:29" ht="15.75" thickBot="1">
      <c r="A29" s="1670"/>
      <c r="B29" s="3325" t="s">
        <v>3008</v>
      </c>
      <c r="C29" s="2465"/>
      <c r="D29" s="1679">
        <v>100</v>
      </c>
      <c r="E29" s="1675"/>
      <c r="F29" s="1679">
        <f>SUMIF(93:93,E29,94:94)-SUMIF(93:93,C29,94:94)+100</f>
        <v>100</v>
      </c>
      <c r="G29" s="2458"/>
      <c r="H29" s="1679">
        <f>SUMIF(93:93,G29,94:94)-SUMIF(93:93,C29,94:94)+100</f>
        <v>100</v>
      </c>
      <c r="I29" s="1675"/>
      <c r="J29" s="1679">
        <f>SUMIF(93:93,I29,94:94)-SUMIF(93:93,C29,94:94)+100</f>
        <v>100</v>
      </c>
      <c r="K29" s="1957"/>
      <c r="L29" s="2967"/>
      <c r="M29" s="2963"/>
      <c r="N29" s="2963"/>
      <c r="O29" s="2963"/>
      <c r="P29" s="3647"/>
      <c r="Q29" s="2881" t="str">
        <f t="shared" si="11"/>
        <v>楼层</v>
      </c>
      <c r="R29" s="1693" t="s">
        <v>25</v>
      </c>
      <c r="S29" s="1694">
        <f t="shared" ref="S29:S47" si="12">F29</f>
        <v>100</v>
      </c>
      <c r="T29" s="1693" t="s">
        <v>25</v>
      </c>
      <c r="U29" s="1694">
        <f t="shared" ref="U29:U47" si="13">H29</f>
        <v>100</v>
      </c>
      <c r="V29" s="1693" t="s">
        <v>25</v>
      </c>
      <c r="W29" s="1694">
        <f t="shared" ref="W29:W47" si="14">J29</f>
        <v>100</v>
      </c>
      <c r="X29" s="2042"/>
      <c r="Y29" s="3647"/>
      <c r="Z29" s="2046" t="str">
        <f t="shared" ref="Z29:Z47" si="15">Q29</f>
        <v>楼层</v>
      </c>
      <c r="AA29" s="2037">
        <f t="shared" si="3"/>
        <v>1</v>
      </c>
      <c r="AB29" s="2037">
        <f t="shared" si="4"/>
        <v>1</v>
      </c>
      <c r="AC29" s="2037">
        <f t="shared" si="5"/>
        <v>1</v>
      </c>
    </row>
    <row r="30" spans="1:29" ht="15" hidden="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7"/>
      <c r="M30" s="2963"/>
      <c r="N30" s="2963"/>
      <c r="O30" s="2963"/>
      <c r="P30" s="3647"/>
      <c r="Q30" s="2881">
        <f t="shared" si="11"/>
        <v>111</v>
      </c>
      <c r="R30" s="1693" t="s">
        <v>25</v>
      </c>
      <c r="S30" s="1694">
        <f t="shared" si="12"/>
        <v>100</v>
      </c>
      <c r="T30" s="1693" t="s">
        <v>25</v>
      </c>
      <c r="U30" s="1694">
        <f t="shared" si="13"/>
        <v>100</v>
      </c>
      <c r="V30" s="1693" t="s">
        <v>25</v>
      </c>
      <c r="W30" s="1694">
        <f t="shared" si="14"/>
        <v>100</v>
      </c>
      <c r="X30" s="2042"/>
      <c r="Y30" s="3647"/>
      <c r="Z30" s="2046">
        <f t="shared" si="15"/>
        <v>111</v>
      </c>
      <c r="AA30" s="2037">
        <f t="shared" si="3"/>
        <v>1</v>
      </c>
      <c r="AB30" s="2037">
        <f t="shared" si="4"/>
        <v>1</v>
      </c>
      <c r="AC30" s="2037">
        <f t="shared" si="5"/>
        <v>1</v>
      </c>
    </row>
    <row r="31" spans="1:29" ht="15" hidden="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7"/>
      <c r="M31" s="2963"/>
      <c r="N31" s="2963"/>
      <c r="O31" s="2963"/>
      <c r="P31" s="3647"/>
      <c r="Q31" s="2881">
        <f t="shared" si="11"/>
        <v>111</v>
      </c>
      <c r="R31" s="1693" t="s">
        <v>25</v>
      </c>
      <c r="S31" s="1694">
        <f t="shared" si="12"/>
        <v>100</v>
      </c>
      <c r="T31" s="1693" t="s">
        <v>25</v>
      </c>
      <c r="U31" s="1694">
        <f t="shared" si="13"/>
        <v>100</v>
      </c>
      <c r="V31" s="1693" t="s">
        <v>25</v>
      </c>
      <c r="W31" s="1694">
        <f t="shared" si="14"/>
        <v>100</v>
      </c>
      <c r="X31" s="2042"/>
      <c r="Y31" s="3647"/>
      <c r="Z31" s="2046">
        <f t="shared" si="15"/>
        <v>111</v>
      </c>
      <c r="AA31" s="2037">
        <f t="shared" si="3"/>
        <v>1</v>
      </c>
      <c r="AB31" s="2037">
        <f t="shared" si="4"/>
        <v>1</v>
      </c>
      <c r="AC31" s="2037">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7"/>
      <c r="M32" s="2963"/>
      <c r="N32" s="2963"/>
      <c r="O32" s="2963"/>
      <c r="P32" s="3647"/>
      <c r="Q32" s="2881">
        <f t="shared" si="11"/>
        <v>111</v>
      </c>
      <c r="R32" s="1693" t="s">
        <v>25</v>
      </c>
      <c r="S32" s="1694">
        <f t="shared" si="12"/>
        <v>100</v>
      </c>
      <c r="T32" s="1693" t="s">
        <v>25</v>
      </c>
      <c r="U32" s="1694">
        <f t="shared" si="13"/>
        <v>100</v>
      </c>
      <c r="V32" s="1693" t="s">
        <v>25</v>
      </c>
      <c r="W32" s="1694">
        <f t="shared" si="14"/>
        <v>100</v>
      </c>
      <c r="X32" s="2042"/>
      <c r="Y32" s="3647"/>
      <c r="Z32" s="2046">
        <f t="shared" si="15"/>
        <v>111</v>
      </c>
      <c r="AA32" s="2037">
        <f t="shared" si="3"/>
        <v>1</v>
      </c>
      <c r="AB32" s="2037">
        <f t="shared" si="4"/>
        <v>1</v>
      </c>
      <c r="AC32" s="2037">
        <f t="shared" si="5"/>
        <v>1</v>
      </c>
    </row>
    <row r="33" spans="1:29" ht="15">
      <c r="A33" s="1685" t="s">
        <v>2215</v>
      </c>
      <c r="B33" s="1655" t="s">
        <v>2331</v>
      </c>
      <c r="C33" s="2470" t="s">
        <v>3006</v>
      </c>
      <c r="D33" s="1730">
        <v>100</v>
      </c>
      <c r="E33" s="2470" t="s">
        <v>3006</v>
      </c>
      <c r="F33" s="1722">
        <f>SUMIF(101:101,E33,102:102)-SUMIF(101:101,C33,102:102)+100</f>
        <v>100</v>
      </c>
      <c r="G33" s="2470" t="s">
        <v>3006</v>
      </c>
      <c r="H33" s="1679">
        <f>SUMIF(101:101,G33,102:102)-SUMIF(101:101,C33,102:102)+100</f>
        <v>100</v>
      </c>
      <c r="I33" s="2470" t="s">
        <v>3006</v>
      </c>
      <c r="J33" s="1730">
        <f>SUMIF(101:101,I33,102:102)-SUMIF(101:101,C33,102:102)+100</f>
        <v>100</v>
      </c>
      <c r="K33" s="1960"/>
      <c r="L33" s="2967"/>
      <c r="M33" s="2963"/>
      <c r="N33" s="2963"/>
      <c r="O33" s="2963"/>
      <c r="P33" s="3670" t="s">
        <v>2217</v>
      </c>
      <c r="Q33" s="2881" t="str">
        <f t="shared" si="11"/>
        <v>建筑类型</v>
      </c>
      <c r="R33" s="1693" t="s">
        <v>25</v>
      </c>
      <c r="S33" s="1694">
        <f t="shared" si="12"/>
        <v>100</v>
      </c>
      <c r="T33" s="1693" t="s">
        <v>25</v>
      </c>
      <c r="U33" s="1694">
        <f t="shared" si="13"/>
        <v>100</v>
      </c>
      <c r="V33" s="1693" t="s">
        <v>25</v>
      </c>
      <c r="W33" s="1694">
        <f t="shared" si="14"/>
        <v>100</v>
      </c>
      <c r="X33" s="2042"/>
      <c r="Y33" s="3651" t="s">
        <v>2217</v>
      </c>
      <c r="Z33" s="2046" t="str">
        <f t="shared" si="15"/>
        <v>建筑类型</v>
      </c>
      <c r="AA33" s="2037">
        <f t="shared" si="3"/>
        <v>1</v>
      </c>
      <c r="AB33" s="2037">
        <f t="shared" si="4"/>
        <v>1</v>
      </c>
      <c r="AC33" s="2037">
        <f t="shared" si="5"/>
        <v>1</v>
      </c>
    </row>
    <row r="34" spans="1:29" s="1739" customFormat="1" ht="15">
      <c r="A34" s="1732"/>
      <c r="B34" s="1663" t="s">
        <v>2218</v>
      </c>
      <c r="C34" s="1733"/>
      <c r="D34" s="1665">
        <v>100</v>
      </c>
      <c r="E34" s="1672"/>
      <c r="F34" s="1667">
        <f>LOOKUP(E34,104:104,105:105)-LOOKUP(C34,104:104,105:105)+100</f>
        <v>100</v>
      </c>
      <c r="G34" s="1671"/>
      <c r="H34" s="1665">
        <f>LOOKUP(G34,104:104,105:105)-LOOKUP(C34,104:104,105:105)+100</f>
        <v>100</v>
      </c>
      <c r="I34" s="1671"/>
      <c r="J34" s="1665">
        <f>LOOKUP(I34,104:104,105:105)-LOOKUP(C34,104:104,105:105)+100</f>
        <v>100</v>
      </c>
      <c r="K34" s="1957"/>
      <c r="L34" s="2966"/>
      <c r="M34" s="2027"/>
      <c r="N34" s="2027"/>
      <c r="O34" s="2027"/>
      <c r="P34" s="3651"/>
      <c r="Q34" s="1734" t="str">
        <f t="shared" si="11"/>
        <v>项目建筑规模</v>
      </c>
      <c r="R34" s="1735" t="s">
        <v>25</v>
      </c>
      <c r="S34" s="1736">
        <f t="shared" si="12"/>
        <v>100</v>
      </c>
      <c r="T34" s="1735" t="s">
        <v>25</v>
      </c>
      <c r="U34" s="1736">
        <f t="shared" si="13"/>
        <v>100</v>
      </c>
      <c r="V34" s="1735" t="s">
        <v>25</v>
      </c>
      <c r="W34" s="1736">
        <f t="shared" si="14"/>
        <v>100</v>
      </c>
      <c r="X34" s="1737"/>
      <c r="Y34" s="3651"/>
      <c r="Z34" s="1738" t="str">
        <f t="shared" si="15"/>
        <v>项目建筑规模</v>
      </c>
      <c r="AA34" s="2037">
        <f t="shared" si="3"/>
        <v>1</v>
      </c>
      <c r="AB34" s="2037">
        <f t="shared" si="4"/>
        <v>1</v>
      </c>
      <c r="AC34" s="2037">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7"/>
      <c r="M35" s="2963"/>
      <c r="N35" s="2963"/>
      <c r="O35" s="2963"/>
      <c r="P35" s="3651"/>
      <c r="Q35" s="2881" t="str">
        <f t="shared" si="11"/>
        <v>建筑结构</v>
      </c>
      <c r="R35" s="1693" t="s">
        <v>25</v>
      </c>
      <c r="S35" s="1694">
        <f t="shared" si="12"/>
        <v>100</v>
      </c>
      <c r="T35" s="1693" t="s">
        <v>25</v>
      </c>
      <c r="U35" s="1694">
        <f t="shared" si="13"/>
        <v>100</v>
      </c>
      <c r="V35" s="1693" t="s">
        <v>25</v>
      </c>
      <c r="W35" s="1694">
        <f t="shared" si="14"/>
        <v>100</v>
      </c>
      <c r="X35" s="2042"/>
      <c r="Y35" s="3651"/>
      <c r="Z35" s="2046" t="str">
        <f t="shared" si="15"/>
        <v>建筑结构</v>
      </c>
      <c r="AA35" s="2037">
        <f t="shared" si="3"/>
        <v>1</v>
      </c>
      <c r="AB35" s="2037">
        <f t="shared" si="4"/>
        <v>1</v>
      </c>
      <c r="AC35" s="2037">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7"/>
      <c r="M36" s="2963"/>
      <c r="N36" s="2963"/>
      <c r="O36" s="2963"/>
      <c r="P36" s="3651"/>
      <c r="Q36" s="2881" t="str">
        <f t="shared" si="11"/>
        <v>公共部分装修</v>
      </c>
      <c r="R36" s="1693" t="s">
        <v>25</v>
      </c>
      <c r="S36" s="1694">
        <f t="shared" si="12"/>
        <v>100</v>
      </c>
      <c r="T36" s="1693" t="s">
        <v>25</v>
      </c>
      <c r="U36" s="1694">
        <f t="shared" si="13"/>
        <v>100</v>
      </c>
      <c r="V36" s="1693" t="s">
        <v>25</v>
      </c>
      <c r="W36" s="1694">
        <f t="shared" si="14"/>
        <v>100</v>
      </c>
      <c r="X36" s="2042"/>
      <c r="Y36" s="3651"/>
      <c r="Z36" s="2046" t="str">
        <f t="shared" si="15"/>
        <v>公共部分装修</v>
      </c>
      <c r="AA36" s="2037">
        <f t="shared" si="3"/>
        <v>1</v>
      </c>
      <c r="AB36" s="2037">
        <f t="shared" si="4"/>
        <v>1</v>
      </c>
      <c r="AC36" s="2037">
        <f t="shared" si="5"/>
        <v>1</v>
      </c>
    </row>
    <row r="37" spans="1:29" ht="15">
      <c r="A37" s="1740"/>
      <c r="B37" s="1663" t="s">
        <v>2305</v>
      </c>
      <c r="C37" s="1744">
        <f>'数据-取费表'!E20</f>
        <v>0.87</v>
      </c>
      <c r="D37" s="1679">
        <v>100</v>
      </c>
      <c r="E37" s="1744">
        <v>0.97</v>
      </c>
      <c r="F37" s="1722">
        <f>LOOKUP(E37,111:111,112:112)-LOOKUP(C37,111:111,112:112)+100</f>
        <v>100</v>
      </c>
      <c r="G37" s="1744">
        <v>0.92</v>
      </c>
      <c r="H37" s="1722">
        <f>LOOKUP(G37,111:111,112:112)-LOOKUP(C37,111:111,112:112)+100</f>
        <v>100</v>
      </c>
      <c r="I37" s="1744">
        <v>0.93</v>
      </c>
      <c r="J37" s="1679">
        <f>LOOKUP(I37,111:111,112:112)-LOOKUP(C37,111:111,112:112)+100</f>
        <v>100</v>
      </c>
      <c r="K37" s="1960"/>
      <c r="L37" s="2967"/>
      <c r="M37" s="2963"/>
      <c r="N37" s="2963"/>
      <c r="O37" s="2963"/>
      <c r="P37" s="3651"/>
      <c r="Q37" s="2881" t="str">
        <f t="shared" si="11"/>
        <v>成新度</v>
      </c>
      <c r="R37" s="1693" t="s">
        <v>25</v>
      </c>
      <c r="S37" s="1694">
        <f t="shared" si="12"/>
        <v>100</v>
      </c>
      <c r="T37" s="1693" t="s">
        <v>25</v>
      </c>
      <c r="U37" s="1694">
        <f t="shared" si="13"/>
        <v>100</v>
      </c>
      <c r="V37" s="1693" t="s">
        <v>25</v>
      </c>
      <c r="W37" s="1694">
        <f t="shared" si="14"/>
        <v>100</v>
      </c>
      <c r="X37" s="2042"/>
      <c r="Y37" s="3651"/>
      <c r="Z37" s="2046" t="str">
        <f t="shared" si="15"/>
        <v>成新度</v>
      </c>
      <c r="AA37" s="2037">
        <f t="shared" si="3"/>
        <v>1</v>
      </c>
      <c r="AB37" s="2037">
        <f t="shared" si="4"/>
        <v>1</v>
      </c>
      <c r="AC37" s="2037">
        <f t="shared" si="5"/>
        <v>1</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2"/>
      <c r="M38" s="2935"/>
      <c r="N38" s="2935"/>
      <c r="O38" s="2935"/>
      <c r="P38" s="3651"/>
      <c r="Q38" s="2880" t="str">
        <f t="shared" si="11"/>
        <v>写字楼等级</v>
      </c>
      <c r="R38" s="1648" t="s">
        <v>25</v>
      </c>
      <c r="S38" s="1649">
        <f t="shared" si="12"/>
        <v>100</v>
      </c>
      <c r="T38" s="1648" t="s">
        <v>25</v>
      </c>
      <c r="U38" s="1649">
        <f t="shared" si="13"/>
        <v>100</v>
      </c>
      <c r="V38" s="1648" t="s">
        <v>25</v>
      </c>
      <c r="W38" s="1649">
        <f t="shared" si="14"/>
        <v>100</v>
      </c>
      <c r="X38" s="1650"/>
      <c r="Y38" s="3651"/>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7"/>
      <c r="M39" s="2963"/>
      <c r="N39" s="2963"/>
      <c r="O39" s="2963"/>
      <c r="P39" s="3651" t="s">
        <v>2217</v>
      </c>
      <c r="Q39" s="2881" t="str">
        <f t="shared" si="11"/>
        <v>物业管理</v>
      </c>
      <c r="R39" s="1693" t="s">
        <v>25</v>
      </c>
      <c r="S39" s="1694">
        <f t="shared" si="12"/>
        <v>100</v>
      </c>
      <c r="T39" s="1693" t="s">
        <v>25</v>
      </c>
      <c r="U39" s="1694">
        <f t="shared" si="13"/>
        <v>100</v>
      </c>
      <c r="V39" s="1693" t="s">
        <v>25</v>
      </c>
      <c r="W39" s="1694">
        <f t="shared" si="14"/>
        <v>100</v>
      </c>
      <c r="X39" s="2042"/>
      <c r="Y39" s="3651" t="s">
        <v>2217</v>
      </c>
      <c r="Z39" s="2046" t="str">
        <f t="shared" si="15"/>
        <v>物业管理</v>
      </c>
      <c r="AA39" s="2037">
        <f t="shared" si="3"/>
        <v>1</v>
      </c>
      <c r="AB39" s="2037">
        <f t="shared" si="4"/>
        <v>1</v>
      </c>
      <c r="AC39" s="2037">
        <f t="shared" si="5"/>
        <v>1</v>
      </c>
    </row>
    <row r="40" spans="1:29" ht="15">
      <c r="A40" s="1740"/>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7"/>
      <c r="M40" s="2963"/>
      <c r="N40" s="2963"/>
      <c r="O40" s="2963"/>
      <c r="P40" s="3651"/>
      <c r="Q40" s="2881" t="str">
        <f t="shared" si="11"/>
        <v>市政基础设施</v>
      </c>
      <c r="R40" s="1693" t="s">
        <v>25</v>
      </c>
      <c r="S40" s="1694">
        <f t="shared" si="12"/>
        <v>100</v>
      </c>
      <c r="T40" s="1693" t="s">
        <v>25</v>
      </c>
      <c r="U40" s="1694">
        <f t="shared" si="13"/>
        <v>100</v>
      </c>
      <c r="V40" s="1693" t="s">
        <v>25</v>
      </c>
      <c r="W40" s="1694">
        <f t="shared" si="14"/>
        <v>100</v>
      </c>
      <c r="X40" s="2042"/>
      <c r="Y40" s="3651"/>
      <c r="Z40" s="2046" t="str">
        <f t="shared" si="15"/>
        <v>市政基础设施</v>
      </c>
      <c r="AA40" s="2037">
        <f t="shared" si="3"/>
        <v>1</v>
      </c>
      <c r="AB40" s="2037">
        <f t="shared" si="4"/>
        <v>1</v>
      </c>
      <c r="AC40" s="2037">
        <f t="shared" si="5"/>
        <v>1</v>
      </c>
    </row>
    <row r="41" spans="1:29" ht="15">
      <c r="A41" s="1740"/>
      <c r="B41" s="1663" t="s">
        <v>2308</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7"/>
      <c r="M41" s="2963"/>
      <c r="N41" s="2963"/>
      <c r="O41" s="2963"/>
      <c r="P41" s="3651"/>
      <c r="Q41" s="2881" t="str">
        <f t="shared" si="11"/>
        <v>层高</v>
      </c>
      <c r="R41" s="1693" t="s">
        <v>25</v>
      </c>
      <c r="S41" s="1694">
        <f t="shared" si="12"/>
        <v>100</v>
      </c>
      <c r="T41" s="1693" t="s">
        <v>25</v>
      </c>
      <c r="U41" s="1694">
        <f t="shared" si="13"/>
        <v>100</v>
      </c>
      <c r="V41" s="1693" t="s">
        <v>25</v>
      </c>
      <c r="W41" s="1694">
        <f t="shared" si="14"/>
        <v>100</v>
      </c>
      <c r="X41" s="2042"/>
      <c r="Y41" s="3651"/>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51"/>
      <c r="Q42" s="1734" t="str">
        <f t="shared" si="11"/>
        <v>单套建筑面积</v>
      </c>
      <c r="R42" s="1735" t="s">
        <v>25</v>
      </c>
      <c r="S42" s="1736">
        <f t="shared" si="12"/>
        <v>100</v>
      </c>
      <c r="T42" s="1735" t="s">
        <v>25</v>
      </c>
      <c r="U42" s="1736">
        <f t="shared" si="13"/>
        <v>100</v>
      </c>
      <c r="V42" s="1735" t="s">
        <v>25</v>
      </c>
      <c r="W42" s="1736">
        <f t="shared" si="14"/>
        <v>100</v>
      </c>
      <c r="X42" s="1737"/>
      <c r="Y42" s="3651"/>
      <c r="Z42" s="1738" t="str">
        <f t="shared" si="15"/>
        <v>单套建筑面积</v>
      </c>
      <c r="AA42" s="2037">
        <f t="shared" si="3"/>
        <v>1</v>
      </c>
      <c r="AB42" s="2037">
        <f t="shared" si="4"/>
        <v>1</v>
      </c>
      <c r="AC42" s="2037">
        <f t="shared" si="5"/>
        <v>1</v>
      </c>
    </row>
    <row r="43" spans="1:29" ht="15">
      <c r="A43" s="1740"/>
      <c r="B43" s="1663" t="s">
        <v>2311</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7"/>
      <c r="M43" s="2963"/>
      <c r="N43" s="2963"/>
      <c r="O43" s="2963"/>
      <c r="P43" s="3651"/>
      <c r="Q43" s="2881" t="str">
        <f t="shared" si="11"/>
        <v>内部装修</v>
      </c>
      <c r="R43" s="1693" t="s">
        <v>25</v>
      </c>
      <c r="S43" s="1694">
        <f t="shared" si="12"/>
        <v>100</v>
      </c>
      <c r="T43" s="1693" t="s">
        <v>25</v>
      </c>
      <c r="U43" s="1694">
        <f t="shared" si="13"/>
        <v>100</v>
      </c>
      <c r="V43" s="1693" t="s">
        <v>25</v>
      </c>
      <c r="W43" s="1694">
        <f t="shared" si="14"/>
        <v>100</v>
      </c>
      <c r="X43" s="2042"/>
      <c r="Y43" s="3651"/>
      <c r="Z43" s="2046" t="str">
        <f t="shared" si="15"/>
        <v>内部装修</v>
      </c>
      <c r="AA43" s="2037">
        <f t="shared" si="3"/>
        <v>1</v>
      </c>
      <c r="AB43" s="2037">
        <f t="shared" si="4"/>
        <v>1</v>
      </c>
      <c r="AC43" s="2037">
        <f t="shared" si="5"/>
        <v>1</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7"/>
      <c r="M44" s="2963"/>
      <c r="N44" s="2963"/>
      <c r="O44" s="2963"/>
      <c r="P44" s="3651"/>
      <c r="Q44" s="2881" t="str">
        <f t="shared" si="11"/>
        <v>内部装修维护情况</v>
      </c>
      <c r="R44" s="1693" t="s">
        <v>25</v>
      </c>
      <c r="S44" s="1694">
        <f t="shared" si="12"/>
        <v>100</v>
      </c>
      <c r="T44" s="1693" t="s">
        <v>25</v>
      </c>
      <c r="U44" s="1694">
        <f t="shared" si="13"/>
        <v>100</v>
      </c>
      <c r="V44" s="1693" t="s">
        <v>25</v>
      </c>
      <c r="W44" s="1694">
        <f t="shared" si="14"/>
        <v>100</v>
      </c>
      <c r="X44" s="2042"/>
      <c r="Y44" s="3651"/>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51"/>
      <c r="Q45" s="2880">
        <f t="shared" si="11"/>
        <v>111</v>
      </c>
      <c r="R45" s="1648" t="s">
        <v>25</v>
      </c>
      <c r="S45" s="1649">
        <f t="shared" si="12"/>
        <v>100</v>
      </c>
      <c r="T45" s="1648" t="s">
        <v>25</v>
      </c>
      <c r="U45" s="1649">
        <f t="shared" si="13"/>
        <v>100</v>
      </c>
      <c r="V45" s="1648" t="s">
        <v>25</v>
      </c>
      <c r="W45" s="1649">
        <f t="shared" si="14"/>
        <v>100</v>
      </c>
      <c r="X45" s="1650"/>
      <c r="Y45" s="3651"/>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51"/>
      <c r="Q46" s="2881">
        <f t="shared" si="11"/>
        <v>111</v>
      </c>
      <c r="R46" s="1693" t="s">
        <v>25</v>
      </c>
      <c r="S46" s="1694">
        <f t="shared" si="12"/>
        <v>100</v>
      </c>
      <c r="T46" s="1693" t="s">
        <v>25</v>
      </c>
      <c r="U46" s="1694">
        <f t="shared" si="13"/>
        <v>100</v>
      </c>
      <c r="V46" s="1693" t="s">
        <v>25</v>
      </c>
      <c r="W46" s="1694">
        <f t="shared" si="14"/>
        <v>100</v>
      </c>
      <c r="X46" s="2042"/>
      <c r="Y46" s="3651"/>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52"/>
      <c r="Q47" s="2881">
        <f t="shared" si="11"/>
        <v>111</v>
      </c>
      <c r="R47" s="1693" t="s">
        <v>25</v>
      </c>
      <c r="S47" s="1694">
        <f t="shared" si="12"/>
        <v>100</v>
      </c>
      <c r="T47" s="1693" t="s">
        <v>25</v>
      </c>
      <c r="U47" s="1694">
        <f t="shared" si="13"/>
        <v>100</v>
      </c>
      <c r="V47" s="1693" t="s">
        <v>25</v>
      </c>
      <c r="W47" s="1694">
        <f t="shared" si="14"/>
        <v>100</v>
      </c>
      <c r="X47" s="2042"/>
      <c r="Y47" s="3652"/>
      <c r="Z47" s="2046">
        <f t="shared" si="15"/>
        <v>111</v>
      </c>
      <c r="AA47" s="2037">
        <f t="shared" si="3"/>
        <v>1</v>
      </c>
      <c r="AB47" s="2037">
        <f t="shared" si="4"/>
        <v>1</v>
      </c>
      <c r="AC47" s="2037">
        <f t="shared" si="5"/>
        <v>1</v>
      </c>
    </row>
    <row r="48" spans="1:29" ht="15">
      <c r="A48" s="1749" t="s">
        <v>2229</v>
      </c>
      <c r="B48" s="1750"/>
      <c r="C48" s="1751" t="s">
        <v>1</v>
      </c>
      <c r="D48" s="1752"/>
      <c r="E48" s="1753">
        <v>27160</v>
      </c>
      <c r="F48" s="1754"/>
      <c r="G48" s="1755">
        <v>30330</v>
      </c>
      <c r="H48" s="1756"/>
      <c r="I48" s="1753">
        <v>27078</v>
      </c>
      <c r="J48" s="1756"/>
      <c r="K48" s="1981"/>
      <c r="L48" s="2968"/>
      <c r="M48" s="2963"/>
      <c r="N48" s="2963"/>
      <c r="O48" s="2963"/>
      <c r="P48" s="3657" t="str">
        <f>A48</f>
        <v>成交单价（元/平方米）</v>
      </c>
      <c r="Q48" s="3657"/>
      <c r="R48" s="3658">
        <f>E48</f>
        <v>27160</v>
      </c>
      <c r="S48" s="3658"/>
      <c r="T48" s="3658">
        <f>G48</f>
        <v>30330</v>
      </c>
      <c r="U48" s="3658"/>
      <c r="V48" s="3658">
        <f>I48</f>
        <v>27078</v>
      </c>
      <c r="W48" s="3658"/>
      <c r="X48" s="1759"/>
      <c r="Y48" s="2041"/>
      <c r="Z48" s="1759"/>
      <c r="AA48" s="1759"/>
      <c r="AB48" s="1759"/>
      <c r="AC48" s="1759"/>
    </row>
    <row r="49" spans="1:29" ht="15.75" thickBot="1">
      <c r="A49" s="1761" t="s">
        <v>2312</v>
      </c>
      <c r="B49" s="1762"/>
      <c r="C49" s="1763">
        <f>R50</f>
        <v>28189</v>
      </c>
      <c r="D49" s="1764" t="s">
        <v>2686</v>
      </c>
      <c r="E49" s="1765">
        <f>R49</f>
        <v>27160</v>
      </c>
      <c r="F49" s="1766"/>
      <c r="G49" s="1763">
        <f>T49</f>
        <v>30330</v>
      </c>
      <c r="H49" s="1766"/>
      <c r="I49" s="1765">
        <f>V49</f>
        <v>27078</v>
      </c>
      <c r="J49" s="1766"/>
      <c r="K49" s="2478">
        <f>F49+H49+J49</f>
        <v>0</v>
      </c>
      <c r="L49" s="2968"/>
      <c r="M49" s="2963"/>
      <c r="N49" s="2963"/>
      <c r="O49" s="2963"/>
      <c r="P49" s="3657" t="str">
        <f>A49</f>
        <v>比较价值（元/平方米）</v>
      </c>
      <c r="Q49" s="3657"/>
      <c r="R49" s="3658">
        <f>IF(E1="售价",ROUND(PRODUCT(R48,AA7:AA47),0),ROUND(PRODUCT(R48,AA7:AA47),1))</f>
        <v>27160</v>
      </c>
      <c r="S49" s="3658"/>
      <c r="T49" s="3658">
        <f>IF(E1="售价",ROUND(PRODUCT(T48,AB7:AB47),0),ROUND(PRODUCT(T48,AB7:AB47),1))</f>
        <v>30330</v>
      </c>
      <c r="U49" s="3658"/>
      <c r="V49" s="3658">
        <f>IF(E1="售价",ROUND(PRODUCT(V48,AC7:AC47),0),ROUND(PRODUCT(V48,AC7:AC47),1))</f>
        <v>27078</v>
      </c>
      <c r="W49" s="3658"/>
      <c r="X49" s="1759"/>
      <c r="Y49" s="1759"/>
      <c r="Z49" s="1759"/>
      <c r="AA49" s="1759"/>
      <c r="AB49" s="1759"/>
      <c r="AC49" s="1759"/>
    </row>
    <row r="50" spans="1:29" ht="15.75" thickBot="1">
      <c r="A50" s="1767" t="s">
        <v>2335</v>
      </c>
      <c r="B50" s="1768"/>
      <c r="C50" s="1770">
        <f>R50</f>
        <v>28189</v>
      </c>
      <c r="D50" s="1770"/>
      <c r="E50" s="1770"/>
      <c r="F50" s="1770"/>
      <c r="G50" s="1770"/>
      <c r="H50" s="1770"/>
      <c r="I50" s="1770"/>
      <c r="J50" s="1770"/>
      <c r="K50" s="1986"/>
      <c r="L50" s="2968"/>
      <c r="M50" s="2963"/>
      <c r="N50" s="2963"/>
      <c r="O50" s="2963"/>
      <c r="P50" s="3663" t="str">
        <f>A50</f>
        <v>估价对象XX用房的比较价值（楼面单价，元/平方米）</v>
      </c>
      <c r="Q50" s="3664"/>
      <c r="R50" s="3665">
        <f>IF(E1="售价",ROUND(IF(D49="简单平均",AVERAGE(R49:V49),R49*F49+T49*H49+V49*J49),0),ROUND(IF(D49="简单平均",AVERAGE(R49:V49),R49*F49+T49*H49+V49*J49),1))</f>
        <v>28189</v>
      </c>
      <c r="S50" s="3665"/>
      <c r="T50" s="3665"/>
      <c r="U50" s="3665"/>
      <c r="V50" s="3665"/>
      <c r="W50" s="3665"/>
      <c r="X50" s="1759"/>
      <c r="Y50" s="1759"/>
      <c r="Z50" s="1759"/>
      <c r="AA50" s="1759"/>
      <c r="AB50" s="1759"/>
      <c r="AC50" s="1759"/>
    </row>
    <row r="51" spans="1:29">
      <c r="G51" s="2972"/>
    </row>
    <row r="53" spans="1:29" ht="13.5" customHeight="1">
      <c r="C53" s="383" t="s">
        <v>2314</v>
      </c>
      <c r="D53" s="1775"/>
      <c r="E53" s="1776">
        <f>IF(E48&lt;E49,E49/E48-1,E48/E49-1)</f>
        <v>0</v>
      </c>
      <c r="F53" s="1777" t="str">
        <f>IF(OR(E53&gt;=0.3,E53&lt;=-0.3),"超过30%","")</f>
        <v/>
      </c>
      <c r="G53" s="1776">
        <f>IF(G48&lt;G49,G49/G48-1,G48/G49-1)</f>
        <v>0</v>
      </c>
      <c r="H53" s="1777" t="str">
        <f>IF(OR(G53&gt;=0.3,G53&lt;=-0.3),"超过30%","")</f>
        <v/>
      </c>
      <c r="I53" s="1776">
        <f>IF(I48&lt;I49,I49/I48-1,I48/I49-1)</f>
        <v>0</v>
      </c>
      <c r="J53" s="1777" t="str">
        <f>IF(OR(I53&gt;=0.3,I53&lt;=-0.3),"超过30%","")</f>
        <v/>
      </c>
    </row>
    <row r="54" spans="1:29" ht="13.5" customHeight="1">
      <c r="C54" s="383" t="s">
        <v>2315</v>
      </c>
      <c r="D54" s="1778"/>
      <c r="E54" s="1776">
        <f>IF(E49&lt;G49,G49/E49-1,E49/G49-1)</f>
        <v>0.11671575846833582</v>
      </c>
      <c r="F54" s="1777" t="str">
        <f>IF(OR(E54&gt;=0.2,E54&lt;=-0.2),"超过20%","")</f>
        <v/>
      </c>
      <c r="G54" s="1776">
        <f>IF(G49&lt;I49,I49/G49-1,G49/I49-1)</f>
        <v>0.12009749612231335</v>
      </c>
      <c r="H54" s="1777" t="str">
        <f>IF(OR(G54&gt;=0.2,G54&lt;=-0.2),"超过20%","")</f>
        <v/>
      </c>
      <c r="I54" s="1776">
        <f>IF(I49&lt;E49,E49/I49-1,I49/E49-1)</f>
        <v>3.0282886476105109E-3</v>
      </c>
      <c r="J54" s="1777" t="str">
        <f>IF(OR(I54&gt;=0.2,I54&lt;=-0.2),"超过20%","")</f>
        <v/>
      </c>
    </row>
    <row r="55" spans="1:29" s="1781" customFormat="1" ht="13.5" customHeight="1">
      <c r="C55" s="383" t="s">
        <v>2316</v>
      </c>
      <c r="D55" s="1778"/>
      <c r="E55" s="1776">
        <f>IF(E48&lt;G48,G48/E48-1,E48/G48-1)</f>
        <v>0.11671575846833582</v>
      </c>
      <c r="F55" s="1777" t="str">
        <f>IF(OR(E55&gt;=0.3,E55&lt;=-0.3),"超过30%","")</f>
        <v/>
      </c>
      <c r="G55" s="1776">
        <f>IF(G48&lt;I48,I48/G48-1,G48/I48-1)</f>
        <v>0.12009749612231335</v>
      </c>
      <c r="H55" s="1777" t="str">
        <f>IF(OR(G55&gt;=0.3,G55&lt;=-0.3),"超过30%","")</f>
        <v/>
      </c>
      <c r="I55" s="1776">
        <f>IF(I48&lt;E48,E48/I48-1,I48/E48-1)</f>
        <v>3.0282886476105109E-3</v>
      </c>
      <c r="J55" s="1777" t="str">
        <f>IF(OR(I55&gt;=0.3,I55&lt;=-0.3),"超过30%","")</f>
        <v/>
      </c>
      <c r="K55" s="2975"/>
      <c r="L55" s="2969"/>
    </row>
    <row r="56" spans="1:29" s="1781" customFormat="1">
      <c r="B56" s="2973"/>
      <c r="C56" s="2974"/>
      <c r="K56" s="2975"/>
      <c r="L56" s="2969"/>
    </row>
    <row r="57" spans="1:29">
      <c r="B57" s="2973"/>
      <c r="C57" s="2974"/>
    </row>
    <row r="58" spans="1:29" ht="21.75" thickBot="1">
      <c r="A58" s="1784" t="s">
        <v>2317</v>
      </c>
      <c r="B58" s="1759"/>
      <c r="C58" s="1785"/>
      <c r="D58" s="1785"/>
      <c r="E58" s="1785"/>
      <c r="F58" s="1785"/>
      <c r="G58" s="1785"/>
      <c r="H58" s="1785"/>
      <c r="I58" s="1785"/>
      <c r="J58" s="1785"/>
      <c r="K58" s="1786"/>
      <c r="L58" s="1787"/>
      <c r="M58" s="1785"/>
      <c r="N58" s="2971"/>
      <c r="O58" s="2971"/>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2240</v>
      </c>
      <c r="B64" s="1815" t="s">
        <v>2205</v>
      </c>
      <c r="C64" s="1816" t="str">
        <f>C9</f>
        <v>商住</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1"/>
      <c r="O66" s="2981"/>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2"/>
      <c r="O67" s="2982"/>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1835">
        <v>0</v>
      </c>
      <c r="D69" s="1835">
        <v>1</v>
      </c>
      <c r="E69" s="1835">
        <v>2</v>
      </c>
      <c r="F69" s="1835"/>
      <c r="G69" s="1835"/>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1"/>
      <c r="O77" s="2981"/>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2"/>
      <c r="O78" s="2982"/>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1"/>
      <c r="O79" s="2981"/>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2"/>
      <c r="O80" s="2982"/>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1"/>
      <c r="O81" s="2981"/>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2"/>
      <c r="O82" s="2982"/>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2"/>
      <c r="O83" s="2982"/>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2"/>
      <c r="O84" s="2982"/>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1"/>
      <c r="O85" s="2981"/>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2"/>
      <c r="O86" s="2982"/>
      <c r="P86" s="2025"/>
      <c r="Q86" s="1789"/>
    </row>
    <row r="87" spans="1:17" s="1652" customFormat="1" ht="27.75" thickTop="1">
      <c r="A87" s="1857"/>
      <c r="B87" s="1826" t="s">
        <v>2338</v>
      </c>
      <c r="C87" s="468"/>
      <c r="D87" s="468"/>
      <c r="E87" s="468"/>
      <c r="F87" s="468"/>
      <c r="G87" s="468"/>
      <c r="H87" s="468"/>
      <c r="I87" s="468"/>
      <c r="J87" s="468"/>
      <c r="K87" s="468"/>
      <c r="L87" s="468"/>
      <c r="M87" s="1858"/>
      <c r="N87" s="2980"/>
      <c r="O87" s="2980"/>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2"/>
      <c r="O88" s="2982"/>
      <c r="P88" s="2025"/>
      <c r="Q88" s="1789"/>
    </row>
    <row r="89" spans="1:17" s="1652" customFormat="1" ht="15.75" thickTop="1">
      <c r="A89" s="1857"/>
      <c r="B89" s="1826" t="str">
        <f>B27</f>
        <v>楼层</v>
      </c>
      <c r="C89" s="468"/>
      <c r="D89" s="468"/>
      <c r="E89" s="468"/>
      <c r="F89" s="1860"/>
      <c r="G89" s="468"/>
      <c r="H89" s="468"/>
      <c r="I89" s="468"/>
      <c r="J89" s="468"/>
      <c r="K89" s="468"/>
      <c r="L89" s="468"/>
      <c r="M89" s="1858"/>
      <c r="N89" s="2980"/>
      <c r="O89" s="2980"/>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2"/>
      <c r="O90" s="2982"/>
      <c r="P90" s="2025"/>
      <c r="Q90" s="1789"/>
    </row>
    <row r="91" spans="1:17" s="1739" customFormat="1" ht="15.75" thickTop="1">
      <c r="A91" s="1837"/>
      <c r="B91" s="1826" t="str">
        <f>B28</f>
        <v>朝向</v>
      </c>
      <c r="C91" s="468"/>
      <c r="D91" s="468"/>
      <c r="E91" s="468"/>
      <c r="F91" s="468"/>
      <c r="G91" s="468"/>
      <c r="H91" s="443"/>
      <c r="I91" s="443"/>
      <c r="J91" s="443"/>
      <c r="K91" s="443"/>
      <c r="L91" s="443"/>
      <c r="M91" s="1838"/>
      <c r="N91" s="2983"/>
      <c r="O91" s="2983"/>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3"/>
      <c r="O92" s="2983"/>
      <c r="P92" s="2026"/>
      <c r="Q92" s="1841"/>
    </row>
    <row r="93" spans="1:17" ht="15.75" thickTop="1">
      <c r="A93" s="1821"/>
      <c r="B93" s="1826" t="str">
        <f>B29</f>
        <v>楼层</v>
      </c>
      <c r="C93" s="3323" t="s">
        <v>3003</v>
      </c>
      <c r="D93" s="3323" t="s">
        <v>3004</v>
      </c>
      <c r="E93" s="3323" t="s">
        <v>3005</v>
      </c>
      <c r="F93" s="468"/>
      <c r="G93" s="468"/>
      <c r="H93" s="468"/>
      <c r="I93" s="468"/>
      <c r="J93" s="468"/>
      <c r="K93" s="468"/>
      <c r="L93" s="468"/>
      <c r="M93" s="1858"/>
      <c r="N93" s="2981"/>
      <c r="O93" s="2981"/>
      <c r="P93" s="2025"/>
      <c r="Q93" s="1789"/>
    </row>
    <row r="94" spans="1:17" ht="15.75" thickBot="1">
      <c r="A94" s="1821"/>
      <c r="B94" s="1829"/>
      <c r="C94" s="1842">
        <v>100</v>
      </c>
      <c r="D94" s="1823">
        <v>98</v>
      </c>
      <c r="E94" s="1823">
        <v>96</v>
      </c>
      <c r="F94" s="1823"/>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2215</v>
      </c>
      <c r="B101" s="1815" t="s">
        <v>2264</v>
      </c>
      <c r="C101" s="3324" t="s">
        <v>3007</v>
      </c>
      <c r="D101" s="1817"/>
      <c r="E101" s="1817"/>
      <c r="F101" s="1817"/>
      <c r="G101" s="1817"/>
      <c r="H101" s="1817"/>
      <c r="I101" s="1817"/>
      <c r="J101" s="1817"/>
      <c r="K101" s="417"/>
      <c r="L101" s="417"/>
      <c r="M101" s="1818"/>
      <c r="N101" s="2981"/>
      <c r="O101" s="2981"/>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2"/>
      <c r="O102" s="2982"/>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0"/>
      <c r="O103" s="2980"/>
      <c r="P103" s="2025"/>
      <c r="Q103" s="1789"/>
    </row>
    <row r="104" spans="1:17" s="1739" customFormat="1">
      <c r="A104" s="1867"/>
      <c r="B104" s="1868"/>
      <c r="C104" s="1869">
        <v>0</v>
      </c>
      <c r="D104" s="1869">
        <v>50</v>
      </c>
      <c r="E104" s="1869">
        <v>100</v>
      </c>
      <c r="F104" s="1869">
        <v>200</v>
      </c>
      <c r="G104" s="1869"/>
      <c r="H104" s="1869"/>
      <c r="I104" s="1869"/>
      <c r="J104" s="485"/>
      <c r="K104" s="485"/>
      <c r="L104" s="485"/>
      <c r="M104" s="1870"/>
      <c r="N104" s="2983"/>
      <c r="O104" s="2983"/>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2"/>
      <c r="O105" s="2982"/>
      <c r="P105" s="2026"/>
      <c r="Q105" s="1841"/>
    </row>
    <row r="106" spans="1:17" ht="15" thickTop="1">
      <c r="A106" s="1871"/>
      <c r="B106" s="1826" t="s">
        <v>2266</v>
      </c>
      <c r="C106" s="468"/>
      <c r="D106" s="468"/>
      <c r="E106" s="1545"/>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2"/>
      <c r="O107" s="2982"/>
      <c r="P107" s="2025"/>
      <c r="Q107" s="1789"/>
    </row>
    <row r="108" spans="1:17" ht="15" thickTop="1">
      <c r="A108" s="1871"/>
      <c r="B108" s="1826" t="s">
        <v>2268</v>
      </c>
      <c r="C108" s="468"/>
      <c r="D108" s="468"/>
      <c r="E108" s="468"/>
      <c r="F108" s="1545"/>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2"/>
      <c r="O109" s="2982"/>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2"/>
      <c r="O112" s="2982"/>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3"/>
      <c r="O114" s="2983"/>
      <c r="P114" s="2026"/>
      <c r="Q114" s="1841"/>
    </row>
    <row r="115" spans="1:17" ht="15" thickTop="1">
      <c r="A115" s="1871"/>
      <c r="B115" s="1826" t="s">
        <v>2270</v>
      </c>
      <c r="C115" s="468"/>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2"/>
      <c r="O116" s="2982"/>
      <c r="P116" s="2025"/>
      <c r="Q116" s="1789"/>
    </row>
    <row r="117" spans="1:17" ht="15" thickTop="1">
      <c r="A117" s="1871"/>
      <c r="B117" s="1826" t="s">
        <v>2271</v>
      </c>
      <c r="C117" s="468"/>
      <c r="D117" s="468"/>
      <c r="E117" s="468"/>
      <c r="F117" s="468"/>
      <c r="G117" s="468"/>
      <c r="H117" s="1545"/>
      <c r="I117" s="1545"/>
      <c r="J117" s="1545"/>
      <c r="K117" s="473"/>
      <c r="L117" s="473"/>
      <c r="M117" s="1861"/>
      <c r="N117" s="2981"/>
      <c r="O117" s="2981"/>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2"/>
      <c r="O118" s="2982"/>
      <c r="P118" s="2025"/>
      <c r="Q118" s="1789"/>
    </row>
    <row r="119" spans="1:17" ht="15" thickTop="1">
      <c r="A119" s="1871"/>
      <c r="B119" s="2473" t="s">
        <v>2340</v>
      </c>
      <c r="C119" s="1545"/>
      <c r="D119" s="1545"/>
      <c r="E119" s="1545"/>
      <c r="F119" s="1545"/>
      <c r="G119" s="1545"/>
      <c r="H119" s="1545"/>
      <c r="I119" s="1545"/>
      <c r="J119" s="1545"/>
      <c r="K119" s="1545"/>
      <c r="L119" s="1545"/>
      <c r="M119" s="2474"/>
      <c r="N119" s="2982"/>
      <c r="O119" s="2982"/>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2"/>
      <c r="O120" s="2982"/>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2273</v>
      </c>
      <c r="C123" s="468"/>
      <c r="D123" s="468"/>
      <c r="E123" s="468"/>
      <c r="F123" s="1545"/>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2"/>
      <c r="O124" s="2982"/>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1"/>
      <c r="O125" s="2981"/>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7"/>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2182</v>
      </c>
      <c r="B1" s="1194" t="s">
        <v>2341</v>
      </c>
      <c r="C1" s="1186"/>
      <c r="D1" s="1199"/>
      <c r="E1" s="1526"/>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5"/>
      <c r="I2" s="2985"/>
      <c r="J2" s="2985"/>
      <c r="K2" s="2985"/>
      <c r="L2" s="2986"/>
      <c r="M2" s="2987"/>
      <c r="N2" s="2987"/>
      <c r="O2" s="2987"/>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362.84</v>
      </c>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3" t="s">
        <v>2187</v>
      </c>
      <c r="D4" s="3684"/>
      <c r="E4" s="3685" t="s">
        <v>2188</v>
      </c>
      <c r="F4" s="3686"/>
      <c r="G4" s="3683" t="s">
        <v>2189</v>
      </c>
      <c r="H4" s="3684"/>
      <c r="I4" s="3683" t="s">
        <v>2190</v>
      </c>
      <c r="J4" s="3684"/>
      <c r="K4" s="496" t="s">
        <v>2191</v>
      </c>
      <c r="L4" s="2990"/>
      <c r="M4" s="2991"/>
      <c r="N4" s="2991"/>
      <c r="O4" s="2991"/>
      <c r="P4" s="3687" t="s">
        <v>2192</v>
      </c>
      <c r="Q4" s="3688"/>
      <c r="R4" s="3693" t="s">
        <v>2188</v>
      </c>
      <c r="S4" s="3694"/>
      <c r="T4" s="3693" t="s">
        <v>2189</v>
      </c>
      <c r="U4" s="3694"/>
      <c r="V4" s="3699" t="s">
        <v>2190</v>
      </c>
      <c r="W4" s="3699"/>
      <c r="X4" s="1302"/>
      <c r="Y4" s="3693" t="s">
        <v>2192</v>
      </c>
      <c r="Z4" s="3694"/>
      <c r="AA4" s="3680" t="s">
        <v>2188</v>
      </c>
      <c r="AB4" s="3681" t="s">
        <v>2189</v>
      </c>
      <c r="AC4" s="3680" t="s">
        <v>2190</v>
      </c>
    </row>
    <row r="5" spans="1:29" ht="15">
      <c r="A5" s="297"/>
      <c r="B5" s="298"/>
      <c r="C5" s="3676" t="s">
        <v>2193</v>
      </c>
      <c r="D5" s="3677"/>
      <c r="E5" s="3700" t="s">
        <v>2194</v>
      </c>
      <c r="F5" s="3701"/>
      <c r="G5" s="3676" t="s">
        <v>2195</v>
      </c>
      <c r="H5" s="3677"/>
      <c r="I5" s="3676" t="s">
        <v>2196</v>
      </c>
      <c r="J5" s="3677"/>
      <c r="K5" s="496"/>
      <c r="L5" s="2990"/>
      <c r="M5" s="2991"/>
      <c r="N5" s="2991"/>
      <c r="O5" s="2991"/>
      <c r="P5" s="3689"/>
      <c r="Q5" s="3690"/>
      <c r="R5" s="3695"/>
      <c r="S5" s="3696"/>
      <c r="T5" s="3695"/>
      <c r="U5" s="3696"/>
      <c r="V5" s="3699"/>
      <c r="W5" s="3699"/>
      <c r="X5" s="1302"/>
      <c r="Y5" s="3695"/>
      <c r="Z5" s="3696"/>
      <c r="AA5" s="3681"/>
      <c r="AB5" s="3681"/>
      <c r="AC5" s="3681"/>
    </row>
    <row r="6" spans="1:29" ht="15.75" thickBot="1">
      <c r="A6" s="299"/>
      <c r="B6" s="300"/>
      <c r="C6" s="3673" t="s">
        <v>2197</v>
      </c>
      <c r="D6" s="3674"/>
      <c r="E6" s="3671" t="s">
        <v>2197</v>
      </c>
      <c r="F6" s="3672"/>
      <c r="G6" s="3673" t="s">
        <v>2197</v>
      </c>
      <c r="H6" s="3674"/>
      <c r="I6" s="3673" t="s">
        <v>2197</v>
      </c>
      <c r="J6" s="3674"/>
      <c r="K6" s="496" t="s">
        <v>2198</v>
      </c>
      <c r="L6" s="2990"/>
      <c r="M6" s="2991"/>
      <c r="N6" s="2991"/>
      <c r="O6" s="2991"/>
      <c r="P6" s="3691"/>
      <c r="Q6" s="3692"/>
      <c r="R6" s="3695"/>
      <c r="S6" s="3696"/>
      <c r="T6" s="3697"/>
      <c r="U6" s="3698"/>
      <c r="V6" s="3699"/>
      <c r="W6" s="3699"/>
      <c r="X6" s="1302"/>
      <c r="Y6" s="3697"/>
      <c r="Z6" s="3698"/>
      <c r="AA6" s="3682"/>
      <c r="AB6" s="3682"/>
      <c r="AC6" s="3682"/>
    </row>
    <row r="7" spans="1:29" s="25" customFormat="1" ht="15.75" thickBot="1">
      <c r="A7" s="301" t="s">
        <v>2199</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78" t="s">
        <v>2200</v>
      </c>
      <c r="Q7" s="3702"/>
      <c r="R7" s="626" t="s">
        <v>25</v>
      </c>
      <c r="S7" s="627">
        <f t="shared" ref="S7:S15" si="0">F7</f>
        <v>0</v>
      </c>
      <c r="T7" s="626" t="s">
        <v>25</v>
      </c>
      <c r="U7" s="627">
        <f t="shared" ref="U7:U15" si="1">H7</f>
        <v>0</v>
      </c>
      <c r="V7" s="626" t="s">
        <v>25</v>
      </c>
      <c r="W7" s="627">
        <f t="shared" ref="W7:W15" si="2">J7</f>
        <v>0</v>
      </c>
      <c r="X7" s="628"/>
      <c r="Y7" s="3678" t="s">
        <v>2200</v>
      </c>
      <c r="Z7" s="3679"/>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78" t="s">
        <v>2203</v>
      </c>
      <c r="Q8" s="3679"/>
      <c r="R8" s="626" t="s">
        <v>25</v>
      </c>
      <c r="S8" s="627">
        <f t="shared" si="0"/>
        <v>0</v>
      </c>
      <c r="T8" s="626" t="s">
        <v>25</v>
      </c>
      <c r="U8" s="627">
        <f t="shared" si="1"/>
        <v>0</v>
      </c>
      <c r="V8" s="626" t="s">
        <v>25</v>
      </c>
      <c r="W8" s="627">
        <f t="shared" si="2"/>
        <v>0</v>
      </c>
      <c r="X8" s="628"/>
      <c r="Y8" s="3678" t="s">
        <v>2203</v>
      </c>
      <c r="Z8" s="3679"/>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75" t="s">
        <v>2206</v>
      </c>
      <c r="Q9" s="1294" t="str">
        <f t="shared" ref="Q9:Q15" si="6">B9</f>
        <v>用途</v>
      </c>
      <c r="R9" s="626" t="s">
        <v>25</v>
      </c>
      <c r="S9" s="627">
        <f t="shared" si="0"/>
        <v>100</v>
      </c>
      <c r="T9" s="626" t="s">
        <v>25</v>
      </c>
      <c r="U9" s="627">
        <f t="shared" si="1"/>
        <v>100</v>
      </c>
      <c r="V9" s="626" t="s">
        <v>25</v>
      </c>
      <c r="W9" s="627">
        <f t="shared" si="2"/>
        <v>100</v>
      </c>
      <c r="X9" s="628"/>
      <c r="Y9" s="3705"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75"/>
      <c r="Q10" s="1294" t="str">
        <f t="shared" si="6"/>
        <v>土地使用年限（年）</v>
      </c>
      <c r="R10" s="626" t="s">
        <v>25</v>
      </c>
      <c r="S10" s="627">
        <f t="shared" si="0"/>
        <v>100</v>
      </c>
      <c r="T10" s="626" t="s">
        <v>25</v>
      </c>
      <c r="U10" s="627">
        <f t="shared" si="1"/>
        <v>100</v>
      </c>
      <c r="V10" s="626" t="s">
        <v>25</v>
      </c>
      <c r="W10" s="627">
        <f t="shared" si="2"/>
        <v>100</v>
      </c>
      <c r="X10" s="628"/>
      <c r="Y10" s="3705"/>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75"/>
      <c r="Q11" s="1294" t="str">
        <f t="shared" si="6"/>
        <v>容积率</v>
      </c>
      <c r="R11" s="626" t="s">
        <v>25</v>
      </c>
      <c r="S11" s="627" t="e">
        <f t="shared" si="0"/>
        <v>#N/A</v>
      </c>
      <c r="T11" s="626" t="s">
        <v>25</v>
      </c>
      <c r="U11" s="627" t="e">
        <f t="shared" si="1"/>
        <v>#N/A</v>
      </c>
      <c r="V11" s="626" t="s">
        <v>25</v>
      </c>
      <c r="W11" s="627" t="e">
        <f t="shared" si="2"/>
        <v>#N/A</v>
      </c>
      <c r="X11" s="628"/>
      <c r="Y11" s="3705"/>
      <c r="Z11" s="19" t="str">
        <f t="shared" si="7"/>
        <v>容积率</v>
      </c>
      <c r="AA11" s="629" t="e">
        <f t="shared" si="3"/>
        <v>#N/A</v>
      </c>
      <c r="AB11" s="629" t="e">
        <f t="shared" si="4"/>
        <v>#N/A</v>
      </c>
      <c r="AC11" s="629"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2"/>
      <c r="M12" s="2993"/>
      <c r="N12" s="2993"/>
      <c r="O12" s="2994"/>
      <c r="P12" s="3675"/>
      <c r="Q12" s="1294">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0"/>
      <c r="M13" s="2991"/>
      <c r="N13" s="2991"/>
      <c r="O13" s="2999"/>
      <c r="P13" s="3675"/>
      <c r="Q13" s="1294">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0"/>
      <c r="M14" s="2991"/>
      <c r="N14" s="2991"/>
      <c r="O14" s="2999"/>
      <c r="P14" s="3675"/>
      <c r="Q14" s="1294">
        <f t="shared" si="6"/>
        <v>111</v>
      </c>
      <c r="R14" s="626" t="s">
        <v>25</v>
      </c>
      <c r="S14" s="627">
        <f t="shared" si="0"/>
        <v>100</v>
      </c>
      <c r="T14" s="626" t="s">
        <v>25</v>
      </c>
      <c r="U14" s="627">
        <f t="shared" si="1"/>
        <v>100</v>
      </c>
      <c r="V14" s="626" t="s">
        <v>25</v>
      </c>
      <c r="W14" s="627">
        <f t="shared" si="2"/>
        <v>100</v>
      </c>
      <c r="X14" s="628"/>
      <c r="Y14" s="3705"/>
      <c r="Z14" s="19">
        <f t="shared" si="7"/>
        <v>111</v>
      </c>
      <c r="AA14" s="629">
        <f t="shared" si="3"/>
        <v>1</v>
      </c>
      <c r="AB14" s="629">
        <f t="shared" si="4"/>
        <v>1</v>
      </c>
      <c r="AC14" s="629">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703" t="s">
        <v>2211</v>
      </c>
      <c r="Q15" s="1301" t="str">
        <f t="shared" si="6"/>
        <v>产业集聚程度</v>
      </c>
      <c r="R15" s="630" t="s">
        <v>25</v>
      </c>
      <c r="S15" s="631">
        <f t="shared" si="0"/>
        <v>100</v>
      </c>
      <c r="T15" s="630" t="s">
        <v>25</v>
      </c>
      <c r="U15" s="631">
        <f t="shared" si="1"/>
        <v>100</v>
      </c>
      <c r="V15" s="630" t="s">
        <v>25</v>
      </c>
      <c r="W15" s="631">
        <f t="shared" si="2"/>
        <v>100</v>
      </c>
      <c r="X15" s="1302"/>
      <c r="Y15" s="3703" t="s">
        <v>2211</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3000"/>
      <c r="M16" s="2991"/>
      <c r="N16" s="2991"/>
      <c r="O16" s="2999"/>
      <c r="P16" s="3704"/>
      <c r="Q16" s="1301"/>
      <c r="R16" s="630"/>
      <c r="S16" s="631"/>
      <c r="T16" s="630"/>
      <c r="U16" s="631"/>
      <c r="V16" s="630"/>
      <c r="W16" s="631"/>
      <c r="X16" s="1302"/>
      <c r="Y16" s="3704"/>
      <c r="Z16" s="1303"/>
      <c r="AA16" s="1304">
        <v>1</v>
      </c>
      <c r="AB16" s="1304">
        <v>1</v>
      </c>
      <c r="AC16" s="1304">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704"/>
      <c r="Q17" s="1301" t="str">
        <f>B17</f>
        <v>交通便捷度</v>
      </c>
      <c r="R17" s="630" t="s">
        <v>25</v>
      </c>
      <c r="S17" s="631">
        <f>F17</f>
        <v>100</v>
      </c>
      <c r="T17" s="630" t="s">
        <v>25</v>
      </c>
      <c r="U17" s="631">
        <f>H17</f>
        <v>100</v>
      </c>
      <c r="V17" s="630" t="s">
        <v>25</v>
      </c>
      <c r="W17" s="631">
        <f>J17</f>
        <v>100</v>
      </c>
      <c r="X17" s="1302"/>
      <c r="Y17" s="3704"/>
      <c r="Z17" s="1303" t="str">
        <f>Q17</f>
        <v>交通便捷度</v>
      </c>
      <c r="AA17" s="1304">
        <f t="shared" si="3"/>
        <v>1</v>
      </c>
      <c r="AB17" s="1304">
        <f t="shared" si="4"/>
        <v>1</v>
      </c>
      <c r="AC17" s="1304">
        <f t="shared" si="5"/>
        <v>1</v>
      </c>
    </row>
    <row r="18" spans="1:29" ht="15">
      <c r="A18" s="318"/>
      <c r="B18" s="345"/>
      <c r="C18" s="346"/>
      <c r="D18" s="339"/>
      <c r="E18" s="1099"/>
      <c r="F18" s="342"/>
      <c r="G18" s="1535"/>
      <c r="H18" s="336"/>
      <c r="I18" s="1099"/>
      <c r="J18" s="336"/>
      <c r="K18" s="501"/>
      <c r="L18" s="3000"/>
      <c r="M18" s="2991"/>
      <c r="N18" s="2991"/>
      <c r="O18" s="2999"/>
      <c r="P18" s="3704"/>
      <c r="Q18" s="1301"/>
      <c r="R18" s="630"/>
      <c r="S18" s="631"/>
      <c r="T18" s="630"/>
      <c r="U18" s="631"/>
      <c r="V18" s="630"/>
      <c r="W18" s="631"/>
      <c r="X18" s="1302"/>
      <c r="Y18" s="3704"/>
      <c r="Z18" s="1303"/>
      <c r="AA18" s="1304">
        <v>1</v>
      </c>
      <c r="AB18" s="1304">
        <v>1</v>
      </c>
      <c r="AC18" s="1304">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704"/>
      <c r="Q19" s="1301" t="str">
        <f>B19</f>
        <v>公共配套设施</v>
      </c>
      <c r="R19" s="630" t="s">
        <v>25</v>
      </c>
      <c r="S19" s="631">
        <f>F19</f>
        <v>100</v>
      </c>
      <c r="T19" s="630" t="s">
        <v>25</v>
      </c>
      <c r="U19" s="631">
        <f>H19</f>
        <v>100</v>
      </c>
      <c r="V19" s="630" t="s">
        <v>25</v>
      </c>
      <c r="W19" s="631">
        <f>J19</f>
        <v>100</v>
      </c>
      <c r="X19" s="1302"/>
      <c r="Y19" s="3704"/>
      <c r="Z19" s="1303" t="str">
        <f>Q19</f>
        <v>公共配套设施</v>
      </c>
      <c r="AA19" s="1304">
        <f t="shared" si="3"/>
        <v>1</v>
      </c>
      <c r="AB19" s="1304">
        <f t="shared" si="4"/>
        <v>1</v>
      </c>
      <c r="AC19" s="1304">
        <f t="shared" si="5"/>
        <v>1</v>
      </c>
    </row>
    <row r="20" spans="1:29" ht="15">
      <c r="A20" s="318"/>
      <c r="B20" s="514"/>
      <c r="C20" s="335"/>
      <c r="D20" s="336"/>
      <c r="E20" s="337"/>
      <c r="F20" s="338"/>
      <c r="G20" s="1533"/>
      <c r="H20" s="336"/>
      <c r="I20" s="337"/>
      <c r="J20" s="336"/>
      <c r="K20" s="501"/>
      <c r="L20" s="3000"/>
      <c r="M20" s="2991"/>
      <c r="N20" s="2991"/>
      <c r="O20" s="2999"/>
      <c r="P20" s="3704"/>
      <c r="Q20" s="1301"/>
      <c r="R20" s="630"/>
      <c r="S20" s="631"/>
      <c r="T20" s="630"/>
      <c r="U20" s="631"/>
      <c r="V20" s="630"/>
      <c r="W20" s="631"/>
      <c r="X20" s="1302"/>
      <c r="Y20" s="3704"/>
      <c r="Z20" s="1303"/>
      <c r="AA20" s="1304">
        <v>1</v>
      </c>
      <c r="AB20" s="1304">
        <v>1</v>
      </c>
      <c r="AC20" s="1304">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704"/>
      <c r="Q21" s="1301" t="str">
        <f>B21</f>
        <v>基础设施水平</v>
      </c>
      <c r="R21" s="630" t="s">
        <v>25</v>
      </c>
      <c r="S21" s="631">
        <f>F21</f>
        <v>100</v>
      </c>
      <c r="T21" s="630" t="s">
        <v>25</v>
      </c>
      <c r="U21" s="631">
        <f>H21</f>
        <v>100</v>
      </c>
      <c r="V21" s="630" t="s">
        <v>25</v>
      </c>
      <c r="W21" s="631">
        <f>J21</f>
        <v>100</v>
      </c>
      <c r="X21" s="1302"/>
      <c r="Y21" s="3704"/>
      <c r="Z21" s="1303" t="str">
        <f>Q21</f>
        <v>基础设施水平</v>
      </c>
      <c r="AA21" s="1304">
        <f t="shared" ref="AA21" si="8">D21/F21</f>
        <v>1</v>
      </c>
      <c r="AB21" s="1304">
        <f t="shared" ref="AB21" si="9">D21/H21</f>
        <v>1</v>
      </c>
      <c r="AC21" s="1304">
        <f t="shared" ref="AC21" si="10">D21/J21</f>
        <v>1</v>
      </c>
    </row>
    <row r="22" spans="1:29" ht="15">
      <c r="A22" s="318"/>
      <c r="B22" s="1536"/>
      <c r="C22" s="346"/>
      <c r="D22" s="336"/>
      <c r="E22" s="335"/>
      <c r="F22" s="338"/>
      <c r="G22" s="335"/>
      <c r="H22" s="336"/>
      <c r="I22" s="335"/>
      <c r="J22" s="336"/>
      <c r="K22" s="1100"/>
      <c r="L22" s="3000"/>
      <c r="M22" s="2991"/>
      <c r="N22" s="2991"/>
      <c r="O22" s="2999"/>
      <c r="P22" s="3704"/>
      <c r="Q22" s="1301"/>
      <c r="R22" s="630"/>
      <c r="S22" s="631"/>
      <c r="T22" s="630"/>
      <c r="U22" s="631"/>
      <c r="V22" s="630"/>
      <c r="W22" s="631"/>
      <c r="X22" s="1302"/>
      <c r="Y22" s="3704"/>
      <c r="Z22" s="1303"/>
      <c r="AA22" s="1304">
        <v>1</v>
      </c>
      <c r="AB22" s="1304">
        <v>1</v>
      </c>
      <c r="AC22" s="1304">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704"/>
      <c r="Q23" s="1301" t="str">
        <f>B23</f>
        <v>环境质量</v>
      </c>
      <c r="R23" s="630" t="s">
        <v>25</v>
      </c>
      <c r="S23" s="631">
        <f>F23</f>
        <v>100</v>
      </c>
      <c r="T23" s="630" t="s">
        <v>25</v>
      </c>
      <c r="U23" s="631">
        <f>H23</f>
        <v>100</v>
      </c>
      <c r="V23" s="630" t="s">
        <v>25</v>
      </c>
      <c r="W23" s="631">
        <f>J23</f>
        <v>100</v>
      </c>
      <c r="X23" s="1302"/>
      <c r="Y23" s="3704"/>
      <c r="Z23" s="1303" t="str">
        <f>Q23</f>
        <v>环境质量</v>
      </c>
      <c r="AA23" s="1304">
        <f t="shared" si="3"/>
        <v>1</v>
      </c>
      <c r="AB23" s="1304">
        <f t="shared" si="4"/>
        <v>1</v>
      </c>
      <c r="AC23" s="1304">
        <f t="shared" si="5"/>
        <v>1</v>
      </c>
    </row>
    <row r="24" spans="1:29" ht="15">
      <c r="A24" s="318"/>
      <c r="B24" s="1536"/>
      <c r="C24" s="335"/>
      <c r="D24" s="336"/>
      <c r="E24" s="337"/>
      <c r="F24" s="338"/>
      <c r="G24" s="1533"/>
      <c r="H24" s="336"/>
      <c r="I24" s="337"/>
      <c r="J24" s="336"/>
      <c r="K24" s="501"/>
      <c r="L24" s="3000"/>
      <c r="M24" s="2991"/>
      <c r="N24" s="2991"/>
      <c r="O24" s="2999"/>
      <c r="P24" s="3704"/>
      <c r="Q24" s="1301"/>
      <c r="R24" s="630"/>
      <c r="S24" s="631"/>
      <c r="T24" s="630"/>
      <c r="U24" s="631"/>
      <c r="V24" s="630"/>
      <c r="W24" s="631"/>
      <c r="X24" s="1302"/>
      <c r="Y24" s="3704"/>
      <c r="Z24" s="1303"/>
      <c r="AA24" s="1304">
        <v>1</v>
      </c>
      <c r="AB24" s="1304">
        <v>1</v>
      </c>
      <c r="AC24" s="1304">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704"/>
      <c r="Q25" s="1301">
        <f>B25</f>
        <v>111</v>
      </c>
      <c r="R25" s="630" t="s">
        <v>25</v>
      </c>
      <c r="S25" s="631">
        <f>F25</f>
        <v>100</v>
      </c>
      <c r="T25" s="630" t="s">
        <v>25</v>
      </c>
      <c r="U25" s="631">
        <f>H25</f>
        <v>100</v>
      </c>
      <c r="V25" s="630" t="s">
        <v>25</v>
      </c>
      <c r="W25" s="631">
        <f>J25</f>
        <v>100</v>
      </c>
      <c r="X25" s="1302"/>
      <c r="Y25" s="3704"/>
      <c r="Z25" s="1303">
        <f>Q25</f>
        <v>111</v>
      </c>
      <c r="AA25" s="1304">
        <f t="shared" si="3"/>
        <v>1</v>
      </c>
      <c r="AB25" s="1304">
        <f t="shared" si="4"/>
        <v>1</v>
      </c>
      <c r="AC25" s="1304">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704"/>
      <c r="Q26" s="1301">
        <f t="shared" ref="Q26:Q40" si="11">B26</f>
        <v>111</v>
      </c>
      <c r="R26" s="630" t="s">
        <v>25</v>
      </c>
      <c r="S26" s="631">
        <f>F26</f>
        <v>100</v>
      </c>
      <c r="T26" s="630" t="s">
        <v>25</v>
      </c>
      <c r="U26" s="631">
        <f>H26</f>
        <v>100</v>
      </c>
      <c r="V26" s="630" t="s">
        <v>25</v>
      </c>
      <c r="W26" s="631">
        <f>J26</f>
        <v>100</v>
      </c>
      <c r="X26" s="1302"/>
      <c r="Y26" s="3704"/>
      <c r="Z26" s="1303">
        <f>Q26</f>
        <v>111</v>
      </c>
      <c r="AA26" s="1304">
        <f t="shared" si="3"/>
        <v>1</v>
      </c>
      <c r="AB26" s="1304">
        <f t="shared" si="4"/>
        <v>1</v>
      </c>
      <c r="AC26" s="1304">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704"/>
      <c r="Q27" s="1294">
        <f t="shared" si="11"/>
        <v>111</v>
      </c>
      <c r="R27" s="626" t="s">
        <v>25</v>
      </c>
      <c r="S27" s="627">
        <f>F27</f>
        <v>100</v>
      </c>
      <c r="T27" s="626" t="s">
        <v>25</v>
      </c>
      <c r="U27" s="627">
        <f>H27</f>
        <v>100</v>
      </c>
      <c r="V27" s="626" t="s">
        <v>25</v>
      </c>
      <c r="W27" s="627">
        <f>J27</f>
        <v>100</v>
      </c>
      <c r="X27" s="628"/>
      <c r="Y27" s="3704"/>
      <c r="Z27" s="19">
        <f>Q27</f>
        <v>111</v>
      </c>
      <c r="AA27" s="1304">
        <f>D27/F27</f>
        <v>1</v>
      </c>
      <c r="AB27" s="1304">
        <f>D27/H27</f>
        <v>1</v>
      </c>
      <c r="AC27" s="1304">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704"/>
      <c r="Q28" s="1301">
        <f t="shared" si="11"/>
        <v>111</v>
      </c>
      <c r="R28" s="630" t="s">
        <v>25</v>
      </c>
      <c r="S28" s="631">
        <f t="shared" ref="S28:S40" si="12">F28</f>
        <v>100</v>
      </c>
      <c r="T28" s="630" t="s">
        <v>25</v>
      </c>
      <c r="U28" s="631">
        <f t="shared" ref="U28:U40" si="13">H28</f>
        <v>100</v>
      </c>
      <c r="V28" s="630" t="s">
        <v>25</v>
      </c>
      <c r="W28" s="631">
        <f t="shared" ref="W28:W40" si="14">J28</f>
        <v>100</v>
      </c>
      <c r="X28" s="1302"/>
      <c r="Y28" s="3704"/>
      <c r="Z28" s="1303">
        <f t="shared" ref="Z28:Z40" si="15">Q28</f>
        <v>111</v>
      </c>
      <c r="AA28" s="1304">
        <f t="shared" si="3"/>
        <v>1</v>
      </c>
      <c r="AB28" s="1304">
        <f t="shared" si="4"/>
        <v>1</v>
      </c>
      <c r="AC28" s="1304">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3000"/>
      <c r="M29" s="2991"/>
      <c r="N29" s="2991"/>
      <c r="O29" s="2999"/>
      <c r="P29" s="3706" t="s">
        <v>2217</v>
      </c>
      <c r="Q29" s="1301" t="str">
        <f t="shared" si="11"/>
        <v>建筑类型</v>
      </c>
      <c r="R29" s="630" t="s">
        <v>25</v>
      </c>
      <c r="S29" s="631">
        <f t="shared" si="12"/>
        <v>100</v>
      </c>
      <c r="T29" s="630" t="s">
        <v>25</v>
      </c>
      <c r="U29" s="631">
        <f t="shared" si="13"/>
        <v>100</v>
      </c>
      <c r="V29" s="630" t="s">
        <v>25</v>
      </c>
      <c r="W29" s="631">
        <f t="shared" si="14"/>
        <v>100</v>
      </c>
      <c r="X29" s="1302"/>
      <c r="Y29" s="3707" t="s">
        <v>2217</v>
      </c>
      <c r="Z29" s="1303" t="str">
        <f t="shared" si="15"/>
        <v>建筑类型</v>
      </c>
      <c r="AA29" s="1304">
        <f t="shared" si="3"/>
        <v>1</v>
      </c>
      <c r="AB29" s="1304">
        <f t="shared" si="4"/>
        <v>1</v>
      </c>
      <c r="AC29" s="1304">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707"/>
      <c r="Q30" s="632" t="str">
        <f t="shared" si="11"/>
        <v>项目建筑规模</v>
      </c>
      <c r="R30" s="633" t="s">
        <v>25</v>
      </c>
      <c r="S30" s="634" t="e">
        <f t="shared" si="12"/>
        <v>#N/A</v>
      </c>
      <c r="T30" s="633" t="s">
        <v>25</v>
      </c>
      <c r="U30" s="634" t="e">
        <f t="shared" si="13"/>
        <v>#N/A</v>
      </c>
      <c r="V30" s="633" t="s">
        <v>25</v>
      </c>
      <c r="W30" s="634" t="e">
        <f t="shared" si="14"/>
        <v>#N/A</v>
      </c>
      <c r="X30" s="635"/>
      <c r="Y30" s="3707"/>
      <c r="Z30" s="636" t="str">
        <f t="shared" si="15"/>
        <v>项目建筑规模</v>
      </c>
      <c r="AA30" s="1304" t="e">
        <f t="shared" si="3"/>
        <v>#N/A</v>
      </c>
      <c r="AB30" s="1304" t="e">
        <f t="shared" si="4"/>
        <v>#N/A</v>
      </c>
      <c r="AC30" s="1304"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707"/>
      <c r="Q31" s="1301" t="str">
        <f t="shared" si="11"/>
        <v>建筑结构</v>
      </c>
      <c r="R31" s="630" t="s">
        <v>25</v>
      </c>
      <c r="S31" s="631">
        <f t="shared" si="12"/>
        <v>100</v>
      </c>
      <c r="T31" s="630" t="s">
        <v>25</v>
      </c>
      <c r="U31" s="631">
        <f t="shared" si="13"/>
        <v>100</v>
      </c>
      <c r="V31" s="630" t="s">
        <v>25</v>
      </c>
      <c r="W31" s="631">
        <f t="shared" si="14"/>
        <v>100</v>
      </c>
      <c r="X31" s="1302"/>
      <c r="Y31" s="3707"/>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707"/>
      <c r="Q32" s="1301" t="str">
        <f t="shared" si="11"/>
        <v>公共部分装修</v>
      </c>
      <c r="R32" s="630" t="s">
        <v>25</v>
      </c>
      <c r="S32" s="631">
        <f t="shared" si="12"/>
        <v>100</v>
      </c>
      <c r="T32" s="630" t="s">
        <v>25</v>
      </c>
      <c r="U32" s="631">
        <f t="shared" si="13"/>
        <v>100</v>
      </c>
      <c r="V32" s="630" t="s">
        <v>25</v>
      </c>
      <c r="W32" s="631">
        <f t="shared" si="14"/>
        <v>100</v>
      </c>
      <c r="X32" s="1302"/>
      <c r="Y32" s="3707"/>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707"/>
      <c r="Q33" s="1301" t="str">
        <f t="shared" si="11"/>
        <v>成新度</v>
      </c>
      <c r="R33" s="630" t="s">
        <v>25</v>
      </c>
      <c r="S33" s="631" t="e">
        <f t="shared" si="12"/>
        <v>#N/A</v>
      </c>
      <c r="T33" s="630" t="s">
        <v>25</v>
      </c>
      <c r="U33" s="631" t="e">
        <f t="shared" si="13"/>
        <v>#N/A</v>
      </c>
      <c r="V33" s="630" t="s">
        <v>25</v>
      </c>
      <c r="W33" s="631" t="e">
        <f t="shared" si="14"/>
        <v>#N/A</v>
      </c>
      <c r="X33" s="1302"/>
      <c r="Y33" s="3707"/>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707"/>
      <c r="Q34" s="1294" t="str">
        <f t="shared" si="11"/>
        <v>物业管理</v>
      </c>
      <c r="R34" s="626" t="s">
        <v>25</v>
      </c>
      <c r="S34" s="627">
        <f t="shared" si="12"/>
        <v>100</v>
      </c>
      <c r="T34" s="626" t="s">
        <v>25</v>
      </c>
      <c r="U34" s="627">
        <f t="shared" si="13"/>
        <v>100</v>
      </c>
      <c r="V34" s="626" t="s">
        <v>25</v>
      </c>
      <c r="W34" s="627">
        <f t="shared" si="14"/>
        <v>100</v>
      </c>
      <c r="X34" s="628"/>
      <c r="Y34" s="3707"/>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707" t="s">
        <v>2217</v>
      </c>
      <c r="Q35" s="1301" t="str">
        <f t="shared" si="11"/>
        <v>市政基础设施</v>
      </c>
      <c r="R35" s="630" t="s">
        <v>25</v>
      </c>
      <c r="S35" s="631">
        <f t="shared" si="12"/>
        <v>100</v>
      </c>
      <c r="T35" s="630" t="s">
        <v>25</v>
      </c>
      <c r="U35" s="631">
        <f t="shared" si="13"/>
        <v>100</v>
      </c>
      <c r="V35" s="630" t="s">
        <v>25</v>
      </c>
      <c r="W35" s="631">
        <f t="shared" si="14"/>
        <v>100</v>
      </c>
      <c r="X35" s="1302"/>
      <c r="Y35" s="3707" t="s">
        <v>2217</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707"/>
      <c r="Q36" s="1301" t="str">
        <f t="shared" si="11"/>
        <v>内部装修</v>
      </c>
      <c r="R36" s="630" t="s">
        <v>25</v>
      </c>
      <c r="S36" s="631">
        <f t="shared" si="12"/>
        <v>100</v>
      </c>
      <c r="T36" s="630" t="s">
        <v>25</v>
      </c>
      <c r="U36" s="631">
        <f t="shared" si="13"/>
        <v>100</v>
      </c>
      <c r="V36" s="630" t="s">
        <v>25</v>
      </c>
      <c r="W36" s="631">
        <f t="shared" si="14"/>
        <v>100</v>
      </c>
      <c r="X36" s="1302"/>
      <c r="Y36" s="3707"/>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707"/>
      <c r="Q37" s="1301" t="str">
        <f t="shared" si="11"/>
        <v>内部装修状况</v>
      </c>
      <c r="R37" s="630" t="s">
        <v>25</v>
      </c>
      <c r="S37" s="631">
        <f t="shared" si="12"/>
        <v>100</v>
      </c>
      <c r="T37" s="630" t="s">
        <v>25</v>
      </c>
      <c r="U37" s="631">
        <f t="shared" si="13"/>
        <v>100</v>
      </c>
      <c r="V37" s="630" t="s">
        <v>25</v>
      </c>
      <c r="W37" s="631">
        <f t="shared" si="14"/>
        <v>100</v>
      </c>
      <c r="X37" s="1302"/>
      <c r="Y37" s="3707"/>
      <c r="Z37" s="1303" t="str">
        <f t="shared" si="15"/>
        <v>内部装修状况</v>
      </c>
      <c r="AA37" s="1304">
        <f t="shared" si="3"/>
        <v>1</v>
      </c>
      <c r="AB37" s="1304">
        <f t="shared" si="4"/>
        <v>1</v>
      </c>
      <c r="AC37" s="1304">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707"/>
      <c r="Q38" s="632">
        <f t="shared" si="11"/>
        <v>111</v>
      </c>
      <c r="R38" s="633" t="s">
        <v>25</v>
      </c>
      <c r="S38" s="634">
        <f t="shared" si="12"/>
        <v>100</v>
      </c>
      <c r="T38" s="633" t="s">
        <v>25</v>
      </c>
      <c r="U38" s="634">
        <f t="shared" si="13"/>
        <v>100</v>
      </c>
      <c r="V38" s="633" t="s">
        <v>25</v>
      </c>
      <c r="W38" s="634">
        <f t="shared" si="14"/>
        <v>100</v>
      </c>
      <c r="X38" s="635"/>
      <c r="Y38" s="3707"/>
      <c r="Z38" s="636">
        <f t="shared" si="15"/>
        <v>111</v>
      </c>
      <c r="AA38" s="1304">
        <f t="shared" si="3"/>
        <v>1</v>
      </c>
      <c r="AB38" s="1304">
        <f t="shared" si="4"/>
        <v>1</v>
      </c>
      <c r="AC38" s="1304">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707"/>
      <c r="Q39" s="1301">
        <f t="shared" si="11"/>
        <v>111</v>
      </c>
      <c r="R39" s="630" t="s">
        <v>25</v>
      </c>
      <c r="S39" s="631">
        <f t="shared" si="12"/>
        <v>100</v>
      </c>
      <c r="T39" s="630" t="s">
        <v>25</v>
      </c>
      <c r="U39" s="631">
        <f t="shared" si="13"/>
        <v>100</v>
      </c>
      <c r="V39" s="630" t="s">
        <v>25</v>
      </c>
      <c r="W39" s="631">
        <f t="shared" si="14"/>
        <v>100</v>
      </c>
      <c r="X39" s="1302"/>
      <c r="Y39" s="3707"/>
      <c r="Z39" s="1303">
        <f t="shared" si="15"/>
        <v>111</v>
      </c>
      <c r="AA39" s="1304">
        <f t="shared" si="3"/>
        <v>1</v>
      </c>
      <c r="AB39" s="1304">
        <f t="shared" si="4"/>
        <v>1</v>
      </c>
      <c r="AC39" s="1304">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708"/>
      <c r="Q40" s="1301">
        <f t="shared" si="11"/>
        <v>111</v>
      </c>
      <c r="R40" s="630" t="s">
        <v>25</v>
      </c>
      <c r="S40" s="631">
        <f t="shared" si="12"/>
        <v>100</v>
      </c>
      <c r="T40" s="630" t="s">
        <v>25</v>
      </c>
      <c r="U40" s="631">
        <f t="shared" si="13"/>
        <v>100</v>
      </c>
      <c r="V40" s="630" t="s">
        <v>25</v>
      </c>
      <c r="W40" s="631">
        <f t="shared" si="14"/>
        <v>100</v>
      </c>
      <c r="X40" s="1302"/>
      <c r="Y40" s="3708"/>
      <c r="Z40" s="1303">
        <f t="shared" si="15"/>
        <v>111</v>
      </c>
      <c r="AA40" s="1304">
        <f t="shared" si="3"/>
        <v>1</v>
      </c>
      <c r="AB40" s="1304">
        <f t="shared" si="4"/>
        <v>1</v>
      </c>
      <c r="AC40" s="1304">
        <f t="shared" si="5"/>
        <v>1</v>
      </c>
    </row>
    <row r="41" spans="1:29" ht="15">
      <c r="A41" s="367" t="s">
        <v>2229</v>
      </c>
      <c r="B41" s="368"/>
      <c r="C41" s="1121" t="s">
        <v>1</v>
      </c>
      <c r="D41" s="1122"/>
      <c r="E41" s="1123"/>
      <c r="F41" s="1124"/>
      <c r="G41" s="1125"/>
      <c r="H41" s="1126"/>
      <c r="I41" s="1123"/>
      <c r="J41" s="1126"/>
      <c r="K41" s="639"/>
      <c r="L41" s="3002"/>
      <c r="N41" s="2991"/>
      <c r="P41" s="3675" t="str">
        <f>A41</f>
        <v>成交单价（元/平方米）</v>
      </c>
      <c r="Q41" s="3675"/>
      <c r="R41" s="3709">
        <f>E41</f>
        <v>0</v>
      </c>
      <c r="S41" s="3709"/>
      <c r="T41" s="3709">
        <f>G41</f>
        <v>0</v>
      </c>
      <c r="U41" s="3709"/>
      <c r="V41" s="3709">
        <f>I41</f>
        <v>0</v>
      </c>
      <c r="W41" s="3709"/>
      <c r="X41" s="617"/>
      <c r="Y41" s="637"/>
      <c r="Z41" s="617"/>
      <c r="AA41" s="617"/>
      <c r="AB41" s="617"/>
      <c r="AC41" s="617"/>
    </row>
    <row r="42" spans="1:29" ht="15.75" thickBot="1">
      <c r="A42" s="374" t="s">
        <v>2312</v>
      </c>
      <c r="B42" s="375"/>
      <c r="C42" s="1127" t="e">
        <f>R43</f>
        <v>#DIV/0!</v>
      </c>
      <c r="D42" s="1764" t="s">
        <v>2686</v>
      </c>
      <c r="E42" s="1128" t="e">
        <f>R42</f>
        <v>#DIV/0!</v>
      </c>
      <c r="F42" s="1766"/>
      <c r="G42" s="1127" t="e">
        <f>T42</f>
        <v>#DIV/0!</v>
      </c>
      <c r="H42" s="1766"/>
      <c r="I42" s="1128" t="e">
        <f>V42</f>
        <v>#DIV/0!</v>
      </c>
      <c r="J42" s="1766"/>
      <c r="K42" s="2478">
        <f>F42+H42+J42</f>
        <v>0</v>
      </c>
      <c r="L42" s="3002"/>
      <c r="N42" s="2991"/>
      <c r="P42" s="3675" t="str">
        <f>A42</f>
        <v>比较价值（元/平方米）</v>
      </c>
      <c r="Q42" s="3675"/>
      <c r="R42" s="3709" t="e">
        <f>IF(E1="售价",ROUND(PRODUCT(R41,AA7:AA40),0),ROUND(PRODUCT(R41,AA7:AA40),1))</f>
        <v>#DIV/0!</v>
      </c>
      <c r="S42" s="3709"/>
      <c r="T42" s="3709" t="e">
        <f>IF(E1="售价",ROUND(PRODUCT(T41,AB7:AB40),0),ROUND(PRODUCT(T41,AB7:AB40),1))</f>
        <v>#DIV/0!</v>
      </c>
      <c r="U42" s="3709"/>
      <c r="V42" s="3709" t="e">
        <f>IF(E1="售价",ROUND(PRODUCT(V41,AC7:AC40),0),ROUND(PRODUCT(V41,AC7:AC40),1))</f>
        <v>#DIV/0!</v>
      </c>
      <c r="W42" s="3709"/>
      <c r="X42" s="617"/>
      <c r="Y42" s="617"/>
      <c r="Z42" s="617"/>
      <c r="AA42" s="617"/>
      <c r="AB42" s="617"/>
      <c r="AC42" s="617"/>
    </row>
    <row r="43" spans="1:29" ht="15.75" thickBot="1">
      <c r="A43" s="378" t="s">
        <v>2335</v>
      </c>
      <c r="B43" s="379"/>
      <c r="C43" s="1129" t="e">
        <f>R43</f>
        <v>#DIV/0!</v>
      </c>
      <c r="D43" s="1129"/>
      <c r="E43" s="1129"/>
      <c r="F43" s="1129"/>
      <c r="G43" s="1129"/>
      <c r="H43" s="1129"/>
      <c r="I43" s="1129"/>
      <c r="J43" s="1129"/>
      <c r="K43" s="640"/>
      <c r="L43" s="3002"/>
      <c r="P43" s="3710" t="str">
        <f>A43</f>
        <v>估价对象XX用房的比较价值（楼面单价，元/平方米）</v>
      </c>
      <c r="Q43" s="3711"/>
      <c r="R43" s="3712" t="e">
        <f>IF(E1="售价",ROUND(IF(D42="简单平均",AVERAGE(R42:V42),R42*F42+T42*H42+V42*J42),0),ROUND(IF(D42="简单平均",AVERAGE(R42:V42),R42*F42+T42*H42+V42*J42),1))</f>
        <v>#DIV/0!</v>
      </c>
      <c r="S43" s="3712"/>
      <c r="T43" s="3712"/>
      <c r="U43" s="3712"/>
      <c r="V43" s="3712"/>
      <c r="W43" s="3712"/>
      <c r="X43" s="617"/>
      <c r="Y43" s="617"/>
      <c r="Z43" s="617"/>
      <c r="AA43" s="617"/>
      <c r="AB43" s="617"/>
      <c r="AC43" s="617"/>
    </row>
    <row r="44" spans="1:29">
      <c r="G44" s="3005"/>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19" t="s">
        <v>2317</v>
      </c>
      <c r="B51" s="617"/>
      <c r="C51" s="620"/>
      <c r="D51" s="620"/>
      <c r="E51" s="620"/>
      <c r="F51" s="621"/>
      <c r="G51" s="621"/>
      <c r="H51" s="620"/>
      <c r="I51" s="620"/>
      <c r="J51" s="620"/>
      <c r="K51" s="622"/>
      <c r="L51" s="623"/>
      <c r="M51" s="620"/>
      <c r="N51" s="3008"/>
      <c r="O51" s="3008"/>
      <c r="P51" s="389"/>
      <c r="Q51" s="390"/>
    </row>
    <row r="52" spans="1:17" s="394" customFormat="1" ht="15">
      <c r="A52" s="391" t="s">
        <v>2199</v>
      </c>
      <c r="B52" s="392"/>
      <c r="C52" s="1155" t="str">
        <f>YEAR(C7)&amp;"-"&amp;MONTH(C7)</f>
        <v>2021-12</v>
      </c>
      <c r="D52" s="1156">
        <f>EDATE(C52,-1)</f>
        <v>44501</v>
      </c>
      <c r="E52" s="1157">
        <f t="shared" ref="E52:O52" si="16">EDATE(D52,-1)</f>
        <v>44470</v>
      </c>
      <c r="F52" s="1157">
        <f t="shared" si="16"/>
        <v>44440</v>
      </c>
      <c r="G52" s="1157">
        <f t="shared" si="16"/>
        <v>44409</v>
      </c>
      <c r="H52" s="1157">
        <f t="shared" si="16"/>
        <v>44378</v>
      </c>
      <c r="I52" s="1157">
        <f t="shared" si="16"/>
        <v>44348</v>
      </c>
      <c r="J52" s="1157">
        <f t="shared" si="16"/>
        <v>44317</v>
      </c>
      <c r="K52" s="1157">
        <f t="shared" si="16"/>
        <v>44287</v>
      </c>
      <c r="L52" s="1157">
        <f t="shared" si="16"/>
        <v>44256</v>
      </c>
      <c r="M52" s="1157">
        <f t="shared" si="16"/>
        <v>44228</v>
      </c>
      <c r="N52" s="1157">
        <f t="shared" si="16"/>
        <v>44197</v>
      </c>
      <c r="O52" s="1157">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0"/>
      <c r="E1" s="1526"/>
      <c r="F1" s="1191" t="s">
        <v>2184</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362.84</v>
      </c>
      <c r="E3" s="838" t="s">
        <v>2347</v>
      </c>
      <c r="F3" s="293">
        <f>'数据-取费表'!B42</f>
        <v>0</v>
      </c>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3" t="s">
        <v>2187</v>
      </c>
      <c r="D4" s="3684"/>
      <c r="E4" s="3685" t="s">
        <v>2188</v>
      </c>
      <c r="F4" s="3686"/>
      <c r="G4" s="3683" t="s">
        <v>2189</v>
      </c>
      <c r="H4" s="3684"/>
      <c r="I4" s="3683" t="s">
        <v>2190</v>
      </c>
      <c r="J4" s="3684"/>
      <c r="K4" s="496" t="s">
        <v>2191</v>
      </c>
      <c r="L4" s="2990"/>
      <c r="M4" s="2991"/>
      <c r="N4" s="2991"/>
      <c r="O4" s="2991"/>
      <c r="P4" s="3687" t="s">
        <v>2192</v>
      </c>
      <c r="Q4" s="3688"/>
      <c r="R4" s="3693" t="s">
        <v>2188</v>
      </c>
      <c r="S4" s="3694"/>
      <c r="T4" s="3693" t="s">
        <v>2189</v>
      </c>
      <c r="U4" s="3694"/>
      <c r="V4" s="3699" t="s">
        <v>2190</v>
      </c>
      <c r="W4" s="3699"/>
      <c r="X4" s="1302"/>
      <c r="Y4" s="3693" t="s">
        <v>2192</v>
      </c>
      <c r="Z4" s="3694"/>
      <c r="AA4" s="3680" t="s">
        <v>2188</v>
      </c>
      <c r="AB4" s="3681" t="s">
        <v>2189</v>
      </c>
      <c r="AC4" s="3680" t="s">
        <v>2190</v>
      </c>
    </row>
    <row r="5" spans="1:29" ht="15">
      <c r="A5" s="297"/>
      <c r="B5" s="298"/>
      <c r="C5" s="3676" t="s">
        <v>2193</v>
      </c>
      <c r="D5" s="3677"/>
      <c r="E5" s="3700" t="s">
        <v>2194</v>
      </c>
      <c r="F5" s="3701"/>
      <c r="G5" s="3676" t="s">
        <v>2195</v>
      </c>
      <c r="H5" s="3677"/>
      <c r="I5" s="3676" t="s">
        <v>2196</v>
      </c>
      <c r="J5" s="3677"/>
      <c r="K5" s="496"/>
      <c r="L5" s="2990"/>
      <c r="M5" s="2991"/>
      <c r="N5" s="2991"/>
      <c r="O5" s="2991"/>
      <c r="P5" s="3689"/>
      <c r="Q5" s="3690"/>
      <c r="R5" s="3695"/>
      <c r="S5" s="3696"/>
      <c r="T5" s="3695"/>
      <c r="U5" s="3696"/>
      <c r="V5" s="3699"/>
      <c r="W5" s="3699"/>
      <c r="X5" s="1302"/>
      <c r="Y5" s="3695"/>
      <c r="Z5" s="3696"/>
      <c r="AA5" s="3681"/>
      <c r="AB5" s="3681"/>
      <c r="AC5" s="3681"/>
    </row>
    <row r="6" spans="1:29" ht="15.75" thickBot="1">
      <c r="A6" s="299"/>
      <c r="B6" s="300"/>
      <c r="C6" s="3673" t="s">
        <v>2197</v>
      </c>
      <c r="D6" s="3674"/>
      <c r="E6" s="3671" t="s">
        <v>2197</v>
      </c>
      <c r="F6" s="3672"/>
      <c r="G6" s="3673" t="s">
        <v>2197</v>
      </c>
      <c r="H6" s="3674"/>
      <c r="I6" s="3673" t="s">
        <v>2197</v>
      </c>
      <c r="J6" s="3674"/>
      <c r="K6" s="496" t="s">
        <v>2198</v>
      </c>
      <c r="L6" s="2990"/>
      <c r="M6" s="2991"/>
      <c r="N6" s="2991"/>
      <c r="O6" s="2991"/>
      <c r="P6" s="3691"/>
      <c r="Q6" s="3692"/>
      <c r="R6" s="3695"/>
      <c r="S6" s="3696"/>
      <c r="T6" s="3697"/>
      <c r="U6" s="3698"/>
      <c r="V6" s="3699"/>
      <c r="W6" s="3699"/>
      <c r="X6" s="1302"/>
      <c r="Y6" s="3697"/>
      <c r="Z6" s="3698"/>
      <c r="AA6" s="3682"/>
      <c r="AB6" s="3682"/>
      <c r="AC6" s="3682"/>
    </row>
    <row r="7" spans="1:29" s="25" customFormat="1" ht="15.75" thickBot="1">
      <c r="A7" s="301" t="s">
        <v>2199</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78" t="s">
        <v>2200</v>
      </c>
      <c r="Q7" s="3702"/>
      <c r="R7" s="626" t="s">
        <v>25</v>
      </c>
      <c r="S7" s="627">
        <f t="shared" ref="S7:S14" si="0">F7</f>
        <v>0</v>
      </c>
      <c r="T7" s="626" t="s">
        <v>25</v>
      </c>
      <c r="U7" s="627">
        <f t="shared" ref="U7:U14" si="1">H7</f>
        <v>0</v>
      </c>
      <c r="V7" s="626" t="s">
        <v>25</v>
      </c>
      <c r="W7" s="627">
        <f t="shared" ref="W7:W14" si="2">J7</f>
        <v>0</v>
      </c>
      <c r="X7" s="628"/>
      <c r="Y7" s="3678" t="s">
        <v>2200</v>
      </c>
      <c r="Z7" s="3679"/>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78" t="s">
        <v>2203</v>
      </c>
      <c r="Q8" s="3679"/>
      <c r="R8" s="626" t="s">
        <v>25</v>
      </c>
      <c r="S8" s="627">
        <f t="shared" si="0"/>
        <v>0</v>
      </c>
      <c r="T8" s="626" t="s">
        <v>25</v>
      </c>
      <c r="U8" s="627">
        <f t="shared" si="1"/>
        <v>0</v>
      </c>
      <c r="V8" s="626" t="s">
        <v>25</v>
      </c>
      <c r="W8" s="627">
        <f t="shared" si="2"/>
        <v>0</v>
      </c>
      <c r="X8" s="628"/>
      <c r="Y8" s="3678" t="s">
        <v>2203</v>
      </c>
      <c r="Z8" s="3679"/>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75" t="s">
        <v>2206</v>
      </c>
      <c r="Q9" s="1294" t="str">
        <f t="shared" ref="Q9:Q14" si="6">B9</f>
        <v>用途</v>
      </c>
      <c r="R9" s="626" t="s">
        <v>25</v>
      </c>
      <c r="S9" s="627">
        <f t="shared" si="0"/>
        <v>100</v>
      </c>
      <c r="T9" s="626" t="s">
        <v>25</v>
      </c>
      <c r="U9" s="627">
        <f t="shared" si="1"/>
        <v>100</v>
      </c>
      <c r="V9" s="626" t="s">
        <v>25</v>
      </c>
      <c r="W9" s="627">
        <f t="shared" si="2"/>
        <v>100</v>
      </c>
      <c r="X9" s="628"/>
      <c r="Y9" s="3705"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75"/>
      <c r="Q10" s="1294" t="str">
        <f t="shared" si="6"/>
        <v>土地使用年限（年）</v>
      </c>
      <c r="R10" s="626" t="s">
        <v>25</v>
      </c>
      <c r="S10" s="627">
        <f t="shared" si="0"/>
        <v>100</v>
      </c>
      <c r="T10" s="626" t="s">
        <v>25</v>
      </c>
      <c r="U10" s="627">
        <f t="shared" si="1"/>
        <v>100</v>
      </c>
      <c r="V10" s="626" t="s">
        <v>25</v>
      </c>
      <c r="W10" s="627">
        <f t="shared" si="2"/>
        <v>100</v>
      </c>
      <c r="X10" s="628"/>
      <c r="Y10" s="3705"/>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75"/>
      <c r="Q11" s="1294">
        <f t="shared" si="6"/>
        <v>111</v>
      </c>
      <c r="R11" s="626" t="s">
        <v>25</v>
      </c>
      <c r="S11" s="627">
        <f t="shared" si="0"/>
        <v>100</v>
      </c>
      <c r="T11" s="626" t="s">
        <v>25</v>
      </c>
      <c r="U11" s="627">
        <f t="shared" si="1"/>
        <v>100</v>
      </c>
      <c r="V11" s="626" t="s">
        <v>25</v>
      </c>
      <c r="W11" s="627">
        <f t="shared" si="2"/>
        <v>100</v>
      </c>
      <c r="X11" s="628"/>
      <c r="Y11" s="3705"/>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75"/>
      <c r="Q12" s="1294">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75"/>
      <c r="Q13" s="1294">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85.5">
      <c r="A14" s="294" t="s">
        <v>2210</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703" t="s">
        <v>2211</v>
      </c>
      <c r="Q14" s="1301" t="str">
        <f t="shared" si="6"/>
        <v>交通便捷度</v>
      </c>
      <c r="R14" s="630" t="s">
        <v>25</v>
      </c>
      <c r="S14" s="631">
        <f t="shared" si="0"/>
        <v>100</v>
      </c>
      <c r="T14" s="630" t="s">
        <v>25</v>
      </c>
      <c r="U14" s="631">
        <f t="shared" si="1"/>
        <v>100</v>
      </c>
      <c r="V14" s="630" t="s">
        <v>25</v>
      </c>
      <c r="W14" s="631">
        <f t="shared" si="2"/>
        <v>100</v>
      </c>
      <c r="X14" s="1302"/>
      <c r="Y14" s="3703" t="s">
        <v>2211</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3000"/>
      <c r="M15" s="2991"/>
      <c r="N15" s="2991"/>
      <c r="O15" s="2999"/>
      <c r="P15" s="3704"/>
      <c r="Q15" s="1301"/>
      <c r="R15" s="630"/>
      <c r="S15" s="631"/>
      <c r="T15" s="630"/>
      <c r="U15" s="631"/>
      <c r="V15" s="630"/>
      <c r="W15" s="631"/>
      <c r="X15" s="1302"/>
      <c r="Y15" s="3704"/>
      <c r="Z15" s="1303"/>
      <c r="AA15" s="1304">
        <v>1</v>
      </c>
      <c r="AB15" s="1304">
        <v>1</v>
      </c>
      <c r="AC15" s="1304">
        <v>1</v>
      </c>
    </row>
    <row r="16" spans="1:29" ht="42.75">
      <c r="A16" s="297"/>
      <c r="B16" s="513" t="s">
        <v>2326</v>
      </c>
      <c r="C16" s="1113" t="str">
        <f>IF(B1="工业",估价对象房地状况!G5,估价对象房地状况!C7)</f>
        <v>估价对象所在区域公共配套设施齐备情况</v>
      </c>
      <c r="D16" s="1107">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704"/>
      <c r="Q16" s="1301" t="str">
        <f>B16</f>
        <v>公共配套设施</v>
      </c>
      <c r="R16" s="630" t="s">
        <v>25</v>
      </c>
      <c r="S16" s="631">
        <f>F16</f>
        <v>100</v>
      </c>
      <c r="T16" s="630" t="s">
        <v>25</v>
      </c>
      <c r="U16" s="631">
        <f>H16</f>
        <v>100</v>
      </c>
      <c r="V16" s="630" t="s">
        <v>25</v>
      </c>
      <c r="W16" s="631">
        <f>J16</f>
        <v>100</v>
      </c>
      <c r="X16" s="1302"/>
      <c r="Y16" s="3704"/>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3000"/>
      <c r="M17" s="2991"/>
      <c r="N17" s="2991"/>
      <c r="O17" s="2999"/>
      <c r="P17" s="3704"/>
      <c r="Q17" s="1301"/>
      <c r="R17" s="630"/>
      <c r="S17" s="631"/>
      <c r="T17" s="630"/>
      <c r="U17" s="631"/>
      <c r="V17" s="630"/>
      <c r="W17" s="631"/>
      <c r="X17" s="1302"/>
      <c r="Y17" s="3704"/>
      <c r="Z17" s="1303"/>
      <c r="AA17" s="1304">
        <v>1</v>
      </c>
      <c r="AB17" s="1304">
        <v>1</v>
      </c>
      <c r="AC17" s="1304">
        <v>1</v>
      </c>
    </row>
    <row r="18" spans="1:29" ht="28.5">
      <c r="A18" s="297"/>
      <c r="B18" s="515" t="s">
        <v>2327</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704"/>
      <c r="Q18" s="1301" t="str">
        <f>B18</f>
        <v>基础设施水平</v>
      </c>
      <c r="R18" s="630" t="s">
        <v>25</v>
      </c>
      <c r="S18" s="631">
        <f>F18</f>
        <v>100</v>
      </c>
      <c r="T18" s="630" t="s">
        <v>25</v>
      </c>
      <c r="U18" s="631">
        <f>H18</f>
        <v>100</v>
      </c>
      <c r="V18" s="630" t="s">
        <v>25</v>
      </c>
      <c r="W18" s="631">
        <f>J18</f>
        <v>100</v>
      </c>
      <c r="X18" s="1302"/>
      <c r="Y18" s="3704"/>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3000"/>
      <c r="M19" s="2991"/>
      <c r="N19" s="2991"/>
      <c r="O19" s="2999"/>
      <c r="P19" s="3704"/>
      <c r="Q19" s="1301"/>
      <c r="R19" s="630"/>
      <c r="S19" s="631"/>
      <c r="T19" s="630"/>
      <c r="U19" s="631"/>
      <c r="V19" s="630"/>
      <c r="W19" s="631"/>
      <c r="X19" s="1302"/>
      <c r="Y19" s="3704"/>
      <c r="Z19" s="1303"/>
      <c r="AA19" s="1304">
        <v>1</v>
      </c>
      <c r="AB19" s="1304">
        <v>1</v>
      </c>
      <c r="AC19" s="1304">
        <v>1</v>
      </c>
    </row>
    <row r="20" spans="1:29" ht="57">
      <c r="A20" s="297"/>
      <c r="B20" s="513" t="s">
        <v>2349</v>
      </c>
      <c r="C20" s="1113" t="str">
        <f>IF(B1="工业",估价对象房地状况!G7,估价对象房地状况!C9)</f>
        <v>区域自然环境：；人文环境；综合评价环境状况一般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704"/>
      <c r="Q20" s="1301" t="str">
        <f>B20</f>
        <v>自然及人文环境</v>
      </c>
      <c r="R20" s="630" t="s">
        <v>25</v>
      </c>
      <c r="S20" s="631">
        <f>F20</f>
        <v>100</v>
      </c>
      <c r="T20" s="630" t="s">
        <v>25</v>
      </c>
      <c r="U20" s="631">
        <f>H20</f>
        <v>100</v>
      </c>
      <c r="V20" s="630" t="s">
        <v>25</v>
      </c>
      <c r="W20" s="631">
        <f>J20</f>
        <v>100</v>
      </c>
      <c r="X20" s="1302"/>
      <c r="Y20" s="3704"/>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3000"/>
      <c r="M21" s="2991"/>
      <c r="N21" s="2991"/>
      <c r="O21" s="2999"/>
      <c r="P21" s="3704"/>
      <c r="Q21" s="1301"/>
      <c r="R21" s="630"/>
      <c r="S21" s="631"/>
      <c r="T21" s="630"/>
      <c r="U21" s="631"/>
      <c r="V21" s="630"/>
      <c r="W21" s="631"/>
      <c r="X21" s="1302"/>
      <c r="Y21" s="3704"/>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704"/>
      <c r="Q22" s="1301" t="str">
        <f>B22</f>
        <v>楼层</v>
      </c>
      <c r="R22" s="630" t="s">
        <v>25</v>
      </c>
      <c r="S22" s="631">
        <f>F22</f>
        <v>100</v>
      </c>
      <c r="T22" s="630" t="s">
        <v>25</v>
      </c>
      <c r="U22" s="631">
        <f>H22</f>
        <v>100</v>
      </c>
      <c r="V22" s="630" t="s">
        <v>25</v>
      </c>
      <c r="W22" s="631">
        <f>J22</f>
        <v>100</v>
      </c>
      <c r="X22" s="1302"/>
      <c r="Y22" s="3704"/>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3000"/>
      <c r="M23" s="2991"/>
      <c r="N23" s="2991"/>
      <c r="O23" s="2999"/>
      <c r="P23" s="3704"/>
      <c r="Q23" s="1301">
        <f>B23</f>
        <v>111</v>
      </c>
      <c r="R23" s="630" t="s">
        <v>25</v>
      </c>
      <c r="S23" s="631">
        <f>F23</f>
        <v>100</v>
      </c>
      <c r="T23" s="630" t="s">
        <v>25</v>
      </c>
      <c r="U23" s="631">
        <f>H23</f>
        <v>100</v>
      </c>
      <c r="V23" s="630" t="s">
        <v>25</v>
      </c>
      <c r="W23" s="631">
        <f>J23</f>
        <v>100</v>
      </c>
      <c r="X23" s="1302"/>
      <c r="Y23" s="3704"/>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3000"/>
      <c r="M24" s="2991"/>
      <c r="N24" s="2991"/>
      <c r="O24" s="2999"/>
      <c r="P24" s="3704"/>
      <c r="Q24" s="1301">
        <f t="shared" ref="Q24:Q36" si="11">B24</f>
        <v>111</v>
      </c>
      <c r="R24" s="630" t="s">
        <v>25</v>
      </c>
      <c r="S24" s="631">
        <f>F24</f>
        <v>100</v>
      </c>
      <c r="T24" s="630" t="s">
        <v>25</v>
      </c>
      <c r="U24" s="631">
        <f>H24</f>
        <v>100</v>
      </c>
      <c r="V24" s="630" t="s">
        <v>25</v>
      </c>
      <c r="W24" s="631">
        <f>J24</f>
        <v>100</v>
      </c>
      <c r="X24" s="1302"/>
      <c r="Y24" s="3704"/>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704"/>
      <c r="Q25" s="1294">
        <f t="shared" si="11"/>
        <v>111</v>
      </c>
      <c r="R25" s="626" t="s">
        <v>25</v>
      </c>
      <c r="S25" s="627">
        <f>F25</f>
        <v>100</v>
      </c>
      <c r="T25" s="626" t="s">
        <v>25</v>
      </c>
      <c r="U25" s="627">
        <f>H25</f>
        <v>100</v>
      </c>
      <c r="V25" s="626" t="s">
        <v>25</v>
      </c>
      <c r="W25" s="627">
        <f>J25</f>
        <v>100</v>
      </c>
      <c r="X25" s="628"/>
      <c r="Y25" s="3704"/>
      <c r="Z25" s="19">
        <f>Q25</f>
        <v>111</v>
      </c>
      <c r="AA25" s="1304">
        <f>D25/F25</f>
        <v>1</v>
      </c>
      <c r="AB25" s="1304">
        <f>D25/H25</f>
        <v>1</v>
      </c>
      <c r="AC25" s="1304">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706" t="s">
        <v>2217</v>
      </c>
      <c r="Q26" s="1301" t="str">
        <f t="shared" si="11"/>
        <v>配套类型</v>
      </c>
      <c r="R26" s="630" t="s">
        <v>25</v>
      </c>
      <c r="S26" s="631">
        <f t="shared" ref="S26:S36" si="12">F26</f>
        <v>100</v>
      </c>
      <c r="T26" s="630" t="s">
        <v>25</v>
      </c>
      <c r="U26" s="631">
        <f t="shared" ref="U26:U36" si="13">H26</f>
        <v>100</v>
      </c>
      <c r="V26" s="630" t="s">
        <v>25</v>
      </c>
      <c r="W26" s="631">
        <f t="shared" ref="W26:W36" si="14">J26</f>
        <v>100</v>
      </c>
      <c r="X26" s="1302"/>
      <c r="Y26" s="3707" t="s">
        <v>2217</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707"/>
      <c r="Q27" s="632" t="str">
        <f t="shared" si="11"/>
        <v>项目停车位配比</v>
      </c>
      <c r="R27" s="633" t="s">
        <v>25</v>
      </c>
      <c r="S27" s="634">
        <f t="shared" si="12"/>
        <v>100</v>
      </c>
      <c r="T27" s="633" t="s">
        <v>25</v>
      </c>
      <c r="U27" s="634">
        <f t="shared" si="13"/>
        <v>100</v>
      </c>
      <c r="V27" s="633" t="s">
        <v>25</v>
      </c>
      <c r="W27" s="634">
        <f t="shared" si="14"/>
        <v>100</v>
      </c>
      <c r="X27" s="635"/>
      <c r="Y27" s="3707"/>
      <c r="Z27" s="636"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707"/>
      <c r="Q28" s="1301" t="str">
        <f t="shared" si="11"/>
        <v>公共部分装修</v>
      </c>
      <c r="R28" s="630" t="s">
        <v>25</v>
      </c>
      <c r="S28" s="631">
        <f t="shared" si="12"/>
        <v>100</v>
      </c>
      <c r="T28" s="630" t="s">
        <v>25</v>
      </c>
      <c r="U28" s="631">
        <f t="shared" si="13"/>
        <v>100</v>
      </c>
      <c r="V28" s="630" t="s">
        <v>25</v>
      </c>
      <c r="W28" s="631">
        <f t="shared" si="14"/>
        <v>100</v>
      </c>
      <c r="X28" s="1302"/>
      <c r="Y28" s="3707"/>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707"/>
      <c r="Q29" s="1301" t="str">
        <f t="shared" si="11"/>
        <v>成新率</v>
      </c>
      <c r="R29" s="630" t="s">
        <v>25</v>
      </c>
      <c r="S29" s="631" t="e">
        <f t="shared" si="12"/>
        <v>#N/A</v>
      </c>
      <c r="T29" s="630" t="s">
        <v>25</v>
      </c>
      <c r="U29" s="631" t="e">
        <f t="shared" si="13"/>
        <v>#N/A</v>
      </c>
      <c r="V29" s="630" t="s">
        <v>25</v>
      </c>
      <c r="W29" s="631" t="e">
        <f t="shared" si="14"/>
        <v>#N/A</v>
      </c>
      <c r="X29" s="1302"/>
      <c r="Y29" s="3707"/>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707"/>
      <c r="Q30" s="1301" t="str">
        <f t="shared" si="11"/>
        <v>物业等级</v>
      </c>
      <c r="R30" s="630" t="s">
        <v>25</v>
      </c>
      <c r="S30" s="631">
        <f t="shared" si="12"/>
        <v>100</v>
      </c>
      <c r="T30" s="630" t="s">
        <v>25</v>
      </c>
      <c r="U30" s="631">
        <f t="shared" si="13"/>
        <v>100</v>
      </c>
      <c r="V30" s="630" t="s">
        <v>25</v>
      </c>
      <c r="W30" s="631">
        <f t="shared" si="14"/>
        <v>100</v>
      </c>
      <c r="X30" s="1302"/>
      <c r="Y30" s="3707"/>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707"/>
      <c r="Q31" s="1294" t="str">
        <f t="shared" si="11"/>
        <v>停车位面积</v>
      </c>
      <c r="R31" s="626" t="s">
        <v>25</v>
      </c>
      <c r="S31" s="627" t="e">
        <f t="shared" si="12"/>
        <v>#N/A</v>
      </c>
      <c r="T31" s="626" t="s">
        <v>25</v>
      </c>
      <c r="U31" s="627" t="e">
        <f t="shared" si="13"/>
        <v>#N/A</v>
      </c>
      <c r="V31" s="626" t="s">
        <v>25</v>
      </c>
      <c r="W31" s="627" t="e">
        <f t="shared" si="14"/>
        <v>#N/A</v>
      </c>
      <c r="X31" s="628"/>
      <c r="Y31" s="3707"/>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707" t="s">
        <v>2217</v>
      </c>
      <c r="Q32" s="1301" t="str">
        <f t="shared" si="11"/>
        <v>车位类型</v>
      </c>
      <c r="R32" s="630" t="s">
        <v>25</v>
      </c>
      <c r="S32" s="631">
        <f t="shared" si="12"/>
        <v>100</v>
      </c>
      <c r="T32" s="630" t="s">
        <v>25</v>
      </c>
      <c r="U32" s="631">
        <f t="shared" si="13"/>
        <v>100</v>
      </c>
      <c r="V32" s="630" t="s">
        <v>25</v>
      </c>
      <c r="W32" s="631">
        <f t="shared" si="14"/>
        <v>100</v>
      </c>
      <c r="X32" s="1302"/>
      <c r="Y32" s="3707" t="s">
        <v>2217</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707"/>
      <c r="Q33" s="1301" t="str">
        <f t="shared" si="11"/>
        <v>是否直接入户</v>
      </c>
      <c r="R33" s="630" t="s">
        <v>25</v>
      </c>
      <c r="S33" s="631">
        <f t="shared" si="12"/>
        <v>100</v>
      </c>
      <c r="T33" s="630" t="s">
        <v>25</v>
      </c>
      <c r="U33" s="631">
        <f t="shared" si="13"/>
        <v>100</v>
      </c>
      <c r="V33" s="630" t="s">
        <v>25</v>
      </c>
      <c r="W33" s="631">
        <f t="shared" si="14"/>
        <v>100</v>
      </c>
      <c r="X33" s="1302"/>
      <c r="Y33" s="3707"/>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707"/>
      <c r="Q34" s="1301">
        <f t="shared" si="11"/>
        <v>111</v>
      </c>
      <c r="R34" s="630" t="s">
        <v>25</v>
      </c>
      <c r="S34" s="631">
        <f t="shared" si="12"/>
        <v>100</v>
      </c>
      <c r="T34" s="630" t="s">
        <v>25</v>
      </c>
      <c r="U34" s="631">
        <f t="shared" si="13"/>
        <v>100</v>
      </c>
      <c r="V34" s="630" t="s">
        <v>25</v>
      </c>
      <c r="W34" s="631">
        <f t="shared" si="14"/>
        <v>100</v>
      </c>
      <c r="X34" s="1302"/>
      <c r="Y34" s="3707"/>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707"/>
      <c r="Q35" s="632">
        <f t="shared" si="11"/>
        <v>111</v>
      </c>
      <c r="R35" s="633" t="s">
        <v>25</v>
      </c>
      <c r="S35" s="634">
        <f t="shared" si="12"/>
        <v>100</v>
      </c>
      <c r="T35" s="633" t="s">
        <v>25</v>
      </c>
      <c r="U35" s="634">
        <f t="shared" si="13"/>
        <v>100</v>
      </c>
      <c r="V35" s="633" t="s">
        <v>25</v>
      </c>
      <c r="W35" s="634">
        <f t="shared" si="14"/>
        <v>100</v>
      </c>
      <c r="X35" s="635"/>
      <c r="Y35" s="3707"/>
      <c r="Z35" s="636">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707"/>
      <c r="Q36" s="1301">
        <f t="shared" si="11"/>
        <v>111</v>
      </c>
      <c r="R36" s="630" t="s">
        <v>25</v>
      </c>
      <c r="S36" s="631">
        <f t="shared" si="12"/>
        <v>100</v>
      </c>
      <c r="T36" s="630" t="s">
        <v>25</v>
      </c>
      <c r="U36" s="631">
        <f t="shared" si="13"/>
        <v>100</v>
      </c>
      <c r="V36" s="630" t="s">
        <v>25</v>
      </c>
      <c r="W36" s="631">
        <f t="shared" si="14"/>
        <v>100</v>
      </c>
      <c r="X36" s="1302"/>
      <c r="Y36" s="3707"/>
      <c r="Z36" s="1303">
        <f t="shared" si="15"/>
        <v>111</v>
      </c>
      <c r="AA36" s="1304">
        <f t="shared" si="3"/>
        <v>1</v>
      </c>
      <c r="AB36" s="1304">
        <f t="shared" si="4"/>
        <v>1</v>
      </c>
      <c r="AC36" s="1304">
        <f t="shared" si="5"/>
        <v>1</v>
      </c>
    </row>
    <row r="37" spans="1:29" ht="15">
      <c r="A37" s="367" t="s">
        <v>2359</v>
      </c>
      <c r="B37" s="839" t="s">
        <v>2360</v>
      </c>
      <c r="C37" s="1121" t="s">
        <v>1</v>
      </c>
      <c r="D37" s="1122"/>
      <c r="E37" s="1123"/>
      <c r="F37" s="1124"/>
      <c r="G37" s="1125"/>
      <c r="H37" s="1126"/>
      <c r="I37" s="1123"/>
      <c r="J37" s="1126"/>
      <c r="K37" s="503"/>
      <c r="L37" s="3002"/>
      <c r="N37" s="2991"/>
      <c r="P37" s="3675" t="str">
        <f>A37</f>
        <v>成交单价</v>
      </c>
      <c r="Q37" s="3675"/>
      <c r="R37" s="3709">
        <f>E37</f>
        <v>0</v>
      </c>
      <c r="S37" s="3709"/>
      <c r="T37" s="3709">
        <f>G37</f>
        <v>0</v>
      </c>
      <c r="U37" s="3709"/>
      <c r="V37" s="3709">
        <f>I37</f>
        <v>0</v>
      </c>
      <c r="W37" s="3709"/>
      <c r="X37" s="617"/>
      <c r="Y37" s="637"/>
      <c r="Z37" s="617"/>
      <c r="AA37" s="617"/>
      <c r="AB37" s="617"/>
      <c r="AC37" s="617"/>
    </row>
    <row r="38" spans="1:29" ht="15.75" thickBot="1">
      <c r="A38" s="374" t="s">
        <v>2361</v>
      </c>
      <c r="B38" s="375" t="str">
        <f>B37</f>
        <v>元/平方米</v>
      </c>
      <c r="C38" s="1127" t="e">
        <f>R39</f>
        <v>#DIV/0!</v>
      </c>
      <c r="D38" s="1764" t="s">
        <v>2686</v>
      </c>
      <c r="E38" s="1128" t="e">
        <f>R38</f>
        <v>#DIV/0!</v>
      </c>
      <c r="F38" s="1766"/>
      <c r="G38" s="1127" t="e">
        <f>T38</f>
        <v>#DIV/0!</v>
      </c>
      <c r="H38" s="1766"/>
      <c r="I38" s="1128" t="e">
        <f>V38</f>
        <v>#DIV/0!</v>
      </c>
      <c r="J38" s="1766"/>
      <c r="K38" s="2478">
        <f>F38+H38+J38</f>
        <v>0</v>
      </c>
      <c r="L38" s="3002"/>
      <c r="P38" s="3675" t="str">
        <f>A38</f>
        <v>比较价值</v>
      </c>
      <c r="Q38" s="3675"/>
      <c r="R38" s="3709" t="e">
        <f>IF(E1="售价",ROUND(PRODUCT(R37,AA7:AA36),0),ROUND(PRODUCT(R37,AA7:AA36),1))</f>
        <v>#DIV/0!</v>
      </c>
      <c r="S38" s="3709"/>
      <c r="T38" s="3709" t="e">
        <f>IF(E1="售价",ROUND(PRODUCT(T37,AB7:AB36),0),ROUND(PRODUCT(T37,AB7:AB36),1))</f>
        <v>#DIV/0!</v>
      </c>
      <c r="U38" s="3709"/>
      <c r="V38" s="3709" t="e">
        <f>IF(E1="售价",ROUND(PRODUCT(V37,AC7:AC36),0),ROUND(PRODUCT(V37,AC7:AC36),1))</f>
        <v>#DIV/0!</v>
      </c>
      <c r="W38" s="3709"/>
      <c r="X38" s="617"/>
      <c r="Y38" s="617"/>
      <c r="Z38" s="617"/>
      <c r="AA38" s="617"/>
      <c r="AB38" s="617"/>
      <c r="AC38" s="617"/>
    </row>
    <row r="39" spans="1:29" ht="15.75" thickBot="1">
      <c r="A39" s="378" t="s">
        <v>2362</v>
      </c>
      <c r="B39" s="379"/>
      <c r="C39" s="1129" t="e">
        <f>R39</f>
        <v>#DIV/0!</v>
      </c>
      <c r="D39" s="1129"/>
      <c r="E39" s="1129"/>
      <c r="F39" s="1129"/>
      <c r="G39" s="1129"/>
      <c r="H39" s="1129"/>
      <c r="I39" s="1129"/>
      <c r="J39" s="1129"/>
      <c r="K39" s="504"/>
      <c r="L39" s="3002"/>
      <c r="P39" s="3710" t="str">
        <f>A39</f>
        <v>估价对象XX用房的比较价值（楼面单价，元/平方米）</v>
      </c>
      <c r="Q39" s="3711"/>
      <c r="R39" s="3712" t="e">
        <f>IF(E1="售价",ROUND(IF(D38="简单平均",AVERAGE(R38:W38),R38*F38+T38*H38+V38*J38),0),ROUND(IF(D38="简单平均",AVERAGE(R38:V38),R38*F38+T38*H38+V38*J38),1))</f>
        <v>#DIV/0!</v>
      </c>
      <c r="S39" s="3712"/>
      <c r="T39" s="3712"/>
      <c r="U39" s="3712"/>
      <c r="V39" s="3712"/>
      <c r="W39" s="3712"/>
      <c r="X39" s="617"/>
      <c r="Y39" s="617"/>
      <c r="Z39" s="617"/>
      <c r="AA39" s="617"/>
      <c r="AB39" s="617"/>
      <c r="AC39" s="617"/>
    </row>
    <row r="40" spans="1:29">
      <c r="G40" s="3005"/>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8"/>
      <c r="Q44" s="618"/>
      <c r="R44" s="618"/>
      <c r="S44" s="618"/>
      <c r="T44" s="618"/>
      <c r="U44" s="618"/>
      <c r="V44" s="618"/>
      <c r="W44" s="618"/>
      <c r="X44" s="618"/>
      <c r="Y44" s="618"/>
      <c r="Z44" s="618"/>
      <c r="AA44" s="618"/>
      <c r="AB44" s="618"/>
      <c r="AC44" s="618"/>
    </row>
    <row r="45" spans="1:29" s="388" customFormat="1">
      <c r="B45" s="3004"/>
      <c r="C45" s="3007"/>
      <c r="K45" s="3006"/>
      <c r="L45" s="3003"/>
      <c r="P45" s="618"/>
      <c r="Q45" s="618"/>
      <c r="R45" s="618"/>
      <c r="S45" s="618"/>
      <c r="T45" s="618"/>
      <c r="U45" s="618"/>
      <c r="V45" s="618"/>
      <c r="W45" s="618"/>
      <c r="X45" s="618"/>
      <c r="Y45" s="618"/>
      <c r="Z45" s="618"/>
      <c r="AA45" s="618"/>
      <c r="AB45" s="618"/>
      <c r="AC45" s="618"/>
    </row>
    <row r="46" spans="1:29">
      <c r="B46" s="3004"/>
      <c r="C46" s="3007"/>
      <c r="P46" s="617"/>
      <c r="Q46" s="617"/>
      <c r="R46" s="617"/>
      <c r="S46" s="617"/>
      <c r="T46" s="617"/>
      <c r="U46" s="617"/>
      <c r="V46" s="617"/>
      <c r="W46" s="617"/>
      <c r="X46" s="617"/>
      <c r="Y46" s="617"/>
      <c r="Z46" s="617"/>
      <c r="AA46" s="617"/>
      <c r="AB46" s="617"/>
      <c r="AC46" s="617"/>
    </row>
    <row r="47" spans="1:29" ht="21.75" thickBot="1">
      <c r="A47" s="1131" t="s">
        <v>2366</v>
      </c>
      <c r="B47" s="953"/>
      <c r="C47" s="961"/>
      <c r="D47" s="961"/>
      <c r="E47" s="961"/>
      <c r="F47" s="1132"/>
      <c r="G47" s="1132"/>
      <c r="H47" s="961"/>
      <c r="I47" s="961"/>
      <c r="J47" s="961"/>
      <c r="K47" s="959"/>
      <c r="L47" s="623"/>
      <c r="M47" s="620"/>
      <c r="N47" s="620"/>
      <c r="O47" s="620"/>
      <c r="P47" s="620"/>
      <c r="Q47" s="1130"/>
      <c r="R47" s="617"/>
      <c r="S47" s="617"/>
      <c r="T47" s="617"/>
      <c r="U47" s="617"/>
      <c r="V47" s="617"/>
      <c r="W47" s="617"/>
      <c r="X47" s="617"/>
      <c r="Y47" s="617"/>
      <c r="Z47" s="617"/>
      <c r="AA47" s="617"/>
      <c r="AB47" s="617"/>
      <c r="AC47" s="617"/>
    </row>
    <row r="48" spans="1:29" s="394" customFormat="1" ht="15">
      <c r="A48" s="391" t="s">
        <v>2367</v>
      </c>
      <c r="B48" s="392"/>
      <c r="C48" s="1155" t="str">
        <f>YEAR(C7)&amp;"-"&amp;MONTH(C7)</f>
        <v>2021-12</v>
      </c>
      <c r="D48" s="1156">
        <f>EDATE(C48,-1)</f>
        <v>44501</v>
      </c>
      <c r="E48" s="1156">
        <f t="shared" ref="E48:O48" si="16">EDATE(D48,-1)</f>
        <v>44470</v>
      </c>
      <c r="F48" s="1156">
        <f t="shared" si="16"/>
        <v>44440</v>
      </c>
      <c r="G48" s="1156">
        <f t="shared" si="16"/>
        <v>44409</v>
      </c>
      <c r="H48" s="1156">
        <f t="shared" si="16"/>
        <v>44378</v>
      </c>
      <c r="I48" s="1156">
        <f t="shared" si="16"/>
        <v>44348</v>
      </c>
      <c r="J48" s="1156">
        <f t="shared" si="16"/>
        <v>44317</v>
      </c>
      <c r="K48" s="1156">
        <f t="shared" si="16"/>
        <v>44287</v>
      </c>
      <c r="L48" s="1156">
        <f t="shared" si="16"/>
        <v>44256</v>
      </c>
      <c r="M48" s="1156">
        <f t="shared" si="16"/>
        <v>44228</v>
      </c>
      <c r="N48" s="1156">
        <f t="shared" si="16"/>
        <v>44197</v>
      </c>
      <c r="O48" s="1156">
        <f t="shared" si="16"/>
        <v>44166</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2346</v>
      </c>
      <c r="B1" s="1549"/>
      <c r="C1" s="1189"/>
      <c r="D1" s="1199"/>
      <c r="E1" s="1526" t="s">
        <v>2687</v>
      </c>
      <c r="F1" s="1200" t="s">
        <v>2184</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362.84</v>
      </c>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3" t="s">
        <v>2187</v>
      </c>
      <c r="D4" s="3684"/>
      <c r="E4" s="3685" t="s">
        <v>2188</v>
      </c>
      <c r="F4" s="3686"/>
      <c r="G4" s="3683" t="s">
        <v>2189</v>
      </c>
      <c r="H4" s="3684"/>
      <c r="I4" s="3683" t="s">
        <v>2190</v>
      </c>
      <c r="J4" s="3684"/>
      <c r="K4" s="496" t="s">
        <v>2191</v>
      </c>
      <c r="L4" s="2990"/>
      <c r="M4" s="2991"/>
      <c r="N4" s="2991"/>
      <c r="O4" s="2991"/>
      <c r="P4" s="3687" t="s">
        <v>2192</v>
      </c>
      <c r="Q4" s="3688"/>
      <c r="R4" s="3693" t="s">
        <v>2188</v>
      </c>
      <c r="S4" s="3694"/>
      <c r="T4" s="3693" t="s">
        <v>2189</v>
      </c>
      <c r="U4" s="3694"/>
      <c r="V4" s="3699" t="s">
        <v>2190</v>
      </c>
      <c r="W4" s="3699"/>
      <c r="X4" s="1302"/>
      <c r="Y4" s="3693" t="s">
        <v>2192</v>
      </c>
      <c r="Z4" s="3694"/>
      <c r="AA4" s="3680" t="s">
        <v>2188</v>
      </c>
      <c r="AB4" s="3681" t="s">
        <v>2189</v>
      </c>
      <c r="AC4" s="3680" t="s">
        <v>2190</v>
      </c>
    </row>
    <row r="5" spans="1:29" ht="15">
      <c r="A5" s="297"/>
      <c r="B5" s="298"/>
      <c r="C5" s="3676" t="s">
        <v>2193</v>
      </c>
      <c r="D5" s="3677"/>
      <c r="E5" s="3700" t="s">
        <v>2194</v>
      </c>
      <c r="F5" s="3701"/>
      <c r="G5" s="3676" t="s">
        <v>2195</v>
      </c>
      <c r="H5" s="3677"/>
      <c r="I5" s="3676" t="s">
        <v>2196</v>
      </c>
      <c r="J5" s="3677"/>
      <c r="K5" s="496"/>
      <c r="L5" s="2990"/>
      <c r="M5" s="2991"/>
      <c r="N5" s="2991"/>
      <c r="O5" s="2991"/>
      <c r="P5" s="3689"/>
      <c r="Q5" s="3690"/>
      <c r="R5" s="3695"/>
      <c r="S5" s="3696"/>
      <c r="T5" s="3695"/>
      <c r="U5" s="3696"/>
      <c r="V5" s="3699"/>
      <c r="W5" s="3699"/>
      <c r="X5" s="1302"/>
      <c r="Y5" s="3695"/>
      <c r="Z5" s="3696"/>
      <c r="AA5" s="3681"/>
      <c r="AB5" s="3681"/>
      <c r="AC5" s="3681"/>
    </row>
    <row r="6" spans="1:29" ht="15.75" thickBot="1">
      <c r="A6" s="299"/>
      <c r="B6" s="300"/>
      <c r="C6" s="3673" t="s">
        <v>2197</v>
      </c>
      <c r="D6" s="3674"/>
      <c r="E6" s="3671" t="s">
        <v>2197</v>
      </c>
      <c r="F6" s="3672"/>
      <c r="G6" s="3673" t="s">
        <v>2197</v>
      </c>
      <c r="H6" s="3674"/>
      <c r="I6" s="3673" t="s">
        <v>2197</v>
      </c>
      <c r="J6" s="3674"/>
      <c r="K6" s="496" t="s">
        <v>2198</v>
      </c>
      <c r="L6" s="2990"/>
      <c r="M6" s="2991"/>
      <c r="N6" s="2991"/>
      <c r="O6" s="2991"/>
      <c r="P6" s="3691"/>
      <c r="Q6" s="3692"/>
      <c r="R6" s="3695"/>
      <c r="S6" s="3696"/>
      <c r="T6" s="3697"/>
      <c r="U6" s="3698"/>
      <c r="V6" s="3699"/>
      <c r="W6" s="3699"/>
      <c r="X6" s="1302"/>
      <c r="Y6" s="3697"/>
      <c r="Z6" s="3698"/>
      <c r="AA6" s="3682"/>
      <c r="AB6" s="3682"/>
      <c r="AC6" s="3682"/>
    </row>
    <row r="7" spans="1:29" s="25" customFormat="1" ht="15.75" thickBot="1">
      <c r="A7" s="301" t="s">
        <v>2199</v>
      </c>
      <c r="B7" s="302"/>
      <c r="C7" s="303">
        <f>'数据-取费表'!B2</f>
        <v>44554</v>
      </c>
      <c r="D7" s="304">
        <v>100</v>
      </c>
      <c r="E7" s="1542"/>
      <c r="F7" s="304">
        <f>SUMIF(46:46,YEAR(E7)&amp;"-"&amp;MONTH(E7),47:47)</f>
        <v>0</v>
      </c>
      <c r="G7" s="305"/>
      <c r="H7" s="304">
        <f>SUMIF(46:46,YEAR(G7)&amp;"-"&amp;MONTH(G7),47:47)</f>
        <v>0</v>
      </c>
      <c r="I7" s="305"/>
      <c r="J7" s="304">
        <f>SUMIF(46:46,YEAR(I7)&amp;"-"&amp;MONTH(I7),47:47)</f>
        <v>0</v>
      </c>
      <c r="K7" s="497"/>
      <c r="L7" s="2992"/>
      <c r="M7" s="2993"/>
      <c r="N7" s="2993"/>
      <c r="O7" s="2993"/>
      <c r="P7" s="3678" t="s">
        <v>2200</v>
      </c>
      <c r="Q7" s="3702"/>
      <c r="R7" s="626" t="s">
        <v>25</v>
      </c>
      <c r="S7" s="627">
        <f t="shared" ref="S7:S14" si="0">F7</f>
        <v>0</v>
      </c>
      <c r="T7" s="626" t="s">
        <v>25</v>
      </c>
      <c r="U7" s="627">
        <f t="shared" ref="U7:U14" si="1">H7</f>
        <v>0</v>
      </c>
      <c r="V7" s="626" t="s">
        <v>25</v>
      </c>
      <c r="W7" s="627">
        <f t="shared" ref="W7:W14" si="2">J7</f>
        <v>0</v>
      </c>
      <c r="X7" s="628"/>
      <c r="Y7" s="3678" t="s">
        <v>2200</v>
      </c>
      <c r="Z7" s="3679"/>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78" t="s">
        <v>2203</v>
      </c>
      <c r="Q8" s="3679"/>
      <c r="R8" s="626" t="s">
        <v>25</v>
      </c>
      <c r="S8" s="627">
        <f t="shared" si="0"/>
        <v>0</v>
      </c>
      <c r="T8" s="626" t="s">
        <v>25</v>
      </c>
      <c r="U8" s="627">
        <f t="shared" si="1"/>
        <v>0</v>
      </c>
      <c r="V8" s="626" t="s">
        <v>25</v>
      </c>
      <c r="W8" s="627">
        <f t="shared" si="2"/>
        <v>0</v>
      </c>
      <c r="X8" s="628"/>
      <c r="Y8" s="3678" t="s">
        <v>2203</v>
      </c>
      <c r="Z8" s="3679"/>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75" t="s">
        <v>2206</v>
      </c>
      <c r="Q9" s="1294" t="str">
        <f t="shared" ref="Q9:Q14" si="6">B9</f>
        <v>用途</v>
      </c>
      <c r="R9" s="626" t="s">
        <v>25</v>
      </c>
      <c r="S9" s="627">
        <f t="shared" si="0"/>
        <v>100</v>
      </c>
      <c r="T9" s="626" t="s">
        <v>25</v>
      </c>
      <c r="U9" s="627">
        <f t="shared" si="1"/>
        <v>100</v>
      </c>
      <c r="V9" s="626" t="s">
        <v>25</v>
      </c>
      <c r="W9" s="627">
        <f t="shared" si="2"/>
        <v>100</v>
      </c>
      <c r="X9" s="628"/>
      <c r="Y9" s="3705"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75"/>
      <c r="Q10" s="1294" t="str">
        <f t="shared" si="6"/>
        <v>土地使用年限（年）</v>
      </c>
      <c r="R10" s="626" t="s">
        <v>25</v>
      </c>
      <c r="S10" s="627">
        <f t="shared" si="0"/>
        <v>100</v>
      </c>
      <c r="T10" s="626" t="s">
        <v>25</v>
      </c>
      <c r="U10" s="627">
        <f t="shared" si="1"/>
        <v>100</v>
      </c>
      <c r="V10" s="626" t="s">
        <v>25</v>
      </c>
      <c r="W10" s="627">
        <f t="shared" si="2"/>
        <v>100</v>
      </c>
      <c r="X10" s="628"/>
      <c r="Y10" s="3705"/>
      <c r="Z10" s="19" t="str">
        <f t="shared" si="7"/>
        <v>土地使用年限（年）</v>
      </c>
      <c r="AA10" s="629">
        <f t="shared" si="3"/>
        <v>1</v>
      </c>
      <c r="AB10" s="629">
        <f t="shared" si="4"/>
        <v>1</v>
      </c>
      <c r="AC10" s="629">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75"/>
      <c r="Q11" s="1294">
        <f t="shared" si="6"/>
        <v>111</v>
      </c>
      <c r="R11" s="626" t="s">
        <v>25</v>
      </c>
      <c r="S11" s="627">
        <f t="shared" si="0"/>
        <v>100</v>
      </c>
      <c r="T11" s="626" t="s">
        <v>25</v>
      </c>
      <c r="U11" s="627">
        <f t="shared" si="1"/>
        <v>100</v>
      </c>
      <c r="V11" s="626" t="s">
        <v>25</v>
      </c>
      <c r="W11" s="627">
        <f t="shared" si="2"/>
        <v>100</v>
      </c>
      <c r="X11" s="628"/>
      <c r="Y11" s="3705"/>
      <c r="Z11" s="19">
        <f t="shared" si="7"/>
        <v>111</v>
      </c>
      <c r="AA11" s="629">
        <f t="shared" si="3"/>
        <v>1</v>
      </c>
      <c r="AB11" s="629">
        <f t="shared" si="4"/>
        <v>1</v>
      </c>
      <c r="AC11" s="629">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75"/>
      <c r="Q12" s="1294">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75"/>
      <c r="Q13" s="1294">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85.5">
      <c r="A14" s="329" t="s">
        <v>2210</v>
      </c>
      <c r="B14" s="22" t="s">
        <v>2348</v>
      </c>
      <c r="C14" s="154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703" t="s">
        <v>2211</v>
      </c>
      <c r="Q14" s="1301" t="str">
        <f t="shared" si="6"/>
        <v>交通便捷度</v>
      </c>
      <c r="R14" s="630" t="s">
        <v>25</v>
      </c>
      <c r="S14" s="631">
        <f t="shared" si="0"/>
        <v>100</v>
      </c>
      <c r="T14" s="630" t="s">
        <v>25</v>
      </c>
      <c r="U14" s="631">
        <f t="shared" si="1"/>
        <v>100</v>
      </c>
      <c r="V14" s="630" t="s">
        <v>25</v>
      </c>
      <c r="W14" s="631">
        <f t="shared" si="2"/>
        <v>100</v>
      </c>
      <c r="X14" s="1302"/>
      <c r="Y14" s="3703" t="s">
        <v>2211</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3000"/>
      <c r="M15" s="2991"/>
      <c r="N15" s="2991"/>
      <c r="O15" s="2999"/>
      <c r="P15" s="3704"/>
      <c r="Q15" s="1301"/>
      <c r="R15" s="630"/>
      <c r="S15" s="631"/>
      <c r="T15" s="630"/>
      <c r="U15" s="631"/>
      <c r="V15" s="630"/>
      <c r="W15" s="631"/>
      <c r="X15" s="1302"/>
      <c r="Y15" s="3704"/>
      <c r="Z15" s="1303"/>
      <c r="AA15" s="1304">
        <v>1</v>
      </c>
      <c r="AB15" s="1304">
        <v>1</v>
      </c>
      <c r="AC15" s="1304">
        <v>1</v>
      </c>
    </row>
    <row r="16" spans="1:29" ht="42.75">
      <c r="A16" s="318"/>
      <c r="B16" s="513" t="s">
        <v>2326</v>
      </c>
      <c r="C16" s="153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704"/>
      <c r="Q16" s="1301" t="str">
        <f>B16</f>
        <v>公共配套设施</v>
      </c>
      <c r="R16" s="630" t="s">
        <v>25</v>
      </c>
      <c r="S16" s="631">
        <f>F16</f>
        <v>100</v>
      </c>
      <c r="T16" s="630" t="s">
        <v>25</v>
      </c>
      <c r="U16" s="631">
        <f>H16</f>
        <v>100</v>
      </c>
      <c r="V16" s="630" t="s">
        <v>25</v>
      </c>
      <c r="W16" s="631">
        <f>J16</f>
        <v>100</v>
      </c>
      <c r="X16" s="1302"/>
      <c r="Y16" s="3704"/>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3000"/>
      <c r="M17" s="2991"/>
      <c r="N17" s="2991"/>
      <c r="O17" s="2999"/>
      <c r="P17" s="3704"/>
      <c r="Q17" s="1301"/>
      <c r="R17" s="630"/>
      <c r="S17" s="631"/>
      <c r="T17" s="630"/>
      <c r="U17" s="631"/>
      <c r="V17" s="630"/>
      <c r="W17" s="631"/>
      <c r="X17" s="1302"/>
      <c r="Y17" s="3704"/>
      <c r="Z17" s="1303"/>
      <c r="AA17" s="1304">
        <v>1</v>
      </c>
      <c r="AB17" s="1304">
        <v>1</v>
      </c>
      <c r="AC17" s="1304">
        <v>1</v>
      </c>
    </row>
    <row r="18" spans="1:29" ht="28.5">
      <c r="A18" s="318"/>
      <c r="B18" s="515" t="s">
        <v>2327</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704"/>
      <c r="Q18" s="1301" t="str">
        <f>B18</f>
        <v>基础设施水平</v>
      </c>
      <c r="R18" s="630" t="s">
        <v>25</v>
      </c>
      <c r="S18" s="631">
        <f>F18</f>
        <v>100</v>
      </c>
      <c r="T18" s="630" t="s">
        <v>25</v>
      </c>
      <c r="U18" s="631">
        <f>H18</f>
        <v>100</v>
      </c>
      <c r="V18" s="630" t="s">
        <v>25</v>
      </c>
      <c r="W18" s="631">
        <f>J18</f>
        <v>100</v>
      </c>
      <c r="X18" s="1302"/>
      <c r="Y18" s="3704"/>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3000"/>
      <c r="M19" s="2991"/>
      <c r="N19" s="2991"/>
      <c r="O19" s="2999"/>
      <c r="P19" s="3704"/>
      <c r="Q19" s="1301"/>
      <c r="R19" s="630"/>
      <c r="S19" s="631"/>
      <c r="T19" s="630"/>
      <c r="U19" s="631"/>
      <c r="V19" s="630"/>
      <c r="W19" s="631"/>
      <c r="X19" s="1302"/>
      <c r="Y19" s="3704"/>
      <c r="Z19" s="1303"/>
      <c r="AA19" s="1304">
        <v>1</v>
      </c>
      <c r="AB19" s="1304">
        <v>1</v>
      </c>
      <c r="AC19" s="1304">
        <v>1</v>
      </c>
    </row>
    <row r="20" spans="1:29" ht="57">
      <c r="A20" s="318"/>
      <c r="B20" s="340" t="s">
        <v>2349</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704"/>
      <c r="Q20" s="1301" t="str">
        <f>B20</f>
        <v>自然及人文环境</v>
      </c>
      <c r="R20" s="630" t="s">
        <v>25</v>
      </c>
      <c r="S20" s="631">
        <f>F20</f>
        <v>100</v>
      </c>
      <c r="T20" s="630" t="s">
        <v>25</v>
      </c>
      <c r="U20" s="631">
        <f>H20</f>
        <v>100</v>
      </c>
      <c r="V20" s="630" t="s">
        <v>25</v>
      </c>
      <c r="W20" s="631">
        <f>J20</f>
        <v>100</v>
      </c>
      <c r="X20" s="1302"/>
      <c r="Y20" s="3704"/>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3000"/>
      <c r="M21" s="2991"/>
      <c r="N21" s="2991"/>
      <c r="O21" s="2999"/>
      <c r="P21" s="3704"/>
      <c r="Q21" s="1301"/>
      <c r="R21" s="630"/>
      <c r="S21" s="631"/>
      <c r="T21" s="630"/>
      <c r="U21" s="631"/>
      <c r="V21" s="630"/>
      <c r="W21" s="631"/>
      <c r="X21" s="1302"/>
      <c r="Y21" s="3704"/>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704"/>
      <c r="Q22" s="1301" t="str">
        <f>B22</f>
        <v>楼层</v>
      </c>
      <c r="R22" s="630" t="s">
        <v>25</v>
      </c>
      <c r="S22" s="631">
        <f>F22</f>
        <v>100</v>
      </c>
      <c r="T22" s="630" t="s">
        <v>25</v>
      </c>
      <c r="U22" s="631">
        <f>H22</f>
        <v>100</v>
      </c>
      <c r="V22" s="630" t="s">
        <v>25</v>
      </c>
      <c r="W22" s="631">
        <f>J22</f>
        <v>100</v>
      </c>
      <c r="X22" s="1302"/>
      <c r="Y22" s="3704"/>
      <c r="Z22" s="1303" t="str">
        <f>Q22</f>
        <v>楼层</v>
      </c>
      <c r="AA22" s="1304">
        <f t="shared" si="3"/>
        <v>1</v>
      </c>
      <c r="AB22" s="1304">
        <f t="shared" si="4"/>
        <v>1</v>
      </c>
      <c r="AC22" s="1304">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704"/>
      <c r="Q23" s="1301">
        <f>B23</f>
        <v>111</v>
      </c>
      <c r="R23" s="630" t="s">
        <v>25</v>
      </c>
      <c r="S23" s="631">
        <f>F23</f>
        <v>100</v>
      </c>
      <c r="T23" s="630" t="s">
        <v>25</v>
      </c>
      <c r="U23" s="631">
        <f>H23</f>
        <v>100</v>
      </c>
      <c r="V23" s="630" t="s">
        <v>25</v>
      </c>
      <c r="W23" s="631">
        <f>J23</f>
        <v>100</v>
      </c>
      <c r="X23" s="1302"/>
      <c r="Y23" s="3704"/>
      <c r="Z23" s="1303">
        <f>Q23</f>
        <v>111</v>
      </c>
      <c r="AA23" s="1304">
        <f t="shared" si="3"/>
        <v>1</v>
      </c>
      <c r="AB23" s="1304">
        <f t="shared" si="4"/>
        <v>1</v>
      </c>
      <c r="AC23" s="1304">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704"/>
      <c r="Q24" s="1301">
        <f t="shared" ref="Q24:Q34" si="11">B24</f>
        <v>111</v>
      </c>
      <c r="R24" s="630" t="s">
        <v>25</v>
      </c>
      <c r="S24" s="631">
        <f>F24</f>
        <v>100</v>
      </c>
      <c r="T24" s="630" t="s">
        <v>25</v>
      </c>
      <c r="U24" s="631">
        <f>H24</f>
        <v>100</v>
      </c>
      <c r="V24" s="630" t="s">
        <v>25</v>
      </c>
      <c r="W24" s="631">
        <f>J24</f>
        <v>100</v>
      </c>
      <c r="X24" s="1302"/>
      <c r="Y24" s="3704"/>
      <c r="Z24" s="1303">
        <f>Q24</f>
        <v>111</v>
      </c>
      <c r="AA24" s="1304">
        <f t="shared" si="3"/>
        <v>1</v>
      </c>
      <c r="AB24" s="1304">
        <f t="shared" si="4"/>
        <v>1</v>
      </c>
      <c r="AC24" s="1304">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2"/>
      <c r="M25" s="2993"/>
      <c r="N25" s="2993"/>
      <c r="O25" s="2994"/>
      <c r="P25" s="3704"/>
      <c r="Q25" s="1294">
        <f t="shared" si="11"/>
        <v>111</v>
      </c>
      <c r="R25" s="626" t="s">
        <v>25</v>
      </c>
      <c r="S25" s="627">
        <f>F25</f>
        <v>100</v>
      </c>
      <c r="T25" s="626" t="s">
        <v>25</v>
      </c>
      <c r="U25" s="627">
        <f>H25</f>
        <v>100</v>
      </c>
      <c r="V25" s="626" t="s">
        <v>25</v>
      </c>
      <c r="W25" s="627">
        <f>J25</f>
        <v>100</v>
      </c>
      <c r="X25" s="628"/>
      <c r="Y25" s="3704"/>
      <c r="Z25" s="19">
        <f>Q25</f>
        <v>111</v>
      </c>
      <c r="AA25" s="1304">
        <f>D25/F25</f>
        <v>1</v>
      </c>
      <c r="AB25" s="1304">
        <f>D25/H25</f>
        <v>1</v>
      </c>
      <c r="AC25" s="1304">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3000"/>
      <c r="M26" s="2991"/>
      <c r="N26" s="2991"/>
      <c r="O26" s="2999"/>
      <c r="P26" s="3706" t="s">
        <v>2217</v>
      </c>
      <c r="Q26" s="1301" t="str">
        <f t="shared" si="11"/>
        <v>公共部分装修</v>
      </c>
      <c r="R26" s="630" t="s">
        <v>25</v>
      </c>
      <c r="S26" s="631">
        <f t="shared" ref="S26:S34" si="12">F26</f>
        <v>100</v>
      </c>
      <c r="T26" s="630" t="s">
        <v>25</v>
      </c>
      <c r="U26" s="631">
        <f t="shared" ref="U26:U34" si="13">H26</f>
        <v>100</v>
      </c>
      <c r="V26" s="630" t="s">
        <v>25</v>
      </c>
      <c r="W26" s="631">
        <f t="shared" ref="W26:W34" si="14">J26</f>
        <v>100</v>
      </c>
      <c r="X26" s="1302"/>
      <c r="Y26" s="3707" t="s">
        <v>2217</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707"/>
      <c r="Q27" s="632" t="str">
        <f t="shared" si="11"/>
        <v>成新率</v>
      </c>
      <c r="R27" s="633" t="s">
        <v>25</v>
      </c>
      <c r="S27" s="634" t="e">
        <f t="shared" si="12"/>
        <v>#N/A</v>
      </c>
      <c r="T27" s="633" t="s">
        <v>25</v>
      </c>
      <c r="U27" s="634" t="e">
        <f t="shared" si="13"/>
        <v>#N/A</v>
      </c>
      <c r="V27" s="633" t="s">
        <v>25</v>
      </c>
      <c r="W27" s="634" t="e">
        <f t="shared" si="14"/>
        <v>#N/A</v>
      </c>
      <c r="X27" s="635"/>
      <c r="Y27" s="3707"/>
      <c r="Z27" s="636"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707"/>
      <c r="Q28" s="1301" t="str">
        <f t="shared" si="11"/>
        <v>物业等级</v>
      </c>
      <c r="R28" s="630" t="s">
        <v>25</v>
      </c>
      <c r="S28" s="631">
        <f t="shared" si="12"/>
        <v>100</v>
      </c>
      <c r="T28" s="630" t="s">
        <v>25</v>
      </c>
      <c r="U28" s="631">
        <f t="shared" si="13"/>
        <v>100</v>
      </c>
      <c r="V28" s="630" t="s">
        <v>25</v>
      </c>
      <c r="W28" s="631">
        <f t="shared" si="14"/>
        <v>100</v>
      </c>
      <c r="X28" s="1302"/>
      <c r="Y28" s="3707"/>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707"/>
      <c r="Q29" s="1301" t="str">
        <f t="shared" si="11"/>
        <v>有无电梯</v>
      </c>
      <c r="R29" s="630" t="s">
        <v>25</v>
      </c>
      <c r="S29" s="631">
        <f t="shared" si="12"/>
        <v>100</v>
      </c>
      <c r="T29" s="630" t="s">
        <v>25</v>
      </c>
      <c r="U29" s="631">
        <f t="shared" si="13"/>
        <v>100</v>
      </c>
      <c r="V29" s="630" t="s">
        <v>25</v>
      </c>
      <c r="W29" s="631">
        <f t="shared" si="14"/>
        <v>100</v>
      </c>
      <c r="X29" s="1302"/>
      <c r="Y29" s="3707"/>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707"/>
      <c r="Q30" s="1301" t="str">
        <f t="shared" si="11"/>
        <v>建筑面积</v>
      </c>
      <c r="R30" s="630" t="s">
        <v>25</v>
      </c>
      <c r="S30" s="631" t="e">
        <f t="shared" si="12"/>
        <v>#N/A</v>
      </c>
      <c r="T30" s="630" t="s">
        <v>25</v>
      </c>
      <c r="U30" s="631" t="e">
        <f t="shared" si="13"/>
        <v>#N/A</v>
      </c>
      <c r="V30" s="630" t="s">
        <v>25</v>
      </c>
      <c r="W30" s="631" t="e">
        <f t="shared" si="14"/>
        <v>#N/A</v>
      </c>
      <c r="X30" s="1302"/>
      <c r="Y30" s="3707"/>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707"/>
      <c r="Q31" s="1294" t="str">
        <f t="shared" si="11"/>
        <v>是否封闭</v>
      </c>
      <c r="R31" s="626" t="s">
        <v>25</v>
      </c>
      <c r="S31" s="627">
        <f t="shared" si="12"/>
        <v>100</v>
      </c>
      <c r="T31" s="626" t="s">
        <v>25</v>
      </c>
      <c r="U31" s="627">
        <f t="shared" si="13"/>
        <v>100</v>
      </c>
      <c r="V31" s="626" t="s">
        <v>25</v>
      </c>
      <c r="W31" s="627">
        <f t="shared" si="14"/>
        <v>100</v>
      </c>
      <c r="X31" s="628"/>
      <c r="Y31" s="3707"/>
      <c r="Z31" s="19" t="str">
        <f t="shared" si="15"/>
        <v>是否封闭</v>
      </c>
      <c r="AA31" s="629">
        <f t="shared" si="3"/>
        <v>1</v>
      </c>
      <c r="AB31" s="629">
        <f t="shared" si="4"/>
        <v>1</v>
      </c>
      <c r="AC31" s="629">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707" t="s">
        <v>2217</v>
      </c>
      <c r="Q32" s="1301">
        <f t="shared" si="11"/>
        <v>111</v>
      </c>
      <c r="R32" s="630" t="s">
        <v>25</v>
      </c>
      <c r="S32" s="631">
        <f t="shared" si="12"/>
        <v>100</v>
      </c>
      <c r="T32" s="630" t="s">
        <v>25</v>
      </c>
      <c r="U32" s="631">
        <f t="shared" si="13"/>
        <v>100</v>
      </c>
      <c r="V32" s="630" t="s">
        <v>25</v>
      </c>
      <c r="W32" s="631">
        <f t="shared" si="14"/>
        <v>100</v>
      </c>
      <c r="X32" s="1302"/>
      <c r="Y32" s="3707" t="s">
        <v>2217</v>
      </c>
      <c r="Z32" s="1303">
        <f t="shared" si="15"/>
        <v>111</v>
      </c>
      <c r="AA32" s="1304">
        <f t="shared" si="3"/>
        <v>1</v>
      </c>
      <c r="AB32" s="1304">
        <f t="shared" si="4"/>
        <v>1</v>
      </c>
      <c r="AC32" s="1304">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707"/>
      <c r="Q33" s="1301">
        <f t="shared" si="11"/>
        <v>111</v>
      </c>
      <c r="R33" s="630" t="s">
        <v>25</v>
      </c>
      <c r="S33" s="631">
        <f t="shared" si="12"/>
        <v>100</v>
      </c>
      <c r="T33" s="630" t="s">
        <v>25</v>
      </c>
      <c r="U33" s="631">
        <f t="shared" si="13"/>
        <v>100</v>
      </c>
      <c r="V33" s="630" t="s">
        <v>25</v>
      </c>
      <c r="W33" s="631">
        <f t="shared" si="14"/>
        <v>100</v>
      </c>
      <c r="X33" s="1302"/>
      <c r="Y33" s="3707"/>
      <c r="Z33" s="1303">
        <f t="shared" si="15"/>
        <v>111</v>
      </c>
      <c r="AA33" s="1304">
        <f t="shared" si="3"/>
        <v>1</v>
      </c>
      <c r="AB33" s="1304">
        <f t="shared" si="4"/>
        <v>1</v>
      </c>
      <c r="AC33" s="1304">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0"/>
      <c r="M34" s="2991"/>
      <c r="N34" s="2991"/>
      <c r="O34" s="2999"/>
      <c r="P34" s="3707"/>
      <c r="Q34" s="1301">
        <f t="shared" si="11"/>
        <v>111</v>
      </c>
      <c r="R34" s="630" t="s">
        <v>25</v>
      </c>
      <c r="S34" s="631">
        <f t="shared" si="12"/>
        <v>100</v>
      </c>
      <c r="T34" s="630" t="s">
        <v>25</v>
      </c>
      <c r="U34" s="631">
        <f t="shared" si="13"/>
        <v>100</v>
      </c>
      <c r="V34" s="630" t="s">
        <v>25</v>
      </c>
      <c r="W34" s="631">
        <f t="shared" si="14"/>
        <v>100</v>
      </c>
      <c r="X34" s="1302"/>
      <c r="Y34" s="3707"/>
      <c r="Z34" s="1303">
        <f t="shared" si="15"/>
        <v>111</v>
      </c>
      <c r="AA34" s="1304">
        <f t="shared" si="3"/>
        <v>1</v>
      </c>
      <c r="AB34" s="1304">
        <f t="shared" si="4"/>
        <v>1</v>
      </c>
      <c r="AC34" s="1304">
        <f t="shared" si="5"/>
        <v>1</v>
      </c>
    </row>
    <row r="35" spans="1:29" ht="15">
      <c r="A35" s="367" t="s">
        <v>2229</v>
      </c>
      <c r="B35" s="368"/>
      <c r="C35" s="1121" t="s">
        <v>1</v>
      </c>
      <c r="D35" s="1122"/>
      <c r="E35" s="1123"/>
      <c r="F35" s="1124"/>
      <c r="G35" s="1125"/>
      <c r="H35" s="1126"/>
      <c r="I35" s="1123"/>
      <c r="J35" s="1126"/>
      <c r="K35" s="639"/>
      <c r="L35" s="3002"/>
      <c r="N35" s="2991"/>
      <c r="P35" s="3675" t="str">
        <f>A35</f>
        <v>成交单价（元/平方米）</v>
      </c>
      <c r="Q35" s="3675"/>
      <c r="R35" s="3709">
        <f>E35</f>
        <v>0</v>
      </c>
      <c r="S35" s="3709"/>
      <c r="T35" s="3709">
        <f>G35</f>
        <v>0</v>
      </c>
      <c r="U35" s="3709"/>
      <c r="V35" s="3709">
        <f>I35</f>
        <v>0</v>
      </c>
      <c r="W35" s="3709"/>
      <c r="X35" s="617"/>
      <c r="Y35" s="637"/>
      <c r="Z35" s="617"/>
      <c r="AA35" s="617"/>
      <c r="AB35" s="617"/>
      <c r="AC35" s="617"/>
    </row>
    <row r="36" spans="1:29" ht="15.75" thickBot="1">
      <c r="A36" s="374" t="s">
        <v>2312</v>
      </c>
      <c r="B36" s="375"/>
      <c r="C36" s="1127" t="e">
        <f>R37</f>
        <v>#DIV/0!</v>
      </c>
      <c r="D36" s="1764" t="s">
        <v>2686</v>
      </c>
      <c r="E36" s="1128" t="e">
        <f>R36</f>
        <v>#DIV/0!</v>
      </c>
      <c r="F36" s="1766"/>
      <c r="G36" s="1127" t="e">
        <f>T36</f>
        <v>#DIV/0!</v>
      </c>
      <c r="H36" s="1766"/>
      <c r="I36" s="1128" t="e">
        <f>V36</f>
        <v>#DIV/0!</v>
      </c>
      <c r="J36" s="1766"/>
      <c r="K36" s="2478">
        <f>F36+H36+J36</f>
        <v>0</v>
      </c>
      <c r="L36" s="3002"/>
      <c r="N36" s="2991"/>
      <c r="P36" s="3675" t="str">
        <f>A36</f>
        <v>比较价值（元/平方米）</v>
      </c>
      <c r="Q36" s="3675"/>
      <c r="R36" s="3709" t="e">
        <f>IF(E1="售价",ROUND(PRODUCT(R35,AA7:AA34),0),ROUND(PRODUCT(R35,AA7:AA34),1))</f>
        <v>#DIV/0!</v>
      </c>
      <c r="S36" s="3709"/>
      <c r="T36" s="3709" t="e">
        <f>IF(E1="售价",ROUND(PRODUCT(T35,AB7:AB34),0),ROUND(PRODUCT(T35,AB7:AB34),1))</f>
        <v>#DIV/0!</v>
      </c>
      <c r="U36" s="3709"/>
      <c r="V36" s="3709" t="e">
        <f>IF(E1="售价",ROUND(PRODUCT(V35,AC7:AC34),0),ROUND(PRODUCT(V35,AC7:AC34),1))</f>
        <v>#DIV/0!</v>
      </c>
      <c r="W36" s="3709"/>
      <c r="X36" s="617"/>
      <c r="Y36" s="617"/>
      <c r="Z36" s="617"/>
      <c r="AA36" s="617"/>
      <c r="AB36" s="617"/>
      <c r="AC36" s="617"/>
    </row>
    <row r="37" spans="1:29" ht="15.75" thickBot="1">
      <c r="A37" s="378" t="s">
        <v>2335</v>
      </c>
      <c r="B37" s="379"/>
      <c r="C37" s="1129" t="e">
        <f>R37</f>
        <v>#DIV/0!</v>
      </c>
      <c r="D37" s="1129"/>
      <c r="E37" s="1129"/>
      <c r="F37" s="1129"/>
      <c r="G37" s="1129"/>
      <c r="H37" s="1129"/>
      <c r="I37" s="1129"/>
      <c r="J37" s="1129"/>
      <c r="K37" s="640"/>
      <c r="L37" s="3002"/>
      <c r="P37" s="3710" t="str">
        <f>A37</f>
        <v>估价对象XX用房的比较价值（楼面单价，元/平方米）</v>
      </c>
      <c r="Q37" s="3711"/>
      <c r="R37" s="3712" t="e">
        <f>IF(E1="售价",ROUND(IF(D36="简单平均",AVERAGE(R36:W36),R36*F36+T36*H36+V36*J36),0),ROUND(IF(D36="简单平均",AVERAGE(R36:V36),R36*F36+T36*H36+V36*J36),1))</f>
        <v>#DIV/0!</v>
      </c>
      <c r="S37" s="3712"/>
      <c r="T37" s="3712"/>
      <c r="U37" s="3712"/>
      <c r="V37" s="3712"/>
      <c r="W37" s="3712"/>
      <c r="X37" s="617"/>
      <c r="Y37" s="617"/>
      <c r="Z37" s="617"/>
      <c r="AA37" s="617"/>
      <c r="AB37" s="617"/>
      <c r="AC37" s="617"/>
    </row>
    <row r="38" spans="1:29">
      <c r="G38" s="3005"/>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19" t="s">
        <v>2317</v>
      </c>
      <c r="B45" s="617"/>
      <c r="C45" s="620"/>
      <c r="D45" s="620"/>
      <c r="E45" s="620"/>
      <c r="F45" s="621"/>
      <c r="G45" s="621"/>
      <c r="H45" s="620"/>
      <c r="I45" s="620"/>
      <c r="J45" s="620"/>
      <c r="K45" s="622"/>
      <c r="L45" s="623"/>
      <c r="M45" s="620"/>
      <c r="N45" s="3008"/>
      <c r="O45" s="3008"/>
      <c r="P45" s="389"/>
      <c r="Q45" s="390"/>
    </row>
    <row r="46" spans="1:29" s="394" customFormat="1" ht="15">
      <c r="A46" s="391" t="s">
        <v>2199</v>
      </c>
      <c r="B46" s="392"/>
      <c r="C46" s="1155" t="str">
        <f>YEAR(C7)&amp;"-"&amp;MONTH(C7)</f>
        <v>2021-12</v>
      </c>
      <c r="D46" s="1156">
        <f>EDATE(C46,-1)</f>
        <v>44501</v>
      </c>
      <c r="E46" s="1156">
        <f t="shared" ref="E46:O46" si="16">EDATE(D46,-1)</f>
        <v>44470</v>
      </c>
      <c r="F46" s="1156">
        <f t="shared" si="16"/>
        <v>44440</v>
      </c>
      <c r="G46" s="1156">
        <f t="shared" si="16"/>
        <v>44409</v>
      </c>
      <c r="H46" s="1156">
        <f t="shared" si="16"/>
        <v>44378</v>
      </c>
      <c r="I46" s="1156">
        <f t="shared" si="16"/>
        <v>44348</v>
      </c>
      <c r="J46" s="1156">
        <f t="shared" si="16"/>
        <v>44317</v>
      </c>
      <c r="K46" s="1156">
        <f t="shared" si="16"/>
        <v>44287</v>
      </c>
      <c r="L46" s="1156">
        <f t="shared" si="16"/>
        <v>44256</v>
      </c>
      <c r="M46" s="1156">
        <f t="shared" si="16"/>
        <v>44228</v>
      </c>
      <c r="N46" s="1156">
        <f t="shared" si="16"/>
        <v>44197</v>
      </c>
      <c r="O46" s="1156">
        <f t="shared" si="16"/>
        <v>44166</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7"/>
      <c r="E2" s="2977"/>
      <c r="F2" s="2976"/>
      <c r="G2" s="2977"/>
      <c r="H2" s="2977"/>
      <c r="I2" s="2977"/>
      <c r="J2" s="2977"/>
      <c r="K2" s="2978"/>
      <c r="L2" s="2979"/>
      <c r="M2" s="2977"/>
      <c r="N2" s="2977"/>
      <c r="O2" s="2977"/>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7"/>
      <c r="E3" s="2977"/>
      <c r="F3" s="2976"/>
      <c r="G3" s="2977"/>
      <c r="H3" s="2977"/>
      <c r="I3" s="2977"/>
      <c r="J3" s="2977"/>
      <c r="K3" s="2978"/>
      <c r="L3" s="2979"/>
      <c r="M3" s="2977"/>
      <c r="N3" s="2977"/>
      <c r="O3" s="2977"/>
      <c r="P3" s="1924"/>
      <c r="Q3" s="1924"/>
      <c r="R3" s="1924"/>
      <c r="S3" s="1924"/>
      <c r="T3" s="1924"/>
      <c r="U3" s="1924"/>
      <c r="V3" s="1924"/>
      <c r="W3" s="1924"/>
      <c r="X3" s="1924"/>
      <c r="Y3" s="1924"/>
      <c r="Z3" s="1924"/>
      <c r="AA3" s="1924"/>
      <c r="AB3" s="1931"/>
      <c r="AC3" s="1932"/>
    </row>
    <row r="4" spans="1:30" ht="15">
      <c r="A4" s="1630" t="s">
        <v>2186</v>
      </c>
      <c r="B4" s="1631"/>
      <c r="C4" s="3621" t="s">
        <v>2187</v>
      </c>
      <c r="D4" s="3622"/>
      <c r="E4" s="3623" t="s">
        <v>2188</v>
      </c>
      <c r="F4" s="3624"/>
      <c r="G4" s="3621" t="s">
        <v>2189</v>
      </c>
      <c r="H4" s="3622"/>
      <c r="I4" s="3621" t="s">
        <v>2190</v>
      </c>
      <c r="J4" s="3622"/>
      <c r="K4" s="1933" t="s">
        <v>2191</v>
      </c>
      <c r="L4" s="2962"/>
      <c r="M4" s="2963"/>
      <c r="N4" s="2963"/>
      <c r="O4" s="2963"/>
      <c r="P4" s="3625" t="s">
        <v>2192</v>
      </c>
      <c r="Q4" s="3626"/>
      <c r="R4" s="3631" t="s">
        <v>2188</v>
      </c>
      <c r="S4" s="3632"/>
      <c r="T4" s="3631" t="s">
        <v>2189</v>
      </c>
      <c r="U4" s="3632"/>
      <c r="V4" s="3637" t="s">
        <v>2190</v>
      </c>
      <c r="W4" s="3637"/>
      <c r="X4" s="1633"/>
      <c r="Y4" s="3631" t="s">
        <v>2192</v>
      </c>
      <c r="Z4" s="3632"/>
      <c r="AA4" s="3618" t="s">
        <v>2188</v>
      </c>
      <c r="AB4" s="3619" t="s">
        <v>2189</v>
      </c>
      <c r="AC4" s="3618" t="s">
        <v>2190</v>
      </c>
    </row>
    <row r="5" spans="1:30" ht="15">
      <c r="A5" s="1635"/>
      <c r="B5" s="1636"/>
      <c r="C5" s="3640" t="s">
        <v>2193</v>
      </c>
      <c r="D5" s="3641"/>
      <c r="E5" s="3638" t="s">
        <v>2194</v>
      </c>
      <c r="F5" s="3639"/>
      <c r="G5" s="3640" t="s">
        <v>2195</v>
      </c>
      <c r="H5" s="3641"/>
      <c r="I5" s="3640" t="s">
        <v>2196</v>
      </c>
      <c r="J5" s="3641"/>
      <c r="K5" s="1933"/>
      <c r="L5" s="2962"/>
      <c r="M5" s="2963"/>
      <c r="N5" s="2963"/>
      <c r="O5" s="2963"/>
      <c r="P5" s="3627"/>
      <c r="Q5" s="3628"/>
      <c r="R5" s="3633"/>
      <c r="S5" s="3634"/>
      <c r="T5" s="3633"/>
      <c r="U5" s="3634"/>
      <c r="V5" s="3637"/>
      <c r="W5" s="3637"/>
      <c r="X5" s="1633"/>
      <c r="Y5" s="3633"/>
      <c r="Z5" s="3634"/>
      <c r="AA5" s="3619"/>
      <c r="AB5" s="3619"/>
      <c r="AC5" s="3619"/>
    </row>
    <row r="6" spans="1:30" ht="15.75" thickBot="1">
      <c r="A6" s="1638"/>
      <c r="B6" s="1639"/>
      <c r="C6" s="3642" t="s">
        <v>2197</v>
      </c>
      <c r="D6" s="3643"/>
      <c r="E6" s="3644" t="s">
        <v>2197</v>
      </c>
      <c r="F6" s="3645"/>
      <c r="G6" s="3642" t="s">
        <v>2197</v>
      </c>
      <c r="H6" s="3643"/>
      <c r="I6" s="3642" t="s">
        <v>2197</v>
      </c>
      <c r="J6" s="3643"/>
      <c r="K6" s="1933" t="s">
        <v>2198</v>
      </c>
      <c r="L6" s="2962"/>
      <c r="M6" s="2963"/>
      <c r="N6" s="2963"/>
      <c r="O6" s="2963"/>
      <c r="P6" s="3629"/>
      <c r="Q6" s="3630"/>
      <c r="R6" s="3633"/>
      <c r="S6" s="3634"/>
      <c r="T6" s="3635"/>
      <c r="U6" s="3636"/>
      <c r="V6" s="3637"/>
      <c r="W6" s="3637"/>
      <c r="X6" s="1633"/>
      <c r="Y6" s="3635"/>
      <c r="Z6" s="3636"/>
      <c r="AA6" s="3620"/>
      <c r="AB6" s="3620"/>
      <c r="AC6" s="3620"/>
    </row>
    <row r="7" spans="1:30" s="1652" customFormat="1" ht="15.75" thickBot="1">
      <c r="A7" s="1640" t="s">
        <v>2199</v>
      </c>
      <c r="B7" s="1641"/>
      <c r="C7" s="1642">
        <f>'数据-取费表'!B2</f>
        <v>44554</v>
      </c>
      <c r="D7" s="1643">
        <v>100</v>
      </c>
      <c r="E7" s="1644"/>
      <c r="F7" s="1645">
        <f>SUMIF(70:70,YEAR(E7)&amp;"-"&amp;INT((MONTH(E7)+2)/3),71:71)</f>
        <v>0</v>
      </c>
      <c r="G7" s="1934"/>
      <c r="H7" s="1643">
        <f>SUMIF(70:70,YEAR(G7)&amp;"-"&amp;INT((MONTH(G7)+2)/3),71:71)</f>
        <v>0</v>
      </c>
      <c r="I7" s="1934"/>
      <c r="J7" s="1643">
        <f>SUMIF(70:70,YEAR(I7)&amp;"-"&amp;INT((MONTH(I7)+2)/3),71:71)</f>
        <v>0</v>
      </c>
      <c r="K7" s="1935"/>
      <c r="L7" s="2962"/>
      <c r="M7" s="2935"/>
      <c r="N7" s="2935"/>
      <c r="O7" s="2935"/>
      <c r="P7" s="3653" t="s">
        <v>2200</v>
      </c>
      <c r="Q7" s="3655"/>
      <c r="R7" s="1648" t="s">
        <v>25</v>
      </c>
      <c r="S7" s="1649">
        <f t="shared" ref="S7:S15" si="0">F7</f>
        <v>0</v>
      </c>
      <c r="T7" s="1648" t="s">
        <v>25</v>
      </c>
      <c r="U7" s="1649">
        <f t="shared" ref="U7:U15" si="1">H7</f>
        <v>0</v>
      </c>
      <c r="V7" s="1648" t="s">
        <v>25</v>
      </c>
      <c r="W7" s="1649">
        <f t="shared" ref="W7:W15" si="2">J7</f>
        <v>0</v>
      </c>
      <c r="X7" s="1650"/>
      <c r="Y7" s="3653" t="s">
        <v>2200</v>
      </c>
      <c r="Z7" s="3654"/>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2"/>
      <c r="M8" s="2935"/>
      <c r="N8" s="2935"/>
      <c r="O8" s="2935"/>
      <c r="P8" s="3653" t="s">
        <v>2203</v>
      </c>
      <c r="Q8" s="3654"/>
      <c r="R8" s="1648" t="s">
        <v>25</v>
      </c>
      <c r="S8" s="1649">
        <f t="shared" si="0"/>
        <v>0</v>
      </c>
      <c r="T8" s="1648" t="s">
        <v>25</v>
      </c>
      <c r="U8" s="1649">
        <f t="shared" si="1"/>
        <v>0</v>
      </c>
      <c r="V8" s="1648" t="s">
        <v>25</v>
      </c>
      <c r="W8" s="1649">
        <f t="shared" si="2"/>
        <v>0</v>
      </c>
      <c r="X8" s="1650"/>
      <c r="Y8" s="3653" t="s">
        <v>2203</v>
      </c>
      <c r="Z8" s="3654"/>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2"/>
      <c r="M9" s="2935"/>
      <c r="N9" s="2935"/>
      <c r="O9" s="3009"/>
      <c r="P9" s="3657" t="s">
        <v>2206</v>
      </c>
      <c r="Q9" s="1602" t="str">
        <f t="shared" ref="Q9:Q15" si="6">B9</f>
        <v>用途</v>
      </c>
      <c r="R9" s="1648" t="s">
        <v>25</v>
      </c>
      <c r="S9" s="1649">
        <f t="shared" si="0"/>
        <v>100</v>
      </c>
      <c r="T9" s="1648" t="s">
        <v>25</v>
      </c>
      <c r="U9" s="1649">
        <f t="shared" si="1"/>
        <v>100</v>
      </c>
      <c r="V9" s="1648" t="s">
        <v>25</v>
      </c>
      <c r="W9" s="1649">
        <f t="shared" si="2"/>
        <v>100</v>
      </c>
      <c r="X9" s="1650"/>
      <c r="Y9" s="3433"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110</v>
      </c>
      <c r="G10" s="1725"/>
      <c r="H10" s="1665">
        <f>ROUND(100/'数据-取费表'!B14,0)</f>
        <v>110</v>
      </c>
      <c r="I10" s="1725"/>
      <c r="J10" s="1665">
        <f>ROUND(100/'数据-取费表'!B14,0)</f>
        <v>110</v>
      </c>
      <c r="K10" s="1937"/>
      <c r="L10" s="2964"/>
      <c r="M10" s="2965"/>
      <c r="N10" s="2965"/>
      <c r="O10" s="3010"/>
      <c r="P10" s="3657"/>
      <c r="Q10" s="1602" t="str">
        <f t="shared" si="6"/>
        <v>土地使用年限（年）</v>
      </c>
      <c r="R10" s="1648" t="s">
        <v>25</v>
      </c>
      <c r="S10" s="1649">
        <f t="shared" si="0"/>
        <v>110</v>
      </c>
      <c r="T10" s="1648" t="s">
        <v>25</v>
      </c>
      <c r="U10" s="1649">
        <f t="shared" si="1"/>
        <v>110</v>
      </c>
      <c r="V10" s="1648" t="s">
        <v>25</v>
      </c>
      <c r="W10" s="1649">
        <f t="shared" si="2"/>
        <v>110</v>
      </c>
      <c r="X10" s="1650"/>
      <c r="Y10" s="3433"/>
      <c r="Z10" s="1661" t="str">
        <f t="shared" si="7"/>
        <v>土地使用年限（年）</v>
      </c>
      <c r="AA10" s="1651">
        <f t="shared" si="3"/>
        <v>0.90909090909090906</v>
      </c>
      <c r="AB10" s="1651">
        <f t="shared" si="4"/>
        <v>0.90909090909090906</v>
      </c>
      <c r="AC10" s="1651">
        <f t="shared" si="5"/>
        <v>0.90909090909090906</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6"/>
      <c r="M11" s="2963"/>
      <c r="N11" s="2963"/>
      <c r="O11" s="3011"/>
      <c r="P11" s="3657"/>
      <c r="Q11" s="1602" t="str">
        <f t="shared" si="6"/>
        <v>容积率</v>
      </c>
      <c r="R11" s="1648" t="s">
        <v>25</v>
      </c>
      <c r="S11" s="1649" t="e">
        <f t="shared" si="0"/>
        <v>#N/A</v>
      </c>
      <c r="T11" s="1648" t="s">
        <v>25</v>
      </c>
      <c r="U11" s="1649" t="e">
        <f t="shared" si="1"/>
        <v>#N/A</v>
      </c>
      <c r="V11" s="1648" t="s">
        <v>25</v>
      </c>
      <c r="W11" s="1649" t="e">
        <f t="shared" si="2"/>
        <v>#N/A</v>
      </c>
      <c r="X11" s="1650"/>
      <c r="Y11" s="3433"/>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2"/>
      <c r="M12" s="2935"/>
      <c r="N12" s="2935"/>
      <c r="O12" s="3009"/>
      <c r="P12" s="3657"/>
      <c r="Q12" s="1602" t="str">
        <f t="shared" si="6"/>
        <v>配建</v>
      </c>
      <c r="R12" s="1648" t="s">
        <v>25</v>
      </c>
      <c r="S12" s="1649">
        <f t="shared" si="0"/>
        <v>100</v>
      </c>
      <c r="T12" s="1648" t="s">
        <v>25</v>
      </c>
      <c r="U12" s="1649">
        <f t="shared" si="1"/>
        <v>100</v>
      </c>
      <c r="V12" s="1648" t="s">
        <v>25</v>
      </c>
      <c r="W12" s="1649">
        <f t="shared" si="2"/>
        <v>100</v>
      </c>
      <c r="X12" s="1650"/>
      <c r="Y12" s="3433"/>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7"/>
      <c r="M13" s="2963"/>
      <c r="N13" s="2963"/>
      <c r="O13" s="3011"/>
      <c r="P13" s="3657"/>
      <c r="Q13" s="1602">
        <f t="shared" si="6"/>
        <v>111</v>
      </c>
      <c r="R13" s="1648" t="s">
        <v>25</v>
      </c>
      <c r="S13" s="1649">
        <f t="shared" si="0"/>
        <v>100</v>
      </c>
      <c r="T13" s="1648" t="s">
        <v>25</v>
      </c>
      <c r="U13" s="1649">
        <f t="shared" si="1"/>
        <v>100</v>
      </c>
      <c r="V13" s="1648" t="s">
        <v>25</v>
      </c>
      <c r="W13" s="1649">
        <f t="shared" si="2"/>
        <v>100</v>
      </c>
      <c r="X13" s="1650"/>
      <c r="Y13" s="3433"/>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7"/>
      <c r="M14" s="2963"/>
      <c r="N14" s="2963"/>
      <c r="O14" s="3011"/>
      <c r="P14" s="3657"/>
      <c r="Q14" s="1602">
        <f t="shared" si="6"/>
        <v>111</v>
      </c>
      <c r="R14" s="1648" t="s">
        <v>25</v>
      </c>
      <c r="S14" s="1649">
        <f t="shared" si="0"/>
        <v>100</v>
      </c>
      <c r="T14" s="1648" t="s">
        <v>25</v>
      </c>
      <c r="U14" s="1649">
        <f t="shared" si="1"/>
        <v>100</v>
      </c>
      <c r="V14" s="1648" t="s">
        <v>25</v>
      </c>
      <c r="W14" s="1649">
        <f t="shared" si="2"/>
        <v>100</v>
      </c>
      <c r="X14" s="1650"/>
      <c r="Y14" s="3433"/>
      <c r="Z14" s="1661">
        <f t="shared" si="7"/>
        <v>111</v>
      </c>
      <c r="AA14" s="1651">
        <f>D14/F14</f>
        <v>1</v>
      </c>
      <c r="AB14" s="1651">
        <f>D14/H14</f>
        <v>1</v>
      </c>
      <c r="AC14" s="1651">
        <f>D14/J14</f>
        <v>1</v>
      </c>
    </row>
    <row r="15" spans="1:30" ht="99.75">
      <c r="A15" s="1630" t="s">
        <v>2210</v>
      </c>
      <c r="B15" s="1940" t="s">
        <v>1646</v>
      </c>
      <c r="C15" s="1941"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8"/>
      <c r="L15" s="2967"/>
      <c r="M15" s="2963"/>
      <c r="N15" s="2963"/>
      <c r="O15" s="3011"/>
      <c r="P15" s="3646" t="s">
        <v>2211</v>
      </c>
      <c r="Q15" s="1583" t="str">
        <f t="shared" si="6"/>
        <v>居住社区成熟度</v>
      </c>
      <c r="R15" s="1693" t="s">
        <v>25</v>
      </c>
      <c r="S15" s="1694">
        <f t="shared" si="0"/>
        <v>100</v>
      </c>
      <c r="T15" s="1693" t="s">
        <v>25</v>
      </c>
      <c r="U15" s="1694">
        <f t="shared" si="1"/>
        <v>100</v>
      </c>
      <c r="V15" s="1693" t="s">
        <v>25</v>
      </c>
      <c r="W15" s="1694">
        <f t="shared" si="2"/>
        <v>100</v>
      </c>
      <c r="X15" s="1633"/>
      <c r="Y15" s="3646"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7"/>
      <c r="M16" s="2963"/>
      <c r="N16" s="2963"/>
      <c r="O16" s="3011"/>
      <c r="P16" s="3647"/>
      <c r="Q16" s="1583"/>
      <c r="R16" s="1693"/>
      <c r="S16" s="1694"/>
      <c r="T16" s="1693"/>
      <c r="U16" s="1694"/>
      <c r="V16" s="1693"/>
      <c r="W16" s="1694"/>
      <c r="X16" s="1633"/>
      <c r="Y16" s="3647"/>
      <c r="Z16" s="1695"/>
      <c r="AA16" s="1696">
        <v>1</v>
      </c>
      <c r="AB16" s="1696">
        <v>1</v>
      </c>
      <c r="AC16" s="1696">
        <v>1</v>
      </c>
    </row>
    <row r="17" spans="1:29" ht="71.25">
      <c r="A17" s="1635"/>
      <c r="B17" s="1944" t="s">
        <v>2296</v>
      </c>
      <c r="C17" s="1945"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8"/>
      <c r="L17" s="2967"/>
      <c r="M17" s="2963"/>
      <c r="N17" s="2963"/>
      <c r="O17" s="3011"/>
      <c r="P17" s="3647"/>
      <c r="Q17" s="1583" t="str">
        <f>B17</f>
        <v>商业繁华度</v>
      </c>
      <c r="R17" s="1693" t="s">
        <v>25</v>
      </c>
      <c r="S17" s="1694">
        <f>F17</f>
        <v>100</v>
      </c>
      <c r="T17" s="1693" t="s">
        <v>25</v>
      </c>
      <c r="U17" s="1694">
        <f>H17</f>
        <v>100</v>
      </c>
      <c r="V17" s="1693" t="s">
        <v>25</v>
      </c>
      <c r="W17" s="1694">
        <f>J17</f>
        <v>100</v>
      </c>
      <c r="X17" s="1633"/>
      <c r="Y17" s="3647"/>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7"/>
      <c r="M18" s="2963"/>
      <c r="N18" s="2963"/>
      <c r="O18" s="3011"/>
      <c r="P18" s="3647"/>
      <c r="Q18" s="1583"/>
      <c r="R18" s="1693"/>
      <c r="S18" s="1694"/>
      <c r="T18" s="1693"/>
      <c r="U18" s="1694"/>
      <c r="V18" s="1693"/>
      <c r="W18" s="1694"/>
      <c r="X18" s="1633"/>
      <c r="Y18" s="3647"/>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7"/>
      <c r="M19" s="2963"/>
      <c r="N19" s="2963"/>
      <c r="O19" s="3011"/>
      <c r="P19" s="3647"/>
      <c r="Q19" s="1583" t="str">
        <f>B19</f>
        <v>办公集聚程度</v>
      </c>
      <c r="R19" s="1693" t="s">
        <v>25</v>
      </c>
      <c r="S19" s="1694">
        <f>F19</f>
        <v>100</v>
      </c>
      <c r="T19" s="1693" t="s">
        <v>25</v>
      </c>
      <c r="U19" s="1694">
        <f>H19</f>
        <v>100</v>
      </c>
      <c r="V19" s="1693" t="s">
        <v>25</v>
      </c>
      <c r="W19" s="1694">
        <f>J19</f>
        <v>100</v>
      </c>
      <c r="X19" s="1633"/>
      <c r="Y19" s="3647"/>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7"/>
      <c r="M20" s="2963"/>
      <c r="N20" s="2963"/>
      <c r="O20" s="3011"/>
      <c r="P20" s="3647"/>
      <c r="Q20" s="1583"/>
      <c r="R20" s="1693"/>
      <c r="S20" s="1694"/>
      <c r="T20" s="1693"/>
      <c r="U20" s="1694"/>
      <c r="V20" s="1693"/>
      <c r="W20" s="1694"/>
      <c r="X20" s="1633"/>
      <c r="Y20" s="3647"/>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8"/>
      <c r="L21" s="2967"/>
      <c r="M21" s="2963"/>
      <c r="N21" s="2963"/>
      <c r="O21" s="3011"/>
      <c r="P21" s="3647"/>
      <c r="Q21" s="1583" t="str">
        <f>B21</f>
        <v>交通便捷度</v>
      </c>
      <c r="R21" s="1693" t="s">
        <v>25</v>
      </c>
      <c r="S21" s="1694">
        <f>F21</f>
        <v>100</v>
      </c>
      <c r="T21" s="1693" t="s">
        <v>25</v>
      </c>
      <c r="U21" s="1694">
        <f>H21</f>
        <v>100</v>
      </c>
      <c r="V21" s="1693" t="s">
        <v>25</v>
      </c>
      <c r="W21" s="1694">
        <f>J21</f>
        <v>100</v>
      </c>
      <c r="X21" s="1633"/>
      <c r="Y21" s="3647"/>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7"/>
      <c r="M22" s="2963"/>
      <c r="N22" s="2963"/>
      <c r="O22" s="3011"/>
      <c r="P22" s="3647"/>
      <c r="Q22" s="1583"/>
      <c r="R22" s="1693"/>
      <c r="S22" s="1694"/>
      <c r="T22" s="1693"/>
      <c r="U22" s="1694"/>
      <c r="V22" s="1693"/>
      <c r="W22" s="1694"/>
      <c r="X22" s="1633"/>
      <c r="Y22" s="3647"/>
      <c r="Z22" s="1695"/>
      <c r="AA22" s="1696">
        <v>1</v>
      </c>
      <c r="AB22" s="1696">
        <v>1</v>
      </c>
      <c r="AC22" s="1696">
        <v>1</v>
      </c>
    </row>
    <row r="23" spans="1:29" ht="15">
      <c r="A23" s="1635"/>
      <c r="B23" s="1425"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7"/>
      <c r="M23" s="2963"/>
      <c r="N23" s="2963"/>
      <c r="O23" s="3011"/>
      <c r="P23" s="3647"/>
      <c r="Q23" s="1583" t="str">
        <f t="shared" ref="Q23:Q37" si="8">B23</f>
        <v>区域土地利用方向</v>
      </c>
      <c r="R23" s="1693" t="s">
        <v>25</v>
      </c>
      <c r="S23" s="1694">
        <f>F23</f>
        <v>100</v>
      </c>
      <c r="T23" s="1693" t="s">
        <v>25</v>
      </c>
      <c r="U23" s="1694">
        <f>H23</f>
        <v>100</v>
      </c>
      <c r="V23" s="1693" t="s">
        <v>25</v>
      </c>
      <c r="W23" s="1694">
        <f>J23</f>
        <v>100</v>
      </c>
      <c r="X23" s="1633"/>
      <c r="Y23" s="3647"/>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7"/>
      <c r="M24" s="2963"/>
      <c r="N24" s="2963"/>
      <c r="O24" s="3011"/>
      <c r="P24" s="3647"/>
      <c r="Q24" s="1583"/>
      <c r="R24" s="1693"/>
      <c r="S24" s="1694"/>
      <c r="T24" s="1693"/>
      <c r="U24" s="1694"/>
      <c r="V24" s="1693"/>
      <c r="W24" s="1694"/>
      <c r="X24" s="1633"/>
      <c r="Y24" s="3647"/>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7"/>
      <c r="M25" s="2963"/>
      <c r="N25" s="2963"/>
      <c r="O25" s="3011"/>
      <c r="P25" s="3647"/>
      <c r="Q25" s="1583" t="str">
        <f t="shared" si="8"/>
        <v>自然及人文环境状况</v>
      </c>
      <c r="R25" s="1693" t="s">
        <v>25</v>
      </c>
      <c r="S25" s="1694">
        <f>F25</f>
        <v>100</v>
      </c>
      <c r="T25" s="1693" t="s">
        <v>25</v>
      </c>
      <c r="U25" s="1694">
        <f>H25</f>
        <v>100</v>
      </c>
      <c r="V25" s="1693" t="s">
        <v>25</v>
      </c>
      <c r="W25" s="1694">
        <f>J25</f>
        <v>100</v>
      </c>
      <c r="X25" s="1633"/>
      <c r="Y25" s="3647"/>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7"/>
      <c r="M26" s="2963"/>
      <c r="N26" s="2963"/>
      <c r="O26" s="3011"/>
      <c r="P26" s="3647"/>
      <c r="Q26" s="1583"/>
      <c r="R26" s="1693"/>
      <c r="S26" s="1694"/>
      <c r="T26" s="1693"/>
      <c r="U26" s="1694"/>
      <c r="V26" s="1693"/>
      <c r="W26" s="1694"/>
      <c r="X26" s="1633"/>
      <c r="Y26" s="3647"/>
      <c r="Z26" s="1695"/>
      <c r="AA26" s="1696">
        <v>1</v>
      </c>
      <c r="AB26" s="1696">
        <v>1</v>
      </c>
      <c r="AC26" s="1696">
        <v>1</v>
      </c>
    </row>
    <row r="27" spans="1:29" ht="42.75">
      <c r="A27" s="1635"/>
      <c r="B27" s="1949" t="s">
        <v>2297</v>
      </c>
      <c r="C27" s="1948"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7"/>
      <c r="M27" s="2963"/>
      <c r="N27" s="2963"/>
      <c r="O27" s="3011"/>
      <c r="P27" s="3647"/>
      <c r="Q27" s="1602" t="str">
        <f t="shared" ref="Q27" si="9">B27</f>
        <v>公共配套设施</v>
      </c>
      <c r="R27" s="1648" t="s">
        <v>25</v>
      </c>
      <c r="S27" s="1649">
        <f>F27</f>
        <v>100</v>
      </c>
      <c r="T27" s="1648" t="s">
        <v>25</v>
      </c>
      <c r="U27" s="1649">
        <f>H27</f>
        <v>100</v>
      </c>
      <c r="V27" s="1648" t="s">
        <v>25</v>
      </c>
      <c r="W27" s="1649">
        <f>J27</f>
        <v>100</v>
      </c>
      <c r="X27" s="1633"/>
      <c r="Y27" s="3647"/>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7"/>
      <c r="M28" s="2963"/>
      <c r="N28" s="2963"/>
      <c r="O28" s="3011"/>
      <c r="P28" s="3647"/>
      <c r="Q28" s="1583"/>
      <c r="R28" s="1693"/>
      <c r="S28" s="1694"/>
      <c r="T28" s="1693"/>
      <c r="U28" s="1694"/>
      <c r="V28" s="1693"/>
      <c r="W28" s="1694"/>
      <c r="X28" s="1633"/>
      <c r="Y28" s="3647"/>
      <c r="Z28" s="1661"/>
      <c r="AA28" s="1696">
        <v>1</v>
      </c>
      <c r="AB28" s="1696">
        <v>1</v>
      </c>
      <c r="AC28" s="1696">
        <v>1</v>
      </c>
    </row>
    <row r="29" spans="1:29" s="1652" customFormat="1" ht="28.5">
      <c r="A29" s="1955"/>
      <c r="B29" s="1949" t="s">
        <v>2298</v>
      </c>
      <c r="C29" s="1956"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2"/>
      <c r="M29" s="2935"/>
      <c r="N29" s="2935"/>
      <c r="O29" s="3009"/>
      <c r="P29" s="3647"/>
      <c r="Q29" s="1602" t="str">
        <f t="shared" si="8"/>
        <v>基础设施水平</v>
      </c>
      <c r="R29" s="1648" t="s">
        <v>25</v>
      </c>
      <c r="S29" s="1649">
        <f>F29</f>
        <v>100</v>
      </c>
      <c r="T29" s="1648" t="s">
        <v>25</v>
      </c>
      <c r="U29" s="1649">
        <f>H29</f>
        <v>100</v>
      </c>
      <c r="V29" s="1648" t="s">
        <v>25</v>
      </c>
      <c r="W29" s="1649">
        <f>J29</f>
        <v>100</v>
      </c>
      <c r="X29" s="1650"/>
      <c r="Y29" s="3647"/>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2"/>
      <c r="M30" s="2935"/>
      <c r="N30" s="2935"/>
      <c r="O30" s="3009"/>
      <c r="P30" s="3647"/>
      <c r="Q30" s="1602"/>
      <c r="R30" s="1648"/>
      <c r="S30" s="1649"/>
      <c r="T30" s="1648"/>
      <c r="U30" s="1649"/>
      <c r="V30" s="1648"/>
      <c r="W30" s="1649"/>
      <c r="X30" s="1650"/>
      <c r="Y30" s="3647"/>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7"/>
      <c r="M31" s="2963"/>
      <c r="N31" s="2963"/>
      <c r="O31" s="3011"/>
      <c r="P31" s="3647"/>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47"/>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7"/>
      <c r="M32" s="2963"/>
      <c r="N32" s="2963"/>
      <c r="O32" s="3011"/>
      <c r="P32" s="3647"/>
      <c r="Q32" s="1583" t="str">
        <f t="shared" si="8"/>
        <v>毗邻道路的类型与等级</v>
      </c>
      <c r="R32" s="1693" t="s">
        <v>25</v>
      </c>
      <c r="S32" s="1694">
        <f t="shared" si="10"/>
        <v>100</v>
      </c>
      <c r="T32" s="1693" t="s">
        <v>25</v>
      </c>
      <c r="U32" s="1694">
        <f t="shared" si="11"/>
        <v>100</v>
      </c>
      <c r="V32" s="1693" t="s">
        <v>25</v>
      </c>
      <c r="W32" s="1694">
        <f t="shared" si="12"/>
        <v>100</v>
      </c>
      <c r="X32" s="1633"/>
      <c r="Y32" s="3647"/>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7"/>
      <c r="M33" s="2963"/>
      <c r="N33" s="2963"/>
      <c r="O33" s="3011"/>
      <c r="P33" s="3647"/>
      <c r="Q33" s="1583"/>
      <c r="R33" s="1693"/>
      <c r="S33" s="1694"/>
      <c r="T33" s="1693"/>
      <c r="U33" s="1694"/>
      <c r="V33" s="1693"/>
      <c r="W33" s="1694"/>
      <c r="X33" s="1633"/>
      <c r="Y33" s="3647"/>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7"/>
      <c r="M34" s="2963"/>
      <c r="N34" s="2963"/>
      <c r="O34" s="3011"/>
      <c r="P34" s="3647"/>
      <c r="Q34" s="1583" t="str">
        <f t="shared" si="8"/>
        <v>土地级别</v>
      </c>
      <c r="R34" s="1693" t="s">
        <v>25</v>
      </c>
      <c r="S34" s="1694">
        <f t="shared" si="10"/>
        <v>100</v>
      </c>
      <c r="T34" s="1693" t="s">
        <v>25</v>
      </c>
      <c r="U34" s="1694">
        <f t="shared" si="11"/>
        <v>100</v>
      </c>
      <c r="V34" s="1693" t="s">
        <v>25</v>
      </c>
      <c r="W34" s="1694">
        <f t="shared" si="12"/>
        <v>100</v>
      </c>
      <c r="X34" s="1633"/>
      <c r="Y34" s="3647"/>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7"/>
      <c r="M35" s="2963"/>
      <c r="N35" s="2963"/>
      <c r="O35" s="3011"/>
      <c r="P35" s="3647"/>
      <c r="Q35" s="1583">
        <f t="shared" si="8"/>
        <v>111</v>
      </c>
      <c r="R35" s="1693" t="s">
        <v>25</v>
      </c>
      <c r="S35" s="1694">
        <f t="shared" si="10"/>
        <v>100</v>
      </c>
      <c r="T35" s="1693" t="s">
        <v>25</v>
      </c>
      <c r="U35" s="1694">
        <f t="shared" si="11"/>
        <v>100</v>
      </c>
      <c r="V35" s="1693" t="s">
        <v>25</v>
      </c>
      <c r="W35" s="1694">
        <f t="shared" si="12"/>
        <v>100</v>
      </c>
      <c r="X35" s="1633"/>
      <c r="Y35" s="3647"/>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7"/>
      <c r="M36" s="2963"/>
      <c r="N36" s="2963"/>
      <c r="O36" s="3011"/>
      <c r="P36" s="3670" t="s">
        <v>2217</v>
      </c>
      <c r="Q36" s="1583">
        <f t="shared" si="8"/>
        <v>111</v>
      </c>
      <c r="R36" s="1693" t="s">
        <v>25</v>
      </c>
      <c r="S36" s="1694">
        <f t="shared" si="10"/>
        <v>100</v>
      </c>
      <c r="T36" s="1693" t="s">
        <v>25</v>
      </c>
      <c r="U36" s="1694">
        <f t="shared" si="11"/>
        <v>100</v>
      </c>
      <c r="V36" s="1693" t="s">
        <v>25</v>
      </c>
      <c r="W36" s="1694">
        <f t="shared" si="12"/>
        <v>100</v>
      </c>
      <c r="X36" s="1633"/>
      <c r="Y36" s="3651"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6"/>
      <c r="M37" s="2027"/>
      <c r="N37" s="2027"/>
      <c r="O37" s="3012"/>
      <c r="P37" s="3651"/>
      <c r="Q37" s="1583">
        <f t="shared" si="8"/>
        <v>111</v>
      </c>
      <c r="R37" s="1735" t="s">
        <v>25</v>
      </c>
      <c r="S37" s="1736">
        <f t="shared" si="10"/>
        <v>100</v>
      </c>
      <c r="T37" s="1735" t="s">
        <v>25</v>
      </c>
      <c r="U37" s="1736">
        <f t="shared" si="11"/>
        <v>100</v>
      </c>
      <c r="V37" s="1735" t="s">
        <v>25</v>
      </c>
      <c r="W37" s="1736">
        <f t="shared" si="12"/>
        <v>100</v>
      </c>
      <c r="X37" s="1737"/>
      <c r="Y37" s="3651"/>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7"/>
      <c r="M38" s="2963"/>
      <c r="N38" s="2963"/>
      <c r="O38" s="3011"/>
      <c r="P38" s="3651"/>
      <c r="Q38" s="1583" t="str">
        <f>B38</f>
        <v>宗地面积</v>
      </c>
      <c r="R38" s="1693" t="s">
        <v>25</v>
      </c>
      <c r="S38" s="1694" t="e">
        <f t="shared" si="10"/>
        <v>#N/A</v>
      </c>
      <c r="T38" s="1693" t="s">
        <v>25</v>
      </c>
      <c r="U38" s="1694" t="e">
        <f t="shared" si="11"/>
        <v>#N/A</v>
      </c>
      <c r="V38" s="1693" t="s">
        <v>25</v>
      </c>
      <c r="W38" s="1694" t="e">
        <f t="shared" si="12"/>
        <v>#N/A</v>
      </c>
      <c r="X38" s="1633"/>
      <c r="Y38" s="3651"/>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7"/>
      <c r="M39" s="2963"/>
      <c r="N39" s="2963"/>
      <c r="O39" s="3011"/>
      <c r="P39" s="3651"/>
      <c r="Q39" s="1583" t="str">
        <f t="shared" ref="Q39:Q45" si="14">B39</f>
        <v>宗地形状</v>
      </c>
      <c r="R39" s="1693" t="s">
        <v>25</v>
      </c>
      <c r="S39" s="1694">
        <f t="shared" si="10"/>
        <v>100</v>
      </c>
      <c r="T39" s="1693" t="s">
        <v>25</v>
      </c>
      <c r="U39" s="1694">
        <f t="shared" si="11"/>
        <v>100</v>
      </c>
      <c r="V39" s="1693" t="s">
        <v>25</v>
      </c>
      <c r="W39" s="1694">
        <f t="shared" si="12"/>
        <v>100</v>
      </c>
      <c r="X39" s="1633"/>
      <c r="Y39" s="3651"/>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7"/>
      <c r="M40" s="2963"/>
      <c r="N40" s="2963"/>
      <c r="O40" s="3011"/>
      <c r="P40" s="3651"/>
      <c r="Q40" s="1583" t="str">
        <f t="shared" si="14"/>
        <v>临街宽度及深度</v>
      </c>
      <c r="R40" s="1693" t="s">
        <v>25</v>
      </c>
      <c r="S40" s="1694">
        <f t="shared" si="10"/>
        <v>100</v>
      </c>
      <c r="T40" s="1693" t="s">
        <v>25</v>
      </c>
      <c r="U40" s="1694">
        <f t="shared" si="11"/>
        <v>100</v>
      </c>
      <c r="V40" s="1693" t="s">
        <v>25</v>
      </c>
      <c r="W40" s="1694">
        <f t="shared" si="12"/>
        <v>100</v>
      </c>
      <c r="X40" s="1633"/>
      <c r="Y40" s="3651"/>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2"/>
      <c r="M41" s="2935"/>
      <c r="N41" s="2935"/>
      <c r="O41" s="3009"/>
      <c r="P41" s="3651"/>
      <c r="Q41" s="1583" t="str">
        <f t="shared" si="14"/>
        <v>宗地开发程度</v>
      </c>
      <c r="R41" s="1648" t="s">
        <v>25</v>
      </c>
      <c r="S41" s="1649">
        <f t="shared" si="10"/>
        <v>100</v>
      </c>
      <c r="T41" s="1648" t="s">
        <v>25</v>
      </c>
      <c r="U41" s="1649">
        <f t="shared" si="11"/>
        <v>100</v>
      </c>
      <c r="V41" s="1648" t="s">
        <v>25</v>
      </c>
      <c r="W41" s="1649">
        <f t="shared" si="12"/>
        <v>100</v>
      </c>
      <c r="X41" s="1650"/>
      <c r="Y41" s="3651"/>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7"/>
      <c r="M42" s="2963"/>
      <c r="N42" s="2963"/>
      <c r="O42" s="3011"/>
      <c r="P42" s="3651" t="s">
        <v>2217</v>
      </c>
      <c r="Q42" s="1583" t="str">
        <f t="shared" si="14"/>
        <v>工程地质条件</v>
      </c>
      <c r="R42" s="1693" t="s">
        <v>25</v>
      </c>
      <c r="S42" s="1694">
        <f t="shared" si="10"/>
        <v>100</v>
      </c>
      <c r="T42" s="1693" t="s">
        <v>25</v>
      </c>
      <c r="U42" s="1694">
        <f t="shared" si="11"/>
        <v>100</v>
      </c>
      <c r="V42" s="1693" t="s">
        <v>25</v>
      </c>
      <c r="W42" s="1694">
        <f t="shared" si="12"/>
        <v>100</v>
      </c>
      <c r="X42" s="1633"/>
      <c r="Y42" s="3651"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7"/>
      <c r="M43" s="2963"/>
      <c r="N43" s="2963"/>
      <c r="O43" s="3011"/>
      <c r="P43" s="3651"/>
      <c r="Q43" s="1583">
        <f t="shared" si="14"/>
        <v>111</v>
      </c>
      <c r="R43" s="1693" t="s">
        <v>25</v>
      </c>
      <c r="S43" s="1694">
        <f t="shared" si="10"/>
        <v>100</v>
      </c>
      <c r="T43" s="1693" t="s">
        <v>25</v>
      </c>
      <c r="U43" s="1694">
        <f t="shared" si="11"/>
        <v>100</v>
      </c>
      <c r="V43" s="1693" t="s">
        <v>25</v>
      </c>
      <c r="W43" s="1694">
        <f t="shared" si="12"/>
        <v>100</v>
      </c>
      <c r="X43" s="1633"/>
      <c r="Y43" s="3651"/>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7"/>
      <c r="M44" s="2963"/>
      <c r="N44" s="2963"/>
      <c r="O44" s="3011"/>
      <c r="P44" s="3651"/>
      <c r="Q44" s="1583">
        <f t="shared" si="14"/>
        <v>111</v>
      </c>
      <c r="R44" s="1693" t="s">
        <v>25</v>
      </c>
      <c r="S44" s="1694">
        <f t="shared" si="10"/>
        <v>100</v>
      </c>
      <c r="T44" s="1693" t="s">
        <v>25</v>
      </c>
      <c r="U44" s="1694">
        <f t="shared" si="11"/>
        <v>100</v>
      </c>
      <c r="V44" s="1693" t="s">
        <v>25</v>
      </c>
      <c r="W44" s="1694">
        <f t="shared" si="12"/>
        <v>100</v>
      </c>
      <c r="X44" s="1633"/>
      <c r="Y44" s="3651"/>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6"/>
      <c r="M45" s="2027"/>
      <c r="N45" s="2027"/>
      <c r="O45" s="3012"/>
      <c r="P45" s="3651"/>
      <c r="Q45" s="1583">
        <f t="shared" si="14"/>
        <v>111</v>
      </c>
      <c r="R45" s="1735" t="s">
        <v>25</v>
      </c>
      <c r="S45" s="1736">
        <f t="shared" si="10"/>
        <v>100</v>
      </c>
      <c r="T45" s="1735" t="s">
        <v>25</v>
      </c>
      <c r="U45" s="1736">
        <f t="shared" si="11"/>
        <v>100</v>
      </c>
      <c r="V45" s="1735" t="s">
        <v>25</v>
      </c>
      <c r="W45" s="1736">
        <f t="shared" si="12"/>
        <v>100</v>
      </c>
      <c r="X45" s="1737"/>
      <c r="Y45" s="3651"/>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8"/>
      <c r="N46" s="2963"/>
      <c r="P46" s="3657" t="str">
        <f>A46</f>
        <v>成交单价</v>
      </c>
      <c r="Q46" s="3657"/>
      <c r="R46" s="3637">
        <f>E46</f>
        <v>0</v>
      </c>
      <c r="S46" s="3637"/>
      <c r="T46" s="3637">
        <f>G46</f>
        <v>0</v>
      </c>
      <c r="U46" s="3637"/>
      <c r="V46" s="3637">
        <f>I46</f>
        <v>0</v>
      </c>
      <c r="W46" s="3637"/>
      <c r="X46" s="1759"/>
      <c r="Y46" s="1760"/>
      <c r="Z46" s="1759"/>
      <c r="AA46" s="1759"/>
      <c r="AB46" s="1759"/>
      <c r="AC46" s="1759"/>
    </row>
    <row r="47" spans="1:29" ht="15.75" thickBot="1">
      <c r="A47" s="1761" t="s">
        <v>2312</v>
      </c>
      <c r="B47" s="1982"/>
      <c r="C47" s="1983" t="e">
        <f>R48</f>
        <v>#DIV/0!</v>
      </c>
      <c r="D47" s="1764" t="s">
        <v>2686</v>
      </c>
      <c r="E47" s="1983" t="e">
        <f>R47</f>
        <v>#DIV/0!</v>
      </c>
      <c r="F47" s="1766"/>
      <c r="G47" s="1984" t="e">
        <f>T47</f>
        <v>#DIV/0!</v>
      </c>
      <c r="H47" s="1766"/>
      <c r="I47" s="1983" t="e">
        <f>V47</f>
        <v>#DIV/0!</v>
      </c>
      <c r="J47" s="1766"/>
      <c r="K47" s="2478">
        <f>F47+H47+J47</f>
        <v>0</v>
      </c>
      <c r="L47" s="2968"/>
      <c r="P47" s="3657" t="str">
        <f>A47</f>
        <v>比较价值（元/平方米）</v>
      </c>
      <c r="Q47" s="3657"/>
      <c r="R47" s="3713" t="e">
        <f>ROUND(PRODUCT(R46,AA7:AA45),0)</f>
        <v>#DIV/0!</v>
      </c>
      <c r="S47" s="3713"/>
      <c r="T47" s="3713" t="e">
        <f>ROUND(PRODUCT(T46,AB7:AB45),0)</f>
        <v>#DIV/0!</v>
      </c>
      <c r="U47" s="3713"/>
      <c r="V47" s="3713" t="e">
        <f>ROUND(PRODUCT(V46,AC7:AC45),0)</f>
        <v>#DIV/0!</v>
      </c>
      <c r="W47" s="3713"/>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8"/>
      <c r="P48" s="3663" t="str">
        <f>A48</f>
        <v>估价对象XX用房的比较价值（楼面单价，元/平方米）</v>
      </c>
      <c r="Q48" s="3664"/>
      <c r="R48" s="3714" t="e">
        <f>ROUND(IF(D47="简单平均",AVERAGE(R47:W47),R47*F47+T47*H47+V47*J47),0)</f>
        <v>#DIV/0!</v>
      </c>
      <c r="S48" s="3714"/>
      <c r="T48" s="3714"/>
      <c r="U48" s="3714"/>
      <c r="V48" s="3714"/>
      <c r="W48" s="3714"/>
      <c r="X48" s="1759"/>
      <c r="Y48" s="1759"/>
      <c r="Z48" s="1759"/>
      <c r="AA48" s="1759"/>
      <c r="AB48" s="1759"/>
      <c r="AC48" s="1759"/>
    </row>
    <row r="49" spans="1:14">
      <c r="G49" s="2972"/>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5"/>
      <c r="L53" s="2969"/>
    </row>
    <row r="54" spans="1:14" s="1781" customFormat="1" ht="15" thickBot="1">
      <c r="B54" s="2973"/>
      <c r="C54" s="2974"/>
      <c r="K54" s="2975"/>
      <c r="L54" s="2969"/>
    </row>
    <row r="55" spans="1:14" ht="27">
      <c r="A55" s="564" t="s">
        <v>2397</v>
      </c>
      <c r="B55" s="1987" t="s">
        <v>2398</v>
      </c>
      <c r="C55" s="1988" t="s">
        <v>2399</v>
      </c>
      <c r="D55" s="1989" t="s">
        <v>2400</v>
      </c>
      <c r="E55" s="1990" t="s">
        <v>2401</v>
      </c>
      <c r="F55" s="1991" t="s">
        <v>2402</v>
      </c>
      <c r="G55" s="1886" t="s">
        <v>2403</v>
      </c>
      <c r="H55" s="1886" t="str">
        <f>项目基本情况!G8</f>
        <v>XX</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5"/>
      <c r="L56" s="2969"/>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5"/>
      <c r="L58" s="2969"/>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5"/>
      <c r="L60" s="2969"/>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5"/>
      <c r="L62" s="2969"/>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5"/>
      <c r="L64" s="2969"/>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3"/>
      <c r="J66" s="3013"/>
      <c r="K66" s="3013"/>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2021-12-1</v>
      </c>
      <c r="D68" s="2008">
        <f>EDATE(C68,-3)</f>
        <v>44440</v>
      </c>
      <c r="E68" s="2008">
        <f t="shared" ref="E68:O68" si="18">EDATE(D68,-3)</f>
        <v>44348</v>
      </c>
      <c r="F68" s="2008">
        <f t="shared" si="18"/>
        <v>44256</v>
      </c>
      <c r="G68" s="2008">
        <f t="shared" si="18"/>
        <v>44166</v>
      </c>
      <c r="H68" s="2008">
        <f t="shared" si="18"/>
        <v>44075</v>
      </c>
      <c r="I68" s="2008">
        <f t="shared" si="18"/>
        <v>43983</v>
      </c>
      <c r="J68" s="2008">
        <f t="shared" si="18"/>
        <v>43891</v>
      </c>
      <c r="K68" s="2008">
        <f t="shared" si="18"/>
        <v>43800</v>
      </c>
      <c r="L68" s="2008">
        <f t="shared" si="18"/>
        <v>43709</v>
      </c>
      <c r="M68" s="2008">
        <f t="shared" si="18"/>
        <v>43617</v>
      </c>
      <c r="N68" s="2008">
        <f t="shared" si="18"/>
        <v>43525</v>
      </c>
      <c r="O68" s="2008">
        <f t="shared" si="18"/>
        <v>43435</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2021-4</v>
      </c>
      <c r="D70" s="2016" t="str">
        <f>YEAR(D68)&amp;"-"&amp;ROUNDUP(MONTH(D68)/3,0)</f>
        <v>2021-3</v>
      </c>
      <c r="E70" s="2016" t="str">
        <f t="shared" ref="E70:O70" si="19">YEAR(E68)&amp;"-"&amp;ROUNDUP(MONTH(E68)/3,0)</f>
        <v>2021-2</v>
      </c>
      <c r="F70" s="2016" t="str">
        <f t="shared" si="19"/>
        <v>2021-1</v>
      </c>
      <c r="G70" s="2016" t="str">
        <f t="shared" si="19"/>
        <v>2020-4</v>
      </c>
      <c r="H70" s="2016" t="str">
        <f t="shared" si="19"/>
        <v>2020-3</v>
      </c>
      <c r="I70" s="2016" t="str">
        <f t="shared" si="19"/>
        <v>2020-2</v>
      </c>
      <c r="J70" s="2016" t="str">
        <f t="shared" si="19"/>
        <v>2020-1</v>
      </c>
      <c r="K70" s="2016" t="str">
        <f t="shared" si="19"/>
        <v>2019-4</v>
      </c>
      <c r="L70" s="2016" t="str">
        <f t="shared" si="19"/>
        <v>2019-3</v>
      </c>
      <c r="M70" s="2016" t="str">
        <f t="shared" si="19"/>
        <v>2019-2</v>
      </c>
      <c r="N70" s="2016" t="str">
        <f t="shared" si="19"/>
        <v>2019-1</v>
      </c>
      <c r="O70" s="2016" t="str">
        <f t="shared" si="19"/>
        <v>2018-4</v>
      </c>
      <c r="P70" s="2017"/>
    </row>
    <row r="71" spans="1:17" s="1652" customFormat="1" ht="29.25" customHeight="1">
      <c r="A71" s="2019" t="s">
        <v>2417</v>
      </c>
      <c r="B71" s="2020" t="str">
        <f>"北京市平均增长率"&amp;TEXT(SUMIF(基准地价修正!N21:N25,A71,基准地价修正!P21:P25),"0.00%")</f>
        <v>北京市平均增长率1.05%</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80"/>
      <c r="O73" s="2980"/>
      <c r="P73" s="2024"/>
      <c r="Q73" s="1789"/>
    </row>
    <row r="74" spans="1:17" s="1652" customFormat="1" ht="15.75" thickBot="1">
      <c r="A74" s="1807"/>
      <c r="B74" s="1797"/>
      <c r="C74" s="1798">
        <v>100</v>
      </c>
      <c r="D74" s="1799"/>
      <c r="E74" s="1799"/>
      <c r="F74" s="1799"/>
      <c r="G74" s="1799"/>
      <c r="H74" s="1799"/>
      <c r="I74" s="1799"/>
      <c r="J74" s="1799"/>
      <c r="K74" s="1799"/>
      <c r="L74" s="1799"/>
      <c r="M74" s="1813"/>
      <c r="N74" s="2980"/>
      <c r="O74" s="2980"/>
      <c r="P74" s="1789"/>
      <c r="Q74" s="1789"/>
    </row>
    <row r="75" spans="1:17">
      <c r="A75" s="1814" t="s">
        <v>2240</v>
      </c>
      <c r="B75" s="1815" t="s">
        <v>2205</v>
      </c>
      <c r="C75" s="1817"/>
      <c r="D75" s="1817"/>
      <c r="E75" s="1817"/>
      <c r="F75" s="1817"/>
      <c r="G75" s="1817"/>
      <c r="H75" s="1817"/>
      <c r="I75" s="1817"/>
      <c r="J75" s="1817"/>
      <c r="K75" s="417"/>
      <c r="L75" s="417"/>
      <c r="M75" s="1818"/>
      <c r="N75" s="2981"/>
      <c r="O75" s="2981"/>
      <c r="P75" s="2025"/>
      <c r="Q75" s="1789"/>
    </row>
    <row r="76" spans="1:17" ht="15.75" thickBot="1">
      <c r="A76" s="1821"/>
      <c r="B76" s="1822"/>
      <c r="C76" s="1823"/>
      <c r="D76" s="1823"/>
      <c r="E76" s="1823"/>
      <c r="F76" s="1823"/>
      <c r="G76" s="1823"/>
      <c r="H76" s="1823"/>
      <c r="I76" s="1823"/>
      <c r="J76" s="1823"/>
      <c r="K76" s="1823"/>
      <c r="L76" s="1823"/>
      <c r="M76" s="1824"/>
      <c r="N76" s="2982"/>
      <c r="O76" s="2982"/>
      <c r="P76" s="2025"/>
      <c r="Q76" s="1789"/>
    </row>
    <row r="77" spans="1:17" ht="27.75" thickTop="1">
      <c r="A77" s="1821"/>
      <c r="B77" s="1826" t="s">
        <v>2208</v>
      </c>
      <c r="C77" s="1827"/>
      <c r="D77" s="1827"/>
      <c r="E77" s="1827"/>
      <c r="F77" s="1827"/>
      <c r="G77" s="1827"/>
      <c r="H77" s="1827"/>
      <c r="I77" s="1827"/>
      <c r="J77" s="1827"/>
      <c r="K77" s="428"/>
      <c r="L77" s="428"/>
      <c r="M77" s="1828"/>
      <c r="N77" s="2981"/>
      <c r="O77" s="2981"/>
      <c r="P77" s="2025"/>
      <c r="Q77" s="1789"/>
    </row>
    <row r="78" spans="1:17" ht="15.75" thickBot="1">
      <c r="A78" s="1821"/>
      <c r="B78" s="1829"/>
      <c r="C78" s="1830"/>
      <c r="D78" s="1830"/>
      <c r="E78" s="1830"/>
      <c r="F78" s="1830"/>
      <c r="G78" s="1830"/>
      <c r="H78" s="1830"/>
      <c r="I78" s="1830"/>
      <c r="J78" s="1830"/>
      <c r="K78" s="1830"/>
      <c r="L78" s="1830"/>
      <c r="M78" s="1831"/>
      <c r="N78" s="2982"/>
      <c r="O78" s="2982"/>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2"/>
      <c r="O79" s="2982"/>
      <c r="P79" s="2025"/>
      <c r="Q79" s="1789"/>
    </row>
    <row r="80" spans="1:17" ht="15">
      <c r="A80" s="1821"/>
      <c r="B80" s="1834"/>
      <c r="C80" s="1835"/>
      <c r="D80" s="1835"/>
      <c r="E80" s="1835"/>
      <c r="F80" s="1835"/>
      <c r="G80" s="1835"/>
      <c r="H80" s="1835"/>
      <c r="I80" s="1835"/>
      <c r="J80" s="1835"/>
      <c r="K80" s="438"/>
      <c r="L80" s="438"/>
      <c r="M80" s="1836"/>
      <c r="N80" s="2981"/>
      <c r="O80" s="2981"/>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2"/>
      <c r="O81" s="2982"/>
      <c r="P81" s="2025"/>
      <c r="Q81" s="1789"/>
    </row>
    <row r="82" spans="1:17" s="1739" customFormat="1" ht="15.75" thickTop="1">
      <c r="A82" s="1837"/>
      <c r="B82" s="1826" t="str">
        <f>B12</f>
        <v>配建</v>
      </c>
      <c r="C82" s="468"/>
      <c r="D82" s="468"/>
      <c r="E82" s="468"/>
      <c r="F82" s="468"/>
      <c r="G82" s="468"/>
      <c r="H82" s="443"/>
      <c r="I82" s="443"/>
      <c r="J82" s="443"/>
      <c r="K82" s="443"/>
      <c r="L82" s="443"/>
      <c r="M82" s="1838"/>
      <c r="N82" s="2983"/>
      <c r="O82" s="2983"/>
      <c r="P82" s="2026"/>
      <c r="Q82" s="1841"/>
    </row>
    <row r="83" spans="1:17" s="1739" customFormat="1" ht="15.75" thickBot="1">
      <c r="A83" s="1837"/>
      <c r="B83" s="1829"/>
      <c r="C83" s="1842"/>
      <c r="D83" s="1823"/>
      <c r="E83" s="1823"/>
      <c r="F83" s="1823"/>
      <c r="G83" s="1823"/>
      <c r="H83" s="1823"/>
      <c r="I83" s="1823"/>
      <c r="J83" s="1823"/>
      <c r="K83" s="1823"/>
      <c r="L83" s="1823"/>
      <c r="M83" s="1824"/>
      <c r="N83" s="2982"/>
      <c r="O83" s="2982"/>
      <c r="P83" s="2026"/>
      <c r="Q83" s="1841"/>
    </row>
    <row r="84" spans="1:17" s="1739" customFormat="1" ht="15.75" thickTop="1">
      <c r="A84" s="1837"/>
      <c r="B84" s="1826">
        <f>B13</f>
        <v>111</v>
      </c>
      <c r="C84" s="468"/>
      <c r="D84" s="468"/>
      <c r="E84" s="468"/>
      <c r="F84" s="468"/>
      <c r="G84" s="468"/>
      <c r="H84" s="443"/>
      <c r="I84" s="443"/>
      <c r="J84" s="443"/>
      <c r="K84" s="443"/>
      <c r="L84" s="443"/>
      <c r="M84" s="1838"/>
      <c r="N84" s="2983"/>
      <c r="O84" s="2983"/>
      <c r="P84" s="2027"/>
      <c r="Q84" s="1844"/>
    </row>
    <row r="85" spans="1:17" s="1739" customFormat="1" ht="15.75" thickBot="1">
      <c r="A85" s="1837"/>
      <c r="B85" s="1829"/>
      <c r="C85" s="1842"/>
      <c r="D85" s="1842"/>
      <c r="E85" s="1842"/>
      <c r="F85" s="1842"/>
      <c r="G85" s="1842"/>
      <c r="H85" s="1845"/>
      <c r="I85" s="1845"/>
      <c r="J85" s="1845"/>
      <c r="K85" s="1845"/>
      <c r="L85" s="1845"/>
      <c r="M85" s="1846"/>
      <c r="N85" s="2983"/>
      <c r="O85" s="2983"/>
      <c r="P85" s="2026"/>
      <c r="Q85" s="1841"/>
    </row>
    <row r="86" spans="1:17" s="1739" customFormat="1" ht="15.75" thickTop="1">
      <c r="A86" s="1837"/>
      <c r="B86" s="1832">
        <f>B14</f>
        <v>111</v>
      </c>
      <c r="C86" s="409"/>
      <c r="D86" s="409"/>
      <c r="E86" s="409"/>
      <c r="F86" s="409"/>
      <c r="G86" s="409"/>
      <c r="H86" s="453"/>
      <c r="I86" s="453"/>
      <c r="J86" s="453"/>
      <c r="K86" s="453"/>
      <c r="L86" s="453"/>
      <c r="M86" s="1847"/>
      <c r="N86" s="2983"/>
      <c r="O86" s="2983"/>
      <c r="P86" s="2026"/>
      <c r="Q86" s="1841"/>
    </row>
    <row r="87" spans="1:17" s="1739" customFormat="1" ht="15.75" thickBot="1">
      <c r="A87" s="1848"/>
      <c r="B87" s="1849"/>
      <c r="C87" s="1850"/>
      <c r="D87" s="1850"/>
      <c r="E87" s="1850"/>
      <c r="F87" s="1850"/>
      <c r="G87" s="1850"/>
      <c r="H87" s="1851"/>
      <c r="I87" s="1851"/>
      <c r="J87" s="1851"/>
      <c r="K87" s="1851"/>
      <c r="L87" s="1851"/>
      <c r="M87" s="1852"/>
      <c r="N87" s="2983"/>
      <c r="O87" s="2983"/>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1"/>
      <c r="O88" s="2981"/>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2"/>
      <c r="O89" s="2982"/>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1"/>
      <c r="O90" s="2981"/>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2"/>
      <c r="O91" s="2982"/>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1"/>
      <c r="O92" s="2981"/>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2"/>
      <c r="O93" s="2982"/>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1"/>
      <c r="O94" s="2981"/>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2"/>
      <c r="O95" s="2982"/>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80"/>
      <c r="O96" s="2980"/>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2"/>
      <c r="O97" s="2982"/>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80"/>
      <c r="O98" s="2980"/>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2"/>
      <c r="O99" s="2982"/>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2"/>
      <c r="O100" s="2982"/>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2"/>
      <c r="O101" s="2982"/>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3"/>
      <c r="O102" s="2983"/>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3"/>
      <c r="O103" s="2983"/>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1"/>
      <c r="O104" s="2981"/>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2"/>
      <c r="O105" s="2982"/>
      <c r="P105" s="2025"/>
      <c r="Q105" s="1789"/>
    </row>
    <row r="106" spans="1:17" ht="27.75" thickTop="1">
      <c r="A106" s="1821"/>
      <c r="B106" s="1826" t="s">
        <v>2329</v>
      </c>
      <c r="C106" s="468"/>
      <c r="D106" s="468"/>
      <c r="E106" s="468"/>
      <c r="F106" s="468"/>
      <c r="G106" s="468"/>
      <c r="H106" s="1545"/>
      <c r="I106" s="1545"/>
      <c r="J106" s="1545"/>
      <c r="K106" s="473"/>
      <c r="L106" s="473"/>
      <c r="M106" s="1861"/>
      <c r="N106" s="2981"/>
      <c r="O106" s="2981"/>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2"/>
      <c r="O107" s="2982"/>
      <c r="P107" s="2025"/>
      <c r="Q107" s="1789"/>
    </row>
    <row r="108" spans="1:17" ht="15.75" thickTop="1">
      <c r="A108" s="1821"/>
      <c r="B108" s="1826" t="s">
        <v>2390</v>
      </c>
      <c r="C108" s="1545"/>
      <c r="D108" s="1545"/>
      <c r="E108" s="1545"/>
      <c r="F108" s="1545"/>
      <c r="G108" s="1545"/>
      <c r="H108" s="1545"/>
      <c r="I108" s="1545"/>
      <c r="J108" s="1545"/>
      <c r="K108" s="473"/>
      <c r="L108" s="473"/>
      <c r="M108" s="1861"/>
      <c r="N108" s="2981"/>
      <c r="O108" s="2981"/>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2"/>
      <c r="O109" s="2982"/>
      <c r="P109" s="2025"/>
      <c r="Q109" s="1789"/>
    </row>
    <row r="110" spans="1:17" ht="15.75" thickTop="1">
      <c r="A110" s="1821"/>
      <c r="B110" s="1832">
        <f>B35</f>
        <v>111</v>
      </c>
      <c r="C110" s="468"/>
      <c r="D110" s="468"/>
      <c r="E110" s="468"/>
      <c r="F110" s="468"/>
      <c r="G110" s="1862"/>
      <c r="H110" s="1862"/>
      <c r="I110" s="1862"/>
      <c r="J110" s="1862"/>
      <c r="K110" s="477"/>
      <c r="L110" s="477"/>
      <c r="M110" s="1863"/>
      <c r="N110" s="2981"/>
      <c r="O110" s="2981"/>
      <c r="P110" s="2025"/>
      <c r="Q110" s="1789"/>
    </row>
    <row r="111" spans="1:17" ht="15.75" thickBot="1">
      <c r="A111" s="1821"/>
      <c r="B111" s="1849"/>
      <c r="C111" s="1842"/>
      <c r="D111" s="1842"/>
      <c r="E111" s="1842"/>
      <c r="F111" s="1842"/>
      <c r="G111" s="1865"/>
      <c r="H111" s="1865"/>
      <c r="I111" s="1865"/>
      <c r="J111" s="1865"/>
      <c r="K111" s="1865"/>
      <c r="L111" s="1865"/>
      <c r="M111" s="1866"/>
      <c r="N111" s="2982"/>
      <c r="O111" s="2982"/>
      <c r="P111" s="2025"/>
      <c r="Q111" s="1789"/>
    </row>
    <row r="112" spans="1:17" ht="15" thickTop="1">
      <c r="A112" s="1962"/>
      <c r="B112" s="1826">
        <f>B36</f>
        <v>111</v>
      </c>
      <c r="C112" s="409"/>
      <c r="D112" s="409"/>
      <c r="E112" s="409"/>
      <c r="F112" s="409"/>
      <c r="G112" s="1545"/>
      <c r="H112" s="1545"/>
      <c r="I112" s="1545"/>
      <c r="J112" s="1545"/>
      <c r="K112" s="473"/>
      <c r="L112" s="473"/>
      <c r="M112" s="1861"/>
      <c r="N112" s="2981"/>
      <c r="O112" s="2981"/>
      <c r="P112" s="2025"/>
      <c r="Q112" s="1789"/>
    </row>
    <row r="113" spans="1:17" ht="15.75" thickBot="1">
      <c r="A113" s="1821"/>
      <c r="B113" s="1829"/>
      <c r="C113" s="1850"/>
      <c r="D113" s="1850"/>
      <c r="E113" s="1850"/>
      <c r="F113" s="1850"/>
      <c r="G113" s="1823"/>
      <c r="H113" s="1823"/>
      <c r="I113" s="1823"/>
      <c r="J113" s="1823"/>
      <c r="K113" s="1823"/>
      <c r="L113" s="1823"/>
      <c r="M113" s="1824"/>
      <c r="N113" s="2982"/>
      <c r="O113" s="2982"/>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3"/>
      <c r="O114" s="2983"/>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2"/>
      <c r="O115" s="2982"/>
      <c r="P115" s="2026"/>
      <c r="Q115" s="1841"/>
    </row>
    <row r="116" spans="1:17">
      <c r="A116" s="1814" t="s">
        <v>2215</v>
      </c>
      <c r="B116" s="1815"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31" t="str">
        <f>M117&amp;"(含)"&amp;"-"&amp;P117</f>
        <v>(含)-</v>
      </c>
      <c r="N116" s="2981"/>
      <c r="O116" s="2981"/>
      <c r="P116" s="2025"/>
      <c r="Q116" s="1789"/>
    </row>
    <row r="117" spans="1:17" ht="15">
      <c r="A117" s="1821"/>
      <c r="B117" s="1832"/>
      <c r="C117" s="1869"/>
      <c r="D117" s="1869"/>
      <c r="E117" s="1869"/>
      <c r="F117" s="1869"/>
      <c r="G117" s="1869"/>
      <c r="H117" s="1869"/>
      <c r="I117" s="1869"/>
      <c r="J117" s="485"/>
      <c r="K117" s="485"/>
      <c r="L117" s="485"/>
      <c r="M117" s="1870"/>
      <c r="N117" s="2981"/>
      <c r="O117" s="2981"/>
      <c r="P117" s="2025"/>
      <c r="Q117" s="1789"/>
    </row>
    <row r="118" spans="1:17" ht="15.75" thickBot="1">
      <c r="A118" s="1821"/>
      <c r="B118" s="1829"/>
      <c r="C118" s="1850"/>
      <c r="D118" s="1865"/>
      <c r="E118" s="1865"/>
      <c r="F118" s="1865"/>
      <c r="G118" s="1865"/>
      <c r="H118" s="1865"/>
      <c r="I118" s="1865"/>
      <c r="J118" s="1865"/>
      <c r="K118" s="1865"/>
      <c r="L118" s="1865"/>
      <c r="M118" s="1866"/>
      <c r="N118" s="2982"/>
      <c r="O118" s="2982"/>
      <c r="P118" s="2025"/>
      <c r="Q118" s="1789"/>
    </row>
    <row r="119" spans="1:17" ht="15" thickTop="1">
      <c r="A119" s="1871"/>
      <c r="B119" s="1826" t="s">
        <v>2426</v>
      </c>
      <c r="C119" s="1545"/>
      <c r="D119" s="1545"/>
      <c r="E119" s="1545"/>
      <c r="F119" s="1545"/>
      <c r="G119" s="1545"/>
      <c r="H119" s="1545"/>
      <c r="I119" s="1545"/>
      <c r="J119" s="1545"/>
      <c r="K119" s="473"/>
      <c r="L119" s="473"/>
      <c r="M119" s="1861"/>
      <c r="N119" s="2981"/>
      <c r="O119" s="2981"/>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2"/>
      <c r="O120" s="2982"/>
      <c r="P120" s="2025"/>
      <c r="Q120" s="1789"/>
    </row>
    <row r="121" spans="1:17" ht="15" thickTop="1">
      <c r="A121" s="1871"/>
      <c r="B121" s="1826" t="s">
        <v>2427</v>
      </c>
      <c r="C121" s="468"/>
      <c r="D121" s="468"/>
      <c r="E121" s="468"/>
      <c r="F121" s="1545"/>
      <c r="G121" s="1545"/>
      <c r="H121" s="1545"/>
      <c r="I121" s="1545"/>
      <c r="J121" s="1545"/>
      <c r="K121" s="473"/>
      <c r="L121" s="473"/>
      <c r="M121" s="1861"/>
      <c r="N121" s="2981"/>
      <c r="O121" s="2981"/>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2"/>
      <c r="O122" s="2982"/>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3"/>
      <c r="O123" s="2983"/>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3"/>
      <c r="O124" s="2983"/>
      <c r="P124" s="2026"/>
      <c r="Q124" s="1841"/>
    </row>
    <row r="125" spans="1:17" ht="15" thickTop="1">
      <c r="A125" s="1871"/>
      <c r="B125" s="1826" t="s">
        <v>2429</v>
      </c>
      <c r="C125" s="468"/>
      <c r="D125" s="468"/>
      <c r="E125" s="1545"/>
      <c r="F125" s="1545"/>
      <c r="G125" s="1545"/>
      <c r="H125" s="1545"/>
      <c r="I125" s="1545"/>
      <c r="J125" s="1545"/>
      <c r="K125" s="473"/>
      <c r="L125" s="473"/>
      <c r="M125" s="1861"/>
      <c r="N125" s="2981"/>
      <c r="O125" s="2981"/>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2"/>
      <c r="O126" s="2982"/>
      <c r="P126" s="2025"/>
      <c r="Q126" s="1789"/>
    </row>
    <row r="127" spans="1:17" ht="15" thickTop="1">
      <c r="A127" s="1871"/>
      <c r="B127" s="1826">
        <f>B43</f>
        <v>111</v>
      </c>
      <c r="C127" s="468"/>
      <c r="D127" s="468"/>
      <c r="E127" s="468"/>
      <c r="F127" s="468"/>
      <c r="G127" s="468"/>
      <c r="H127" s="1545"/>
      <c r="I127" s="1545"/>
      <c r="J127" s="1545"/>
      <c r="K127" s="473"/>
      <c r="L127" s="473"/>
      <c r="M127" s="1861"/>
      <c r="N127" s="2981"/>
      <c r="O127" s="2981"/>
      <c r="P127" s="2025"/>
      <c r="Q127" s="1789"/>
    </row>
    <row r="128" spans="1:17" ht="15.75" thickBot="1">
      <c r="A128" s="1821"/>
      <c r="B128" s="1829"/>
      <c r="C128" s="1842"/>
      <c r="D128" s="1842"/>
      <c r="E128" s="1842"/>
      <c r="F128" s="1842"/>
      <c r="G128" s="1823"/>
      <c r="H128" s="1823"/>
      <c r="I128" s="1823"/>
      <c r="J128" s="1823"/>
      <c r="K128" s="1823"/>
      <c r="L128" s="1823"/>
      <c r="M128" s="1824"/>
      <c r="N128" s="2982"/>
      <c r="O128" s="2982"/>
      <c r="P128" s="2025"/>
      <c r="Q128" s="1789"/>
    </row>
    <row r="129" spans="1:17" ht="15" thickTop="1">
      <c r="A129" s="1871"/>
      <c r="B129" s="1826">
        <f>B44</f>
        <v>111</v>
      </c>
      <c r="C129" s="409"/>
      <c r="D129" s="409"/>
      <c r="E129" s="409"/>
      <c r="F129" s="409"/>
      <c r="G129" s="1545"/>
      <c r="H129" s="1545"/>
      <c r="I129" s="1545"/>
      <c r="J129" s="1545"/>
      <c r="K129" s="473"/>
      <c r="L129" s="473"/>
      <c r="M129" s="1861"/>
      <c r="N129" s="2981"/>
      <c r="O129" s="2981"/>
      <c r="P129" s="2025"/>
      <c r="Q129" s="1789"/>
    </row>
    <row r="130" spans="1:17" ht="15.75" thickBot="1">
      <c r="A130" s="1821"/>
      <c r="B130" s="1829"/>
      <c r="C130" s="1850"/>
      <c r="D130" s="1850"/>
      <c r="E130" s="1850"/>
      <c r="F130" s="1850"/>
      <c r="G130" s="1823"/>
      <c r="H130" s="1823"/>
      <c r="I130" s="1823"/>
      <c r="J130" s="1823"/>
      <c r="K130" s="1823"/>
      <c r="L130" s="1823"/>
      <c r="M130" s="1824"/>
      <c r="N130" s="2982"/>
      <c r="O130" s="2982"/>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3"/>
      <c r="O131" s="2983"/>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3"/>
      <c r="O132" s="2983"/>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5"/>
      <c r="E2" s="2985"/>
      <c r="F2" s="2988"/>
      <c r="G2" s="2985"/>
      <c r="H2" s="2985"/>
      <c r="I2" s="2985"/>
      <c r="J2" s="2985"/>
      <c r="K2" s="2989"/>
      <c r="L2" s="2986"/>
      <c r="M2" s="2987"/>
      <c r="N2" s="2987"/>
      <c r="O2" s="2987"/>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5"/>
      <c r="E3" s="2985"/>
      <c r="F3" s="2988"/>
      <c r="G3" s="2985"/>
      <c r="H3" s="2985"/>
      <c r="I3" s="2985"/>
      <c r="J3" s="2985"/>
      <c r="K3" s="2989"/>
      <c r="L3" s="2986"/>
      <c r="M3" s="2987"/>
      <c r="N3" s="2987"/>
      <c r="O3" s="2987"/>
      <c r="P3" s="624"/>
      <c r="Q3" s="624"/>
      <c r="R3" s="624"/>
      <c r="S3" s="624"/>
      <c r="T3" s="624"/>
      <c r="U3" s="624"/>
      <c r="V3" s="624"/>
      <c r="W3" s="624"/>
      <c r="X3" s="624"/>
      <c r="Y3" s="624"/>
      <c r="Z3" s="624"/>
      <c r="AA3" s="624"/>
      <c r="AB3" s="643"/>
      <c r="AC3" s="638"/>
    </row>
    <row r="4" spans="1:29" ht="15">
      <c r="A4" s="294" t="s">
        <v>2186</v>
      </c>
      <c r="B4" s="295"/>
      <c r="C4" s="3683" t="s">
        <v>2187</v>
      </c>
      <c r="D4" s="3684"/>
      <c r="E4" s="3685" t="s">
        <v>2188</v>
      </c>
      <c r="F4" s="3686"/>
      <c r="G4" s="3683" t="s">
        <v>2189</v>
      </c>
      <c r="H4" s="3684"/>
      <c r="I4" s="3683" t="s">
        <v>2190</v>
      </c>
      <c r="J4" s="3684"/>
      <c r="K4" s="496" t="s">
        <v>2191</v>
      </c>
      <c r="L4" s="2990"/>
      <c r="M4" s="2991"/>
      <c r="N4" s="2991"/>
      <c r="O4" s="2991"/>
      <c r="P4" s="3687" t="s">
        <v>2192</v>
      </c>
      <c r="Q4" s="3688"/>
      <c r="R4" s="3693" t="s">
        <v>2188</v>
      </c>
      <c r="S4" s="3694"/>
      <c r="T4" s="3693" t="s">
        <v>2189</v>
      </c>
      <c r="U4" s="3694"/>
      <c r="V4" s="3699" t="s">
        <v>2190</v>
      </c>
      <c r="W4" s="3699"/>
      <c r="X4" s="1302"/>
      <c r="Y4" s="3693" t="s">
        <v>2192</v>
      </c>
      <c r="Z4" s="3694"/>
      <c r="AA4" s="3680" t="s">
        <v>2188</v>
      </c>
      <c r="AB4" s="3681" t="s">
        <v>2189</v>
      </c>
      <c r="AC4" s="3680" t="s">
        <v>2190</v>
      </c>
    </row>
    <row r="5" spans="1:29" ht="15">
      <c r="A5" s="297"/>
      <c r="B5" s="298"/>
      <c r="C5" s="3676" t="s">
        <v>2193</v>
      </c>
      <c r="D5" s="3677"/>
      <c r="E5" s="3700" t="s">
        <v>2194</v>
      </c>
      <c r="F5" s="3701"/>
      <c r="G5" s="3676" t="s">
        <v>2195</v>
      </c>
      <c r="H5" s="3677"/>
      <c r="I5" s="3676" t="s">
        <v>2196</v>
      </c>
      <c r="J5" s="3677"/>
      <c r="K5" s="496"/>
      <c r="L5" s="2990"/>
      <c r="M5" s="2991"/>
      <c r="N5" s="2991"/>
      <c r="O5" s="2991"/>
      <c r="P5" s="3689"/>
      <c r="Q5" s="3690"/>
      <c r="R5" s="3695"/>
      <c r="S5" s="3696"/>
      <c r="T5" s="3695"/>
      <c r="U5" s="3696"/>
      <c r="V5" s="3699"/>
      <c r="W5" s="3699"/>
      <c r="X5" s="1302"/>
      <c r="Y5" s="3695"/>
      <c r="Z5" s="3696"/>
      <c r="AA5" s="3681"/>
      <c r="AB5" s="3681"/>
      <c r="AC5" s="3681"/>
    </row>
    <row r="6" spans="1:29" ht="15.75" thickBot="1">
      <c r="A6" s="299"/>
      <c r="B6" s="300"/>
      <c r="C6" s="3673" t="s">
        <v>2197</v>
      </c>
      <c r="D6" s="3674"/>
      <c r="E6" s="3671" t="s">
        <v>2197</v>
      </c>
      <c r="F6" s="3672"/>
      <c r="G6" s="3673" t="s">
        <v>2197</v>
      </c>
      <c r="H6" s="3674"/>
      <c r="I6" s="3673" t="s">
        <v>2197</v>
      </c>
      <c r="J6" s="3674"/>
      <c r="K6" s="496" t="s">
        <v>2198</v>
      </c>
      <c r="L6" s="2990"/>
      <c r="M6" s="2991"/>
      <c r="N6" s="2991"/>
      <c r="O6" s="2991"/>
      <c r="P6" s="3691"/>
      <c r="Q6" s="3692"/>
      <c r="R6" s="3695"/>
      <c r="S6" s="3696"/>
      <c r="T6" s="3697"/>
      <c r="U6" s="3698"/>
      <c r="V6" s="3699"/>
      <c r="W6" s="3699"/>
      <c r="X6" s="1302"/>
      <c r="Y6" s="3697"/>
      <c r="Z6" s="3698"/>
      <c r="AA6" s="3682"/>
      <c r="AB6" s="3682"/>
      <c r="AC6" s="3682"/>
    </row>
    <row r="7" spans="1:29" s="25" customFormat="1" ht="15.75" thickBot="1">
      <c r="A7" s="301" t="s">
        <v>2199</v>
      </c>
      <c r="B7" s="302"/>
      <c r="C7" s="303">
        <f>'数据-取费表'!B2</f>
        <v>44554</v>
      </c>
      <c r="D7" s="304">
        <v>100</v>
      </c>
      <c r="E7" s="305"/>
      <c r="F7" s="306">
        <f>SUMIF(65:65,YEAR(E7)&amp;"-"&amp;INT((MONTH(E7)+2)/3),66:66)</f>
        <v>0</v>
      </c>
      <c r="G7" s="1542"/>
      <c r="H7" s="304">
        <f>SUMIF(65:65,YEAR(G7)&amp;"-"&amp;INT((MONTH(G7)+2)/3),66:66)</f>
        <v>0</v>
      </c>
      <c r="I7" s="1542"/>
      <c r="J7" s="304">
        <f>SUMIF(65:65,YEAR(I7)&amp;"-"&amp;INT((MONTH(I7)+2)/3),66:66)</f>
        <v>0</v>
      </c>
      <c r="K7" s="497"/>
      <c r="L7" s="2992"/>
      <c r="M7" s="2993"/>
      <c r="N7" s="2993"/>
      <c r="O7" s="2993"/>
      <c r="P7" s="3678" t="s">
        <v>2200</v>
      </c>
      <c r="Q7" s="3702"/>
      <c r="R7" s="626" t="s">
        <v>25</v>
      </c>
      <c r="S7" s="627">
        <f t="shared" ref="S7:S15" si="0">F7</f>
        <v>0</v>
      </c>
      <c r="T7" s="626" t="s">
        <v>25</v>
      </c>
      <c r="U7" s="627">
        <f t="shared" ref="U7:U15" si="1">H7</f>
        <v>0</v>
      </c>
      <c r="V7" s="626" t="s">
        <v>25</v>
      </c>
      <c r="W7" s="627">
        <f t="shared" ref="W7:W15" si="2">J7</f>
        <v>0</v>
      </c>
      <c r="X7" s="628"/>
      <c r="Y7" s="3678" t="s">
        <v>2200</v>
      </c>
      <c r="Z7" s="3679"/>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78" t="s">
        <v>2203</v>
      </c>
      <c r="Q8" s="3679"/>
      <c r="R8" s="626" t="s">
        <v>25</v>
      </c>
      <c r="S8" s="627">
        <f t="shared" si="0"/>
        <v>0</v>
      </c>
      <c r="T8" s="626" t="s">
        <v>25</v>
      </c>
      <c r="U8" s="627">
        <f t="shared" si="1"/>
        <v>0</v>
      </c>
      <c r="V8" s="626" t="s">
        <v>25</v>
      </c>
      <c r="W8" s="627">
        <f t="shared" si="2"/>
        <v>0</v>
      </c>
      <c r="X8" s="628"/>
      <c r="Y8" s="3678" t="s">
        <v>2203</v>
      </c>
      <c r="Z8" s="3679"/>
      <c r="AA8" s="629" t="e">
        <f t="shared" ref="AA8:AA40" si="3">D8/F8</f>
        <v>#DIV/0!</v>
      </c>
      <c r="AB8" s="629" t="e">
        <f t="shared" ref="AB8:AB40" si="4">D8/H8</f>
        <v>#DIV/0!</v>
      </c>
      <c r="AC8" s="629"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2"/>
      <c r="M9" s="2993"/>
      <c r="N9" s="2993"/>
      <c r="O9" s="2994"/>
      <c r="P9" s="3675" t="s">
        <v>2206</v>
      </c>
      <c r="Q9" s="1294" t="str">
        <f t="shared" ref="Q9:Q15" si="6">B9</f>
        <v>用途</v>
      </c>
      <c r="R9" s="626" t="s">
        <v>25</v>
      </c>
      <c r="S9" s="627">
        <f t="shared" si="0"/>
        <v>100</v>
      </c>
      <c r="T9" s="626" t="s">
        <v>25</v>
      </c>
      <c r="U9" s="627">
        <f t="shared" si="1"/>
        <v>100</v>
      </c>
      <c r="V9" s="626" t="s">
        <v>25</v>
      </c>
      <c r="W9" s="627">
        <f t="shared" si="2"/>
        <v>100</v>
      </c>
      <c r="X9" s="628"/>
      <c r="Y9" s="3705"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110</v>
      </c>
      <c r="G10" s="322"/>
      <c r="H10" s="29">
        <f>ROUND(100/'数据-取费表'!B14,0)</f>
        <v>110</v>
      </c>
      <c r="I10" s="322"/>
      <c r="J10" s="29">
        <f>ROUND(100/'数据-取费表'!B14,0)</f>
        <v>110</v>
      </c>
      <c r="K10" s="553"/>
      <c r="L10" s="2995"/>
      <c r="M10" s="2996"/>
      <c r="N10" s="2996"/>
      <c r="O10" s="2997"/>
      <c r="P10" s="3675"/>
      <c r="Q10" s="1294" t="str">
        <f t="shared" si="6"/>
        <v>土地使用年限（年）</v>
      </c>
      <c r="R10" s="626" t="s">
        <v>25</v>
      </c>
      <c r="S10" s="627">
        <f t="shared" si="0"/>
        <v>110</v>
      </c>
      <c r="T10" s="626" t="s">
        <v>25</v>
      </c>
      <c r="U10" s="627">
        <f t="shared" si="1"/>
        <v>110</v>
      </c>
      <c r="V10" s="626" t="s">
        <v>25</v>
      </c>
      <c r="W10" s="627">
        <f t="shared" si="2"/>
        <v>110</v>
      </c>
      <c r="X10" s="628"/>
      <c r="Y10" s="3705"/>
      <c r="Z10" s="19" t="str">
        <f t="shared" si="7"/>
        <v>土地使用年限（年）</v>
      </c>
      <c r="AA10" s="629">
        <f t="shared" si="3"/>
        <v>0.90909090909090906</v>
      </c>
      <c r="AB10" s="629">
        <f t="shared" si="4"/>
        <v>0.90909090909090906</v>
      </c>
      <c r="AC10" s="629">
        <f t="shared" si="5"/>
        <v>0.90909090909090906</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75"/>
      <c r="Q11" s="1294" t="str">
        <f t="shared" si="6"/>
        <v>容积率</v>
      </c>
      <c r="R11" s="626" t="s">
        <v>25</v>
      </c>
      <c r="S11" s="627" t="e">
        <f t="shared" si="0"/>
        <v>#N/A</v>
      </c>
      <c r="T11" s="626" t="s">
        <v>25</v>
      </c>
      <c r="U11" s="627" t="e">
        <f t="shared" si="1"/>
        <v>#N/A</v>
      </c>
      <c r="V11" s="626" t="s">
        <v>25</v>
      </c>
      <c r="W11" s="627" t="e">
        <f t="shared" si="2"/>
        <v>#N/A</v>
      </c>
      <c r="X11" s="628"/>
      <c r="Y11" s="3705"/>
      <c r="Z11" s="19" t="str">
        <f t="shared" si="7"/>
        <v>容积率</v>
      </c>
      <c r="AA11" s="629" t="e">
        <f t="shared" si="3"/>
        <v>#N/A</v>
      </c>
      <c r="AB11" s="629" t="e">
        <f t="shared" si="4"/>
        <v>#N/A</v>
      </c>
      <c r="AC11" s="629"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75"/>
      <c r="Q12" s="1294">
        <f t="shared" si="6"/>
        <v>111</v>
      </c>
      <c r="R12" s="626" t="s">
        <v>25</v>
      </c>
      <c r="S12" s="627">
        <f t="shared" si="0"/>
        <v>100</v>
      </c>
      <c r="T12" s="626" t="s">
        <v>25</v>
      </c>
      <c r="U12" s="627">
        <f t="shared" si="1"/>
        <v>100</v>
      </c>
      <c r="V12" s="626" t="s">
        <v>25</v>
      </c>
      <c r="W12" s="627">
        <f t="shared" si="2"/>
        <v>100</v>
      </c>
      <c r="X12" s="628"/>
      <c r="Y12" s="3705"/>
      <c r="Z12" s="19">
        <f t="shared" si="7"/>
        <v>111</v>
      </c>
      <c r="AA12" s="629">
        <f>D12/F12</f>
        <v>1</v>
      </c>
      <c r="AB12" s="629">
        <f>D12/H12</f>
        <v>1</v>
      </c>
      <c r="AC12" s="629">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75"/>
      <c r="Q13" s="1294">
        <f t="shared" si="6"/>
        <v>111</v>
      </c>
      <c r="R13" s="626" t="s">
        <v>25</v>
      </c>
      <c r="S13" s="627">
        <f t="shared" si="0"/>
        <v>100</v>
      </c>
      <c r="T13" s="626" t="s">
        <v>25</v>
      </c>
      <c r="U13" s="627">
        <f t="shared" si="1"/>
        <v>100</v>
      </c>
      <c r="V13" s="626" t="s">
        <v>25</v>
      </c>
      <c r="W13" s="627">
        <f t="shared" si="2"/>
        <v>100</v>
      </c>
      <c r="X13" s="628"/>
      <c r="Y13" s="3705"/>
      <c r="Z13" s="19">
        <f t="shared" si="7"/>
        <v>111</v>
      </c>
      <c r="AA13" s="629">
        <f t="shared" si="3"/>
        <v>1</v>
      </c>
      <c r="AB13" s="629">
        <f t="shared" si="4"/>
        <v>1</v>
      </c>
      <c r="AC13" s="629">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75"/>
      <c r="Q14" s="1294">
        <f t="shared" si="6"/>
        <v>111</v>
      </c>
      <c r="R14" s="626" t="s">
        <v>25</v>
      </c>
      <c r="S14" s="627">
        <f t="shared" si="0"/>
        <v>100</v>
      </c>
      <c r="T14" s="626" t="s">
        <v>25</v>
      </c>
      <c r="U14" s="627">
        <f t="shared" si="1"/>
        <v>100</v>
      </c>
      <c r="V14" s="626" t="s">
        <v>25</v>
      </c>
      <c r="W14" s="627">
        <f t="shared" si="2"/>
        <v>100</v>
      </c>
      <c r="X14" s="628"/>
      <c r="Y14" s="3705"/>
      <c r="Z14" s="19">
        <f t="shared" si="7"/>
        <v>111</v>
      </c>
      <c r="AA14" s="629">
        <f t="shared" si="3"/>
        <v>1</v>
      </c>
      <c r="AB14" s="629">
        <f t="shared" si="4"/>
        <v>1</v>
      </c>
      <c r="AC14" s="629">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703" t="s">
        <v>2211</v>
      </c>
      <c r="Q15" s="1301" t="str">
        <f t="shared" si="6"/>
        <v>产业集聚程度</v>
      </c>
      <c r="R15" s="630" t="s">
        <v>25</v>
      </c>
      <c r="S15" s="631">
        <f t="shared" si="0"/>
        <v>100</v>
      </c>
      <c r="T15" s="630" t="s">
        <v>25</v>
      </c>
      <c r="U15" s="631">
        <f t="shared" si="1"/>
        <v>100</v>
      </c>
      <c r="V15" s="630" t="s">
        <v>25</v>
      </c>
      <c r="W15" s="631">
        <f t="shared" si="2"/>
        <v>100</v>
      </c>
      <c r="X15" s="1302"/>
      <c r="Y15" s="3703" t="s">
        <v>2211</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3000"/>
      <c r="M16" s="2991"/>
      <c r="N16" s="2991"/>
      <c r="O16" s="2999"/>
      <c r="P16" s="3704"/>
      <c r="Q16" s="1301"/>
      <c r="R16" s="630"/>
      <c r="S16" s="631"/>
      <c r="T16" s="630"/>
      <c r="U16" s="631"/>
      <c r="V16" s="630"/>
      <c r="W16" s="631"/>
      <c r="X16" s="1302"/>
      <c r="Y16" s="3704"/>
      <c r="Z16" s="1303"/>
      <c r="AA16" s="1304">
        <v>1</v>
      </c>
      <c r="AB16" s="1304">
        <v>1</v>
      </c>
      <c r="AC16" s="1304">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704"/>
      <c r="Q17" s="1301" t="str">
        <f>B17</f>
        <v>交通便捷度</v>
      </c>
      <c r="R17" s="630" t="s">
        <v>25</v>
      </c>
      <c r="S17" s="631">
        <f>F17</f>
        <v>100</v>
      </c>
      <c r="T17" s="630" t="s">
        <v>25</v>
      </c>
      <c r="U17" s="631">
        <f>H17</f>
        <v>100</v>
      </c>
      <c r="V17" s="630" t="s">
        <v>25</v>
      </c>
      <c r="W17" s="631">
        <f>J17</f>
        <v>100</v>
      </c>
      <c r="X17" s="1302"/>
      <c r="Y17" s="3704"/>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3"/>
      <c r="J18" s="336"/>
      <c r="K18" s="553"/>
      <c r="L18" s="3000"/>
      <c r="M18" s="2991"/>
      <c r="N18" s="2991"/>
      <c r="O18" s="2999"/>
      <c r="P18" s="3704"/>
      <c r="Q18" s="1301"/>
      <c r="R18" s="630"/>
      <c r="S18" s="631"/>
      <c r="T18" s="630"/>
      <c r="U18" s="631"/>
      <c r="V18" s="630"/>
      <c r="W18" s="631"/>
      <c r="X18" s="1302"/>
      <c r="Y18" s="3704"/>
      <c r="Z18" s="1303"/>
      <c r="AA18" s="1304">
        <v>1</v>
      </c>
      <c r="AB18" s="1304">
        <v>1</v>
      </c>
      <c r="AC18" s="1304">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704"/>
      <c r="Q19" s="1301" t="str">
        <f t="shared" ref="Q19:Q33" si="8">B19</f>
        <v>区域土地利用方向</v>
      </c>
      <c r="R19" s="630" t="s">
        <v>25</v>
      </c>
      <c r="S19" s="631">
        <f>F19</f>
        <v>100</v>
      </c>
      <c r="T19" s="630" t="s">
        <v>25</v>
      </c>
      <c r="U19" s="631">
        <f>H19</f>
        <v>100</v>
      </c>
      <c r="V19" s="630" t="s">
        <v>25</v>
      </c>
      <c r="W19" s="631">
        <f>J19</f>
        <v>100</v>
      </c>
      <c r="X19" s="1302"/>
      <c r="Y19" s="3704"/>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4"/>
      <c r="L20" s="3000"/>
      <c r="M20" s="2991"/>
      <c r="N20" s="2991"/>
      <c r="O20" s="2999"/>
      <c r="P20" s="3704"/>
      <c r="Q20" s="1301"/>
      <c r="R20" s="630"/>
      <c r="S20" s="631"/>
      <c r="T20" s="630"/>
      <c r="U20" s="631"/>
      <c r="V20" s="630"/>
      <c r="W20" s="631"/>
      <c r="X20" s="1302"/>
      <c r="Y20" s="3704"/>
      <c r="Z20" s="1303"/>
      <c r="AA20" s="1304"/>
      <c r="AB20" s="1304"/>
      <c r="AC20" s="1304"/>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704"/>
      <c r="Q21" s="1301" t="str">
        <f t="shared" si="8"/>
        <v>环境状况</v>
      </c>
      <c r="R21" s="630" t="s">
        <v>25</v>
      </c>
      <c r="S21" s="631">
        <f>F21</f>
        <v>100</v>
      </c>
      <c r="T21" s="630" t="s">
        <v>25</v>
      </c>
      <c r="U21" s="631">
        <f>H21</f>
        <v>100</v>
      </c>
      <c r="V21" s="630" t="s">
        <v>25</v>
      </c>
      <c r="W21" s="631">
        <f>J21</f>
        <v>100</v>
      </c>
      <c r="X21" s="1302"/>
      <c r="Y21" s="3704"/>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3000"/>
      <c r="M22" s="2991"/>
      <c r="N22" s="2991"/>
      <c r="O22" s="2999"/>
      <c r="P22" s="3704"/>
      <c r="Q22" s="1301"/>
      <c r="R22" s="630"/>
      <c r="S22" s="631"/>
      <c r="T22" s="630"/>
      <c r="U22" s="631"/>
      <c r="V22" s="630"/>
      <c r="W22" s="631"/>
      <c r="X22" s="1302"/>
      <c r="Y22" s="3704"/>
      <c r="Z22" s="1303"/>
      <c r="AA22" s="1304">
        <v>1</v>
      </c>
      <c r="AB22" s="1304">
        <v>1</v>
      </c>
      <c r="AC22" s="1304">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704"/>
      <c r="Q23" s="1294" t="str">
        <f t="shared" si="8"/>
        <v>公共配套设施</v>
      </c>
      <c r="R23" s="626" t="s">
        <v>25</v>
      </c>
      <c r="S23" s="627">
        <f>F23</f>
        <v>100</v>
      </c>
      <c r="T23" s="626" t="s">
        <v>25</v>
      </c>
      <c r="U23" s="627">
        <f>H23</f>
        <v>100</v>
      </c>
      <c r="V23" s="626" t="s">
        <v>25</v>
      </c>
      <c r="W23" s="627">
        <f>J23</f>
        <v>100</v>
      </c>
      <c r="X23" s="628"/>
      <c r="Y23" s="3704"/>
      <c r="Z23" s="19" t="str">
        <f>Q23</f>
        <v>公共配套设施</v>
      </c>
      <c r="AA23" s="1304">
        <f>D23/F23</f>
        <v>1</v>
      </c>
      <c r="AB23" s="1304">
        <f>D23/H23</f>
        <v>1</v>
      </c>
      <c r="AC23" s="1304">
        <f>D23/J23</f>
        <v>1</v>
      </c>
    </row>
    <row r="24" spans="1:29" s="25" customFormat="1" ht="15">
      <c r="A24" s="531"/>
      <c r="B24" s="514"/>
      <c r="C24" s="1563"/>
      <c r="D24" s="336"/>
      <c r="E24" s="1103"/>
      <c r="F24" s="336"/>
      <c r="G24" s="1103"/>
      <c r="H24" s="336"/>
      <c r="I24" s="335"/>
      <c r="J24" s="336"/>
      <c r="K24" s="553"/>
      <c r="L24" s="2992"/>
      <c r="M24" s="2993"/>
      <c r="N24" s="2993"/>
      <c r="O24" s="2994"/>
      <c r="P24" s="3704"/>
      <c r="Q24" s="1294"/>
      <c r="R24" s="626"/>
      <c r="S24" s="627"/>
      <c r="T24" s="626"/>
      <c r="U24" s="627"/>
      <c r="V24" s="626"/>
      <c r="W24" s="627"/>
      <c r="X24" s="628"/>
      <c r="Y24" s="3704"/>
      <c r="Z24" s="19"/>
      <c r="AA24" s="629">
        <v>1</v>
      </c>
      <c r="AB24" s="629">
        <v>1</v>
      </c>
      <c r="AC24" s="629">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704"/>
      <c r="Q25" s="1294" t="str">
        <f t="shared" ref="Q25" si="9">B25</f>
        <v>基础设施水平</v>
      </c>
      <c r="R25" s="626" t="s">
        <v>25</v>
      </c>
      <c r="S25" s="627">
        <f>F25</f>
        <v>100</v>
      </c>
      <c r="T25" s="626" t="s">
        <v>25</v>
      </c>
      <c r="U25" s="627">
        <f>H25</f>
        <v>100</v>
      </c>
      <c r="V25" s="626" t="s">
        <v>25</v>
      </c>
      <c r="W25" s="627">
        <f>J25</f>
        <v>100</v>
      </c>
      <c r="X25" s="628"/>
      <c r="Y25" s="3704"/>
      <c r="Z25" s="19" t="str">
        <f>Q25</f>
        <v>基础设施水平</v>
      </c>
      <c r="AA25" s="1304">
        <f>D25/F25</f>
        <v>1</v>
      </c>
      <c r="AB25" s="1304">
        <f>D25/H25</f>
        <v>1</v>
      </c>
      <c r="AC25" s="1304">
        <f>D25/J25</f>
        <v>1</v>
      </c>
    </row>
    <row r="26" spans="1:29" s="25" customFormat="1" ht="15">
      <c r="A26" s="531"/>
      <c r="B26" s="514"/>
      <c r="C26" s="1563"/>
      <c r="D26" s="336"/>
      <c r="E26" s="1554"/>
      <c r="F26" s="336"/>
      <c r="G26" s="1554"/>
      <c r="H26" s="336"/>
      <c r="I26" s="1554"/>
      <c r="J26" s="336"/>
      <c r="K26" s="553"/>
      <c r="L26" s="2992"/>
      <c r="M26" s="2993"/>
      <c r="N26" s="2993"/>
      <c r="O26" s="2994"/>
      <c r="P26" s="3704"/>
      <c r="Q26" s="1294"/>
      <c r="R26" s="626"/>
      <c r="S26" s="627"/>
      <c r="T26" s="626"/>
      <c r="U26" s="627"/>
      <c r="V26" s="626"/>
      <c r="W26" s="627"/>
      <c r="X26" s="628"/>
      <c r="Y26" s="3704"/>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704"/>
      <c r="Q27" s="1301" t="str">
        <f t="shared" si="8"/>
        <v>临街状况</v>
      </c>
      <c r="R27" s="630" t="s">
        <v>25</v>
      </c>
      <c r="S27" s="631">
        <f t="shared" ref="S27:S40" si="10">F27</f>
        <v>100</v>
      </c>
      <c r="T27" s="630" t="s">
        <v>25</v>
      </c>
      <c r="U27" s="631">
        <f t="shared" ref="U27:U40" si="11">H27</f>
        <v>100</v>
      </c>
      <c r="V27" s="630" t="s">
        <v>25</v>
      </c>
      <c r="W27" s="631">
        <f t="shared" ref="W27:W40" si="12">J27</f>
        <v>100</v>
      </c>
      <c r="X27" s="1302"/>
      <c r="Y27" s="3704"/>
      <c r="Z27" s="1303" t="str">
        <f t="shared" ref="Z27:Z40" si="13">Q27</f>
        <v>临街状况</v>
      </c>
      <c r="AA27" s="1304">
        <f t="shared" si="3"/>
        <v>1</v>
      </c>
      <c r="AB27" s="1304">
        <f t="shared" si="4"/>
        <v>1</v>
      </c>
      <c r="AC27" s="1304">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704"/>
      <c r="Q28" s="1301" t="str">
        <f t="shared" si="8"/>
        <v>毗邻道路的类型与等级</v>
      </c>
      <c r="R28" s="630" t="s">
        <v>25</v>
      </c>
      <c r="S28" s="631">
        <f t="shared" si="10"/>
        <v>100</v>
      </c>
      <c r="T28" s="630" t="s">
        <v>25</v>
      </c>
      <c r="U28" s="631">
        <f t="shared" si="11"/>
        <v>100</v>
      </c>
      <c r="V28" s="630" t="s">
        <v>25</v>
      </c>
      <c r="W28" s="631">
        <f t="shared" si="12"/>
        <v>100</v>
      </c>
      <c r="X28" s="1302"/>
      <c r="Y28" s="3704"/>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3000"/>
      <c r="M29" s="2991"/>
      <c r="N29" s="2991"/>
      <c r="O29" s="2999"/>
      <c r="P29" s="3704"/>
      <c r="Q29" s="1301"/>
      <c r="R29" s="630"/>
      <c r="S29" s="631"/>
      <c r="T29" s="630"/>
      <c r="U29" s="631"/>
      <c r="V29" s="630"/>
      <c r="W29" s="631"/>
      <c r="X29" s="1302"/>
      <c r="Y29" s="3704"/>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704"/>
      <c r="Q30" s="1301" t="str">
        <f t="shared" si="8"/>
        <v>土地级别</v>
      </c>
      <c r="R30" s="630" t="s">
        <v>25</v>
      </c>
      <c r="S30" s="631">
        <f t="shared" si="10"/>
        <v>100</v>
      </c>
      <c r="T30" s="630" t="s">
        <v>25</v>
      </c>
      <c r="U30" s="631">
        <f t="shared" si="11"/>
        <v>100</v>
      </c>
      <c r="V30" s="630" t="s">
        <v>25</v>
      </c>
      <c r="W30" s="631">
        <f t="shared" si="12"/>
        <v>100</v>
      </c>
      <c r="X30" s="1302"/>
      <c r="Y30" s="3704"/>
      <c r="Z30" s="1303" t="str">
        <f t="shared" si="13"/>
        <v>土地级别</v>
      </c>
      <c r="AA30" s="1304">
        <f t="shared" si="3"/>
        <v>1</v>
      </c>
      <c r="AB30" s="1304">
        <f t="shared" si="4"/>
        <v>1</v>
      </c>
      <c r="AC30" s="1304">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704"/>
      <c r="Q31" s="1301">
        <f t="shared" si="8"/>
        <v>111</v>
      </c>
      <c r="R31" s="630" t="s">
        <v>25</v>
      </c>
      <c r="S31" s="631">
        <f t="shared" si="10"/>
        <v>100</v>
      </c>
      <c r="T31" s="630" t="s">
        <v>25</v>
      </c>
      <c r="U31" s="631">
        <f t="shared" si="11"/>
        <v>100</v>
      </c>
      <c r="V31" s="630" t="s">
        <v>25</v>
      </c>
      <c r="W31" s="631">
        <f t="shared" si="12"/>
        <v>100</v>
      </c>
      <c r="X31" s="1302"/>
      <c r="Y31" s="3704"/>
      <c r="Z31" s="1303">
        <f t="shared" si="13"/>
        <v>111</v>
      </c>
      <c r="AA31" s="1304">
        <f t="shared" si="3"/>
        <v>1</v>
      </c>
      <c r="AB31" s="1304">
        <f t="shared" si="4"/>
        <v>1</v>
      </c>
      <c r="AC31" s="1304">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706" t="s">
        <v>2217</v>
      </c>
      <c r="Q32" s="1301">
        <f t="shared" si="8"/>
        <v>111</v>
      </c>
      <c r="R32" s="630" t="s">
        <v>25</v>
      </c>
      <c r="S32" s="631">
        <f t="shared" si="10"/>
        <v>100</v>
      </c>
      <c r="T32" s="630" t="s">
        <v>25</v>
      </c>
      <c r="U32" s="631">
        <f t="shared" si="11"/>
        <v>100</v>
      </c>
      <c r="V32" s="630" t="s">
        <v>25</v>
      </c>
      <c r="W32" s="631">
        <f t="shared" si="12"/>
        <v>100</v>
      </c>
      <c r="X32" s="1302"/>
      <c r="Y32" s="3707" t="s">
        <v>2217</v>
      </c>
      <c r="Z32" s="1303">
        <f t="shared" si="13"/>
        <v>111</v>
      </c>
      <c r="AA32" s="1304">
        <f t="shared" si="3"/>
        <v>1</v>
      </c>
      <c r="AB32" s="1304">
        <f t="shared" si="4"/>
        <v>1</v>
      </c>
      <c r="AC32" s="1304">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707"/>
      <c r="Q33" s="1301">
        <f t="shared" si="8"/>
        <v>111</v>
      </c>
      <c r="R33" s="633" t="s">
        <v>25</v>
      </c>
      <c r="S33" s="634">
        <f t="shared" si="10"/>
        <v>100</v>
      </c>
      <c r="T33" s="633" t="s">
        <v>25</v>
      </c>
      <c r="U33" s="634">
        <f t="shared" si="11"/>
        <v>100</v>
      </c>
      <c r="V33" s="633" t="s">
        <v>25</v>
      </c>
      <c r="W33" s="634">
        <f t="shared" si="12"/>
        <v>100</v>
      </c>
      <c r="X33" s="635"/>
      <c r="Y33" s="3707"/>
      <c r="Z33" s="636">
        <f t="shared" si="13"/>
        <v>111</v>
      </c>
      <c r="AA33" s="1304">
        <f t="shared" si="3"/>
        <v>1</v>
      </c>
      <c r="AB33" s="1304">
        <f t="shared" si="4"/>
        <v>1</v>
      </c>
      <c r="AC33" s="1304">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707"/>
      <c r="Q34" s="1301" t="str">
        <f>B34</f>
        <v>宗地面积</v>
      </c>
      <c r="R34" s="630" t="s">
        <v>25</v>
      </c>
      <c r="S34" s="631" t="e">
        <f t="shared" si="10"/>
        <v>#N/A</v>
      </c>
      <c r="T34" s="630" t="s">
        <v>25</v>
      </c>
      <c r="U34" s="631" t="e">
        <f t="shared" si="11"/>
        <v>#N/A</v>
      </c>
      <c r="V34" s="630" t="s">
        <v>25</v>
      </c>
      <c r="W34" s="631" t="e">
        <f t="shared" si="12"/>
        <v>#N/A</v>
      </c>
      <c r="X34" s="1302"/>
      <c r="Y34" s="3707"/>
      <c r="Z34" s="1303" t="str">
        <f t="shared" si="13"/>
        <v>宗地面积</v>
      </c>
      <c r="AA34" s="1304" t="e">
        <f t="shared" si="3"/>
        <v>#N/A</v>
      </c>
      <c r="AB34" s="1304" t="e">
        <f t="shared" si="4"/>
        <v>#N/A</v>
      </c>
      <c r="AC34" s="1304"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0"/>
      <c r="M35" s="2991"/>
      <c r="N35" s="2991"/>
      <c r="O35" s="2999"/>
      <c r="P35" s="3707"/>
      <c r="Q35" s="1301" t="str">
        <f t="shared" ref="Q35:Q40" si="14">B35</f>
        <v>宗地形状</v>
      </c>
      <c r="R35" s="630" t="s">
        <v>25</v>
      </c>
      <c r="S35" s="631">
        <f t="shared" si="10"/>
        <v>100</v>
      </c>
      <c r="T35" s="630" t="s">
        <v>25</v>
      </c>
      <c r="U35" s="631">
        <f t="shared" si="11"/>
        <v>100</v>
      </c>
      <c r="V35" s="630" t="s">
        <v>25</v>
      </c>
      <c r="W35" s="631">
        <f t="shared" si="12"/>
        <v>100</v>
      </c>
      <c r="X35" s="1302"/>
      <c r="Y35" s="3707"/>
      <c r="Z35" s="1303" t="str">
        <f t="shared" si="13"/>
        <v>宗地形状</v>
      </c>
      <c r="AA35" s="1304">
        <f t="shared" si="3"/>
        <v>1</v>
      </c>
      <c r="AB35" s="1304">
        <f t="shared" si="4"/>
        <v>1</v>
      </c>
      <c r="AC35" s="1304">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2"/>
      <c r="M36" s="2993"/>
      <c r="N36" s="2993"/>
      <c r="O36" s="2994"/>
      <c r="P36" s="3707"/>
      <c r="Q36" s="1301" t="str">
        <f t="shared" si="14"/>
        <v>宗地开发程度</v>
      </c>
      <c r="R36" s="626" t="s">
        <v>25</v>
      </c>
      <c r="S36" s="627">
        <f t="shared" si="10"/>
        <v>100</v>
      </c>
      <c r="T36" s="626" t="s">
        <v>25</v>
      </c>
      <c r="U36" s="627">
        <f t="shared" si="11"/>
        <v>100</v>
      </c>
      <c r="V36" s="626" t="s">
        <v>25</v>
      </c>
      <c r="W36" s="627">
        <f t="shared" si="12"/>
        <v>100</v>
      </c>
      <c r="X36" s="628"/>
      <c r="Y36" s="3707"/>
      <c r="Z36" s="19" t="str">
        <f t="shared" si="13"/>
        <v>宗地开发程度</v>
      </c>
      <c r="AA36" s="629">
        <f t="shared" si="3"/>
        <v>1</v>
      </c>
      <c r="AB36" s="629">
        <f t="shared" si="4"/>
        <v>1</v>
      </c>
      <c r="AC36" s="629">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0"/>
      <c r="M37" s="2991"/>
      <c r="N37" s="2991"/>
      <c r="O37" s="2999"/>
      <c r="P37" s="3707" t="s">
        <v>2217</v>
      </c>
      <c r="Q37" s="1301" t="str">
        <f t="shared" si="14"/>
        <v>工程地质条件</v>
      </c>
      <c r="R37" s="630" t="s">
        <v>25</v>
      </c>
      <c r="S37" s="631">
        <f t="shared" si="10"/>
        <v>100</v>
      </c>
      <c r="T37" s="630" t="s">
        <v>25</v>
      </c>
      <c r="U37" s="631">
        <f t="shared" si="11"/>
        <v>100</v>
      </c>
      <c r="V37" s="630" t="s">
        <v>25</v>
      </c>
      <c r="W37" s="631">
        <f t="shared" si="12"/>
        <v>100</v>
      </c>
      <c r="X37" s="1302"/>
      <c r="Y37" s="3707" t="s">
        <v>2217</v>
      </c>
      <c r="Z37" s="1303" t="str">
        <f t="shared" si="13"/>
        <v>工程地质条件</v>
      </c>
      <c r="AA37" s="1304">
        <f t="shared" si="3"/>
        <v>1</v>
      </c>
      <c r="AB37" s="1304">
        <f t="shared" si="4"/>
        <v>1</v>
      </c>
      <c r="AC37" s="1304">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707"/>
      <c r="Q38" s="1301">
        <f t="shared" si="14"/>
        <v>111</v>
      </c>
      <c r="R38" s="630" t="s">
        <v>25</v>
      </c>
      <c r="S38" s="631">
        <f t="shared" si="10"/>
        <v>100</v>
      </c>
      <c r="T38" s="630" t="s">
        <v>25</v>
      </c>
      <c r="U38" s="631">
        <f t="shared" si="11"/>
        <v>100</v>
      </c>
      <c r="V38" s="630" t="s">
        <v>25</v>
      </c>
      <c r="W38" s="631">
        <f t="shared" si="12"/>
        <v>100</v>
      </c>
      <c r="X38" s="1302"/>
      <c r="Y38" s="3707"/>
      <c r="Z38" s="1303">
        <f t="shared" si="13"/>
        <v>111</v>
      </c>
      <c r="AA38" s="1304">
        <f t="shared" si="3"/>
        <v>1</v>
      </c>
      <c r="AB38" s="1304">
        <f t="shared" si="4"/>
        <v>1</v>
      </c>
      <c r="AC38" s="1304">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707"/>
      <c r="Q39" s="1301">
        <f t="shared" si="14"/>
        <v>111</v>
      </c>
      <c r="R39" s="630" t="s">
        <v>25</v>
      </c>
      <c r="S39" s="631">
        <f t="shared" si="10"/>
        <v>100</v>
      </c>
      <c r="T39" s="630" t="s">
        <v>25</v>
      </c>
      <c r="U39" s="631">
        <f t="shared" si="11"/>
        <v>100</v>
      </c>
      <c r="V39" s="630" t="s">
        <v>25</v>
      </c>
      <c r="W39" s="631">
        <f t="shared" si="12"/>
        <v>100</v>
      </c>
      <c r="X39" s="1302"/>
      <c r="Y39" s="3707"/>
      <c r="Z39" s="1303">
        <f t="shared" si="13"/>
        <v>111</v>
      </c>
      <c r="AA39" s="1304">
        <f t="shared" si="3"/>
        <v>1</v>
      </c>
      <c r="AB39" s="1304">
        <f t="shared" si="4"/>
        <v>1</v>
      </c>
      <c r="AC39" s="1304">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707"/>
      <c r="Q40" s="1301">
        <f t="shared" si="14"/>
        <v>111</v>
      </c>
      <c r="R40" s="633" t="s">
        <v>25</v>
      </c>
      <c r="S40" s="634">
        <f t="shared" si="10"/>
        <v>100</v>
      </c>
      <c r="T40" s="633" t="s">
        <v>25</v>
      </c>
      <c r="U40" s="634">
        <f t="shared" si="11"/>
        <v>100</v>
      </c>
      <c r="V40" s="633" t="s">
        <v>25</v>
      </c>
      <c r="W40" s="634">
        <f t="shared" si="12"/>
        <v>100</v>
      </c>
      <c r="X40" s="635"/>
      <c r="Y40" s="3707"/>
      <c r="Z40" s="636">
        <f t="shared" si="13"/>
        <v>111</v>
      </c>
      <c r="AA40" s="1304">
        <f t="shared" si="3"/>
        <v>1</v>
      </c>
      <c r="AB40" s="1304">
        <f t="shared" si="4"/>
        <v>1</v>
      </c>
      <c r="AC40" s="1304">
        <f t="shared" si="5"/>
        <v>1</v>
      </c>
    </row>
    <row r="41" spans="1:29" ht="15">
      <c r="A41" s="367" t="s">
        <v>2359</v>
      </c>
      <c r="B41" s="1558" t="s">
        <v>2434</v>
      </c>
      <c r="C41" s="562" t="s">
        <v>1</v>
      </c>
      <c r="D41" s="369"/>
      <c r="E41" s="370"/>
      <c r="F41" s="371"/>
      <c r="G41" s="372"/>
      <c r="H41" s="373"/>
      <c r="I41" s="370"/>
      <c r="J41" s="373"/>
      <c r="K41" s="639"/>
      <c r="L41" s="3002"/>
      <c r="M41" s="2991"/>
      <c r="N41" s="2991"/>
      <c r="P41" s="3675" t="str">
        <f>A41</f>
        <v>成交单价</v>
      </c>
      <c r="Q41" s="3675"/>
      <c r="R41" s="3699">
        <f>E41</f>
        <v>0</v>
      </c>
      <c r="S41" s="3699"/>
      <c r="T41" s="3699">
        <f>G41</f>
        <v>0</v>
      </c>
      <c r="U41" s="3699"/>
      <c r="V41" s="3699">
        <f>I41</f>
        <v>0</v>
      </c>
      <c r="W41" s="3699"/>
      <c r="X41" s="617"/>
      <c r="Y41" s="637"/>
      <c r="Z41" s="617"/>
      <c r="AA41" s="617"/>
      <c r="AB41" s="617"/>
      <c r="AC41" s="617"/>
    </row>
    <row r="42" spans="1:29" ht="15.75" thickBot="1">
      <c r="A42" s="374" t="s">
        <v>2312</v>
      </c>
      <c r="B42" s="563"/>
      <c r="C42" s="377" t="e">
        <f>R43</f>
        <v>#DIV/0!</v>
      </c>
      <c r="D42" s="1764" t="s">
        <v>2686</v>
      </c>
      <c r="E42" s="377" t="e">
        <f>R42</f>
        <v>#DIV/0!</v>
      </c>
      <c r="F42" s="1766"/>
      <c r="G42" s="376" t="e">
        <f>T42</f>
        <v>#DIV/0!</v>
      </c>
      <c r="H42" s="1766"/>
      <c r="I42" s="377" t="e">
        <f>V42</f>
        <v>#DIV/0!</v>
      </c>
      <c r="J42" s="1766"/>
      <c r="K42" s="2478">
        <f>F42+H42+J42</f>
        <v>0</v>
      </c>
      <c r="L42" s="3002"/>
      <c r="M42" s="2991"/>
      <c r="N42" s="2991"/>
      <c r="P42" s="3675" t="str">
        <f>A42</f>
        <v>比较价值（元/平方米）</v>
      </c>
      <c r="Q42" s="3675"/>
      <c r="R42" s="3716" t="e">
        <f>ROUND(PRODUCT(R41,AA7:AA40),0)</f>
        <v>#DIV/0!</v>
      </c>
      <c r="S42" s="3716"/>
      <c r="T42" s="3716" t="e">
        <f>ROUND(PRODUCT(T41,AB7:AB40),0)</f>
        <v>#DIV/0!</v>
      </c>
      <c r="U42" s="3716"/>
      <c r="V42" s="3716" t="e">
        <f>ROUND(PRODUCT(V41,AC7:AC40),0)</f>
        <v>#DIV/0!</v>
      </c>
      <c r="W42" s="3716"/>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2"/>
      <c r="M43" s="2991"/>
      <c r="N43" s="2991"/>
      <c r="P43" s="3710" t="str">
        <f>A43</f>
        <v>估价对象XX用房的比较价值（楼面单价，元/平方米）</v>
      </c>
      <c r="Q43" s="3711"/>
      <c r="R43" s="3715" t="e">
        <f>ROUND(IF(D42="简单平均",AVERAGE(R42:W42),R42*F42+T42*H42+V42*J42),0)</f>
        <v>#DIV/0!</v>
      </c>
      <c r="S43" s="3715"/>
      <c r="T43" s="3715"/>
      <c r="U43" s="3715"/>
      <c r="V43" s="3715"/>
      <c r="W43" s="3715"/>
      <c r="X43" s="617"/>
      <c r="Y43" s="617"/>
      <c r="Z43" s="617"/>
      <c r="AA43" s="617"/>
      <c r="AB43" s="617"/>
      <c r="AC43" s="617"/>
    </row>
    <row r="44" spans="1:29">
      <c r="G44" s="3005"/>
      <c r="M44" s="2991"/>
      <c r="N44" s="2991"/>
    </row>
    <row r="45" spans="1:29">
      <c r="M45" s="2991"/>
      <c r="N45" s="299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2397</v>
      </c>
      <c r="B50" s="565" t="s">
        <v>2398</v>
      </c>
      <c r="C50" s="1559" t="s">
        <v>2399</v>
      </c>
      <c r="D50" s="1560" t="s">
        <v>2400</v>
      </c>
      <c r="E50" s="566" t="s">
        <v>2401</v>
      </c>
      <c r="F50" s="567" t="s">
        <v>2402</v>
      </c>
      <c r="G50" s="1303" t="s">
        <v>2435</v>
      </c>
      <c r="H50" s="1303" t="str">
        <f>项目基本情况!G8</f>
        <v>XX</v>
      </c>
      <c r="I50" s="1277"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4"/>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2021-12-1</v>
      </c>
      <c r="D63" s="1150">
        <f>EDATE(C63,-3)</f>
        <v>44440</v>
      </c>
      <c r="E63" s="1150">
        <f t="shared" ref="E63:O63" si="18">EDATE(D63,-3)</f>
        <v>44348</v>
      </c>
      <c r="F63" s="1150">
        <f t="shared" si="18"/>
        <v>44256</v>
      </c>
      <c r="G63" s="1150">
        <f t="shared" si="18"/>
        <v>44166</v>
      </c>
      <c r="H63" s="1150">
        <f t="shared" si="18"/>
        <v>44075</v>
      </c>
      <c r="I63" s="1150">
        <f t="shared" si="18"/>
        <v>43983</v>
      </c>
      <c r="J63" s="1150">
        <f t="shared" si="18"/>
        <v>43891</v>
      </c>
      <c r="K63" s="1150">
        <f t="shared" si="18"/>
        <v>43800</v>
      </c>
      <c r="L63" s="1150">
        <f t="shared" si="18"/>
        <v>43709</v>
      </c>
      <c r="M63" s="1150">
        <f t="shared" si="18"/>
        <v>43617</v>
      </c>
      <c r="N63" s="1150">
        <f t="shared" si="18"/>
        <v>43525</v>
      </c>
      <c r="O63" s="1150">
        <f t="shared" si="18"/>
        <v>43435</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2" t="s">
        <v>2416</v>
      </c>
      <c r="B65" s="1094"/>
      <c r="C65" s="1151" t="str">
        <f>YEAR(C63)&amp;"-"&amp;ROUNDUP(MONTH(C63)/3,0)</f>
        <v>2021-4</v>
      </c>
      <c r="D65" s="1151" t="str">
        <f t="shared" ref="D65:O65" si="19">YEAR(D63)&amp;"-"&amp;ROUNDUP(MONTH(D63)/3,0)</f>
        <v>2021-3</v>
      </c>
      <c r="E65" s="1151" t="str">
        <f t="shared" si="19"/>
        <v>2021-2</v>
      </c>
      <c r="F65" s="1151" t="str">
        <f t="shared" si="19"/>
        <v>2021-1</v>
      </c>
      <c r="G65" s="1151" t="str">
        <f t="shared" si="19"/>
        <v>2020-4</v>
      </c>
      <c r="H65" s="1151" t="str">
        <f t="shared" si="19"/>
        <v>2020-3</v>
      </c>
      <c r="I65" s="1151" t="str">
        <f t="shared" si="19"/>
        <v>2020-2</v>
      </c>
      <c r="J65" s="1151" t="str">
        <f t="shared" si="19"/>
        <v>2020-1</v>
      </c>
      <c r="K65" s="1151" t="str">
        <f t="shared" si="19"/>
        <v>2019-4</v>
      </c>
      <c r="L65" s="1151" t="str">
        <f t="shared" si="19"/>
        <v>2019-3</v>
      </c>
      <c r="M65" s="1151" t="str">
        <f t="shared" si="19"/>
        <v>2019-2</v>
      </c>
      <c r="N65" s="1151" t="str">
        <f t="shared" si="19"/>
        <v>2019-1</v>
      </c>
      <c r="O65" s="1151" t="str">
        <f t="shared" si="19"/>
        <v>2018-4</v>
      </c>
      <c r="P65" s="393"/>
    </row>
    <row r="66" spans="1:17" s="25" customFormat="1" ht="33.75" customHeight="1">
      <c r="A66" s="1567" t="s">
        <v>2436</v>
      </c>
      <c r="B66" s="200" t="str">
        <f>"北京市平均增长率"&amp;TEXT(基准地价修正!P24,"0.00%")</f>
        <v>北京市平均增长率1.22%</v>
      </c>
      <c r="C66" s="491">
        <v>100</v>
      </c>
      <c r="D66" s="483"/>
      <c r="E66" s="483"/>
      <c r="F66" s="483"/>
      <c r="G66" s="483"/>
      <c r="H66" s="483"/>
      <c r="I66" s="483"/>
      <c r="J66" s="483"/>
      <c r="K66" s="483"/>
      <c r="L66" s="483"/>
      <c r="M66" s="1149"/>
      <c r="N66" s="483"/>
      <c r="O66" s="1152"/>
      <c r="P66" s="390"/>
    </row>
    <row r="67" spans="1:17" s="25" customFormat="1" ht="15.75" thickBot="1">
      <c r="A67" s="400" t="s">
        <v>2237</v>
      </c>
      <c r="B67" s="401"/>
      <c r="C67" s="402"/>
      <c r="D67" s="403"/>
      <c r="E67" s="403"/>
      <c r="F67" s="403"/>
      <c r="G67" s="403"/>
      <c r="H67" s="403"/>
      <c r="I67" s="403"/>
      <c r="J67" s="403"/>
      <c r="K67" s="403"/>
      <c r="L67" s="403"/>
      <c r="M67" s="404"/>
      <c r="N67" s="403"/>
      <c r="O67" s="1153"/>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估价对象为北京市房地产，为XX所有。根据《》[]，估价对象建筑面积为362.84平方米。根据《》[]，估价对象（分摊）出让国有建设用地使用权面积为平方米。估价对象用途为。</v>
      </c>
      <c r="B6" s="1316"/>
      <c r="C6" s="1316"/>
      <c r="D6" s="1316"/>
      <c r="E6" s="1316"/>
      <c r="F6" s="1316"/>
      <c r="G6" s="1316"/>
    </row>
    <row r="7" spans="1:7" ht="18.75">
      <c r="A7" s="1317" t="s">
        <v>1198</v>
      </c>
    </row>
    <row r="8" spans="1:7" ht="54">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2021年12月24日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3026</v>
      </c>
      <c r="D1" s="1605"/>
      <c r="E1" s="1608" t="s">
        <v>2687</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1230</v>
      </c>
      <c r="B2" s="1617">
        <f>IF(D2="——",IF(C2="元",ROUND(C50*D3,0),ROUND(C50*D3/10000,0)),IF(C2="元",ROUND(C50*D3,0),ROUND(C50*D3/10000,0))-E2)</f>
        <v>174</v>
      </c>
      <c r="C2" s="1618" t="str">
        <f>'数据-取费表'!B3</f>
        <v>万元</v>
      </c>
      <c r="D2" s="1619" t="s">
        <v>1183</v>
      </c>
      <c r="E2" s="2455" t="e">
        <f ca="1">SUMIF(INDIRECT("'"&amp;G2&amp;"'"&amp;"!A:A"),"承租人权益价值",INDIRECT("'"&amp;G2&amp;"'"&amp;"!c:c"))</f>
        <v>#REF!</v>
      </c>
      <c r="F2" s="1621" t="str">
        <f>C2</f>
        <v>万元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1231</v>
      </c>
      <c r="B3" s="1930">
        <f>ROUND(IF(D2="——",C50,IF(C2="万元",B2*10000/D3,B2/D3)),0)</f>
        <v>9606</v>
      </c>
      <c r="C3" s="1627" t="s">
        <v>2185</v>
      </c>
      <c r="D3" s="1627">
        <f>IF(C1="仅计算典型户型",'数据-取费表'!E5,'数据-取费表'!B5)</f>
        <v>181.42</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2186</v>
      </c>
      <c r="B4" s="1631"/>
      <c r="C4" s="3621" t="s">
        <v>2187</v>
      </c>
      <c r="D4" s="3622"/>
      <c r="E4" s="3623" t="s">
        <v>2188</v>
      </c>
      <c r="F4" s="3624"/>
      <c r="G4" s="3621" t="s">
        <v>2189</v>
      </c>
      <c r="H4" s="3622"/>
      <c r="I4" s="3621" t="s">
        <v>2190</v>
      </c>
      <c r="J4" s="3622"/>
      <c r="K4" s="1933" t="s">
        <v>2191</v>
      </c>
      <c r="L4" s="2962"/>
      <c r="M4" s="2963"/>
      <c r="N4" s="2963"/>
      <c r="O4" s="2963"/>
      <c r="P4" s="3625" t="s">
        <v>2192</v>
      </c>
      <c r="Q4" s="3626"/>
      <c r="R4" s="3631" t="s">
        <v>2188</v>
      </c>
      <c r="S4" s="3632"/>
      <c r="T4" s="3631" t="s">
        <v>2189</v>
      </c>
      <c r="U4" s="3632"/>
      <c r="V4" s="3637" t="s">
        <v>2190</v>
      </c>
      <c r="W4" s="3637"/>
      <c r="X4" s="3318"/>
      <c r="Y4" s="3631" t="s">
        <v>2192</v>
      </c>
      <c r="Z4" s="3632"/>
      <c r="AA4" s="3618" t="s">
        <v>2188</v>
      </c>
      <c r="AB4" s="3618" t="s">
        <v>2189</v>
      </c>
      <c r="AC4" s="3618" t="s">
        <v>2190</v>
      </c>
    </row>
    <row r="5" spans="1:29" ht="15">
      <c r="A5" s="1635"/>
      <c r="B5" s="1636"/>
      <c r="C5" s="3640" t="s">
        <v>2193</v>
      </c>
      <c r="D5" s="3641"/>
      <c r="E5" s="3667" t="s">
        <v>3009</v>
      </c>
      <c r="F5" s="3639"/>
      <c r="G5" s="3666" t="s">
        <v>3042</v>
      </c>
      <c r="H5" s="3641"/>
      <c r="I5" s="3666" t="s">
        <v>3010</v>
      </c>
      <c r="J5" s="3641"/>
      <c r="K5" s="1933"/>
      <c r="L5" s="2962"/>
      <c r="M5" s="2963"/>
      <c r="N5" s="2963"/>
      <c r="O5" s="2963"/>
      <c r="P5" s="3627"/>
      <c r="Q5" s="3628"/>
      <c r="R5" s="3633"/>
      <c r="S5" s="3634"/>
      <c r="T5" s="3633"/>
      <c r="U5" s="3634"/>
      <c r="V5" s="3637"/>
      <c r="W5" s="3637"/>
      <c r="X5" s="3318"/>
      <c r="Y5" s="3633"/>
      <c r="Z5" s="3634"/>
      <c r="AA5" s="3619"/>
      <c r="AB5" s="3619"/>
      <c r="AC5" s="3619"/>
    </row>
    <row r="6" spans="1:29" ht="15.75" thickBot="1">
      <c r="A6" s="1638"/>
      <c r="B6" s="1639"/>
      <c r="C6" s="3642" t="s">
        <v>2197</v>
      </c>
      <c r="D6" s="3643"/>
      <c r="E6" s="3644" t="s">
        <v>2197</v>
      </c>
      <c r="F6" s="3645"/>
      <c r="G6" s="3642" t="s">
        <v>2197</v>
      </c>
      <c r="H6" s="3643"/>
      <c r="I6" s="3642" t="s">
        <v>2197</v>
      </c>
      <c r="J6" s="3643"/>
      <c r="K6" s="1933" t="s">
        <v>2198</v>
      </c>
      <c r="L6" s="2962"/>
      <c r="M6" s="2963"/>
      <c r="N6" s="2963"/>
      <c r="O6" s="2963"/>
      <c r="P6" s="3629"/>
      <c r="Q6" s="3630"/>
      <c r="R6" s="3633"/>
      <c r="S6" s="3634"/>
      <c r="T6" s="3635"/>
      <c r="U6" s="3636"/>
      <c r="V6" s="3637"/>
      <c r="W6" s="3637"/>
      <c r="X6" s="3318"/>
      <c r="Y6" s="3635"/>
      <c r="Z6" s="3636"/>
      <c r="AA6" s="3620"/>
      <c r="AB6" s="3620"/>
      <c r="AC6" s="3620"/>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2"/>
      <c r="M7" s="2935"/>
      <c r="N7" s="2935"/>
      <c r="O7" s="2935"/>
      <c r="P7" s="3653" t="s">
        <v>2200</v>
      </c>
      <c r="Q7" s="3655"/>
      <c r="R7" s="1648" t="s">
        <v>25</v>
      </c>
      <c r="S7" s="1649">
        <f t="shared" ref="S7:S15" si="0">F7</f>
        <v>100</v>
      </c>
      <c r="T7" s="1648" t="s">
        <v>25</v>
      </c>
      <c r="U7" s="1649">
        <f t="shared" ref="U7:U15" si="1">H7</f>
        <v>100</v>
      </c>
      <c r="V7" s="1648" t="s">
        <v>25</v>
      </c>
      <c r="W7" s="1649">
        <f t="shared" ref="W7:W15" si="2">J7</f>
        <v>100</v>
      </c>
      <c r="X7" s="1650"/>
      <c r="Y7" s="3653" t="s">
        <v>2200</v>
      </c>
      <c r="Z7" s="3654"/>
      <c r="AA7" s="1651">
        <f>D7/F7</f>
        <v>1</v>
      </c>
      <c r="AB7" s="1651">
        <f>D7/H7</f>
        <v>1</v>
      </c>
      <c r="AC7" s="1651">
        <f>D7/J7</f>
        <v>1</v>
      </c>
    </row>
    <row r="8" spans="1:29" s="1652" customFormat="1" ht="15.75" thickBot="1">
      <c r="A8" s="1640" t="s">
        <v>2201</v>
      </c>
      <c r="B8" s="1641"/>
      <c r="C8" s="1653" t="s">
        <v>2202</v>
      </c>
      <c r="D8" s="1643">
        <v>100</v>
      </c>
      <c r="E8" s="1653" t="s">
        <v>2825</v>
      </c>
      <c r="F8" s="1645">
        <f>SUMIF(62:62,E8,63:63)-SUMIF(62:62,C8,63:63)+100</f>
        <v>100</v>
      </c>
      <c r="G8" s="1653" t="s">
        <v>2825</v>
      </c>
      <c r="H8" s="1643">
        <f>SUMIF(62:62,G8,63:63)-SUMIF(62:62,C8,63:63)+100</f>
        <v>100</v>
      </c>
      <c r="I8" s="1653" t="s">
        <v>2825</v>
      </c>
      <c r="J8" s="1643">
        <f>SUMIF(62:62,I8,63:63)-SUMIF(62:62,C8,63:63)+100</f>
        <v>100</v>
      </c>
      <c r="K8" s="1935"/>
      <c r="L8" s="2962"/>
      <c r="M8" s="2935"/>
      <c r="N8" s="2935"/>
      <c r="O8" s="2935"/>
      <c r="P8" s="3653" t="s">
        <v>2203</v>
      </c>
      <c r="Q8" s="3654"/>
      <c r="R8" s="1648" t="s">
        <v>25</v>
      </c>
      <c r="S8" s="1649">
        <f t="shared" si="0"/>
        <v>100</v>
      </c>
      <c r="T8" s="1648" t="s">
        <v>25</v>
      </c>
      <c r="U8" s="1649">
        <f t="shared" si="1"/>
        <v>100</v>
      </c>
      <c r="V8" s="1648" t="s">
        <v>25</v>
      </c>
      <c r="W8" s="1649">
        <f t="shared" si="2"/>
        <v>100</v>
      </c>
      <c r="X8" s="1650"/>
      <c r="Y8" s="3653" t="s">
        <v>2203</v>
      </c>
      <c r="Z8" s="3654"/>
      <c r="AA8" s="1651">
        <f t="shared" ref="AA8:AA47" si="3">D8/F8</f>
        <v>1</v>
      </c>
      <c r="AB8" s="1651">
        <f t="shared" ref="AB8:AB47" si="4">D8/H8</f>
        <v>1</v>
      </c>
      <c r="AC8" s="1651">
        <f t="shared" ref="AC8:AC47" si="5">D8/J8</f>
        <v>1</v>
      </c>
    </row>
    <row r="9" spans="1:29" s="1652" customFormat="1">
      <c r="A9" s="3312" t="s">
        <v>2204</v>
      </c>
      <c r="B9" s="1655" t="s">
        <v>2205</v>
      </c>
      <c r="C9" s="3320" t="s">
        <v>3001</v>
      </c>
      <c r="D9" s="1657">
        <v>100</v>
      </c>
      <c r="E9" s="3321" t="s">
        <v>3001</v>
      </c>
      <c r="F9" s="1657">
        <f>SUMIF(64:64,E9,65:65)-SUMIF(64:64,C9,65:65)+100</f>
        <v>100</v>
      </c>
      <c r="G9" s="3322" t="s">
        <v>3001</v>
      </c>
      <c r="H9" s="1657">
        <f>SUMIF(64:64,G9,65:65)-SUMIF(64:64,C9,65:65)+100</f>
        <v>100</v>
      </c>
      <c r="I9" s="3322" t="s">
        <v>3001</v>
      </c>
      <c r="J9" s="1657">
        <f>SUMIF(64:64,I9,65:65)-SUMIF(64:64,C9,65:65)+100</f>
        <v>100</v>
      </c>
      <c r="K9" s="1935"/>
      <c r="L9" s="2962"/>
      <c r="M9" s="2935"/>
      <c r="N9" s="2935"/>
      <c r="O9" s="2935"/>
      <c r="P9" s="3657" t="s">
        <v>2206</v>
      </c>
      <c r="Q9" s="3311" t="str">
        <f t="shared" ref="Q9:Q15" si="6">B9</f>
        <v>用途</v>
      </c>
      <c r="R9" s="1648" t="s">
        <v>25</v>
      </c>
      <c r="S9" s="1649">
        <f t="shared" si="0"/>
        <v>100</v>
      </c>
      <c r="T9" s="1648" t="s">
        <v>25</v>
      </c>
      <c r="U9" s="1649">
        <f t="shared" si="1"/>
        <v>100</v>
      </c>
      <c r="V9" s="1648" t="s">
        <v>25</v>
      </c>
      <c r="W9" s="1649">
        <f t="shared" si="2"/>
        <v>100</v>
      </c>
      <c r="X9" s="1650"/>
      <c r="Y9" s="3433" t="s">
        <v>2207</v>
      </c>
      <c r="Z9" s="1661" t="str">
        <f t="shared" ref="Z9:Z15" si="7">Q9</f>
        <v>用途</v>
      </c>
      <c r="AA9" s="1651">
        <f t="shared" si="3"/>
        <v>1</v>
      </c>
      <c r="AB9" s="1651">
        <f t="shared" si="4"/>
        <v>1</v>
      </c>
      <c r="AC9" s="1651">
        <f t="shared" si="5"/>
        <v>1</v>
      </c>
    </row>
    <row r="10" spans="1:29" s="1669" customFormat="1" ht="27">
      <c r="A10" s="1662"/>
      <c r="B10" s="1663" t="s">
        <v>2208</v>
      </c>
      <c r="C10" s="1664" t="s">
        <v>3011</v>
      </c>
      <c r="D10" s="1665">
        <v>100</v>
      </c>
      <c r="E10" s="1664" t="s">
        <v>3011</v>
      </c>
      <c r="F10" s="1665">
        <f>SUMIF(66:66,E10,67:67)-SUMIF(66:66,C10,67:67)+100</f>
        <v>100</v>
      </c>
      <c r="G10" s="1664" t="s">
        <v>3011</v>
      </c>
      <c r="H10" s="1665">
        <f>SUMIF(66:66,G10,67:67)-SUMIF(66:66,C10,67:67)+100</f>
        <v>100</v>
      </c>
      <c r="I10" s="1664" t="s">
        <v>3002</v>
      </c>
      <c r="J10" s="1665">
        <f>SUMIF(66:66,I10,67:67)-SUMIF(66:66,C10,67:67)+100</f>
        <v>102</v>
      </c>
      <c r="K10" s="1960">
        <v>2</v>
      </c>
      <c r="L10" s="2964"/>
      <c r="M10" s="2965"/>
      <c r="N10" s="2965"/>
      <c r="O10" s="2965"/>
      <c r="P10" s="3657"/>
      <c r="Q10" s="3311" t="str">
        <f t="shared" si="6"/>
        <v>土地使用年限（年）</v>
      </c>
      <c r="R10" s="1648" t="s">
        <v>25</v>
      </c>
      <c r="S10" s="1649">
        <f t="shared" si="0"/>
        <v>100</v>
      </c>
      <c r="T10" s="1648" t="s">
        <v>25</v>
      </c>
      <c r="U10" s="1649">
        <f t="shared" si="1"/>
        <v>100</v>
      </c>
      <c r="V10" s="1648" t="s">
        <v>25</v>
      </c>
      <c r="W10" s="1649">
        <f t="shared" si="2"/>
        <v>102</v>
      </c>
      <c r="X10" s="1650"/>
      <c r="Y10" s="3433"/>
      <c r="Z10" s="1661" t="str">
        <f t="shared" si="7"/>
        <v>土地使用年限（年）</v>
      </c>
      <c r="AA10" s="1651">
        <f t="shared" si="3"/>
        <v>1</v>
      </c>
      <c r="AB10" s="1651">
        <f t="shared" si="4"/>
        <v>1</v>
      </c>
      <c r="AC10" s="1651">
        <f t="shared" si="5"/>
        <v>0.98039215686274506</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6"/>
      <c r="M11" s="2963"/>
      <c r="N11" s="2963"/>
      <c r="O11" s="2963"/>
      <c r="P11" s="3657"/>
      <c r="Q11" s="3311" t="str">
        <f t="shared" si="6"/>
        <v>容积率</v>
      </c>
      <c r="R11" s="1648" t="s">
        <v>25</v>
      </c>
      <c r="S11" s="1649">
        <f t="shared" si="0"/>
        <v>100</v>
      </c>
      <c r="T11" s="1648" t="s">
        <v>25</v>
      </c>
      <c r="U11" s="1649">
        <f t="shared" si="1"/>
        <v>100</v>
      </c>
      <c r="V11" s="1648" t="s">
        <v>25</v>
      </c>
      <c r="W11" s="1649">
        <f t="shared" si="2"/>
        <v>100</v>
      </c>
      <c r="X11" s="1650"/>
      <c r="Y11" s="3433"/>
      <c r="Z11" s="1661" t="str">
        <f t="shared" si="7"/>
        <v>容积率</v>
      </c>
      <c r="AA11" s="1651">
        <f t="shared" si="3"/>
        <v>1</v>
      </c>
      <c r="AB11" s="1651">
        <f t="shared" si="4"/>
        <v>1</v>
      </c>
      <c r="AC11" s="1651">
        <f t="shared" si="5"/>
        <v>1</v>
      </c>
    </row>
    <row r="12" spans="1:29" s="1652" customFormat="1" ht="15.75" hidden="1" thickBot="1">
      <c r="A12" s="331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2"/>
      <c r="M12" s="2935"/>
      <c r="N12" s="2935"/>
      <c r="O12" s="2935"/>
      <c r="P12" s="3657"/>
      <c r="Q12" s="3311">
        <f t="shared" si="6"/>
        <v>111</v>
      </c>
      <c r="R12" s="1648" t="s">
        <v>25</v>
      </c>
      <c r="S12" s="1649">
        <f t="shared" si="0"/>
        <v>100</v>
      </c>
      <c r="T12" s="1648" t="s">
        <v>25</v>
      </c>
      <c r="U12" s="1649">
        <f t="shared" si="1"/>
        <v>100</v>
      </c>
      <c r="V12" s="1648" t="s">
        <v>25</v>
      </c>
      <c r="W12" s="1649">
        <f t="shared" si="2"/>
        <v>100</v>
      </c>
      <c r="X12" s="1650"/>
      <c r="Y12" s="3433"/>
      <c r="Z12" s="1661">
        <f t="shared" si="7"/>
        <v>111</v>
      </c>
      <c r="AA12" s="1651">
        <f>D12/F12</f>
        <v>1</v>
      </c>
      <c r="AB12" s="1651">
        <f>D12/H12</f>
        <v>1</v>
      </c>
      <c r="AC12" s="1651">
        <f>D12/J12</f>
        <v>1</v>
      </c>
    </row>
    <row r="13" spans="1:29" ht="15.75" hidden="1" thickBot="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7"/>
      <c r="M13" s="2963"/>
      <c r="N13" s="2963"/>
      <c r="O13" s="2963"/>
      <c r="P13" s="3657"/>
      <c r="Q13" s="3311">
        <f t="shared" si="6"/>
        <v>111</v>
      </c>
      <c r="R13" s="1648" t="s">
        <v>25</v>
      </c>
      <c r="S13" s="1649">
        <f t="shared" si="0"/>
        <v>100</v>
      </c>
      <c r="T13" s="1648" t="s">
        <v>25</v>
      </c>
      <c r="U13" s="1649">
        <f t="shared" si="1"/>
        <v>100</v>
      </c>
      <c r="V13" s="1648" t="s">
        <v>25</v>
      </c>
      <c r="W13" s="1649">
        <f t="shared" si="2"/>
        <v>100</v>
      </c>
      <c r="X13" s="1650"/>
      <c r="Y13" s="3433"/>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7"/>
      <c r="M14" s="2963"/>
      <c r="N14" s="2963"/>
      <c r="O14" s="2963"/>
      <c r="P14" s="3657"/>
      <c r="Q14" s="3311">
        <f t="shared" si="6"/>
        <v>111</v>
      </c>
      <c r="R14" s="1648" t="s">
        <v>25</v>
      </c>
      <c r="S14" s="1649">
        <f t="shared" si="0"/>
        <v>100</v>
      </c>
      <c r="T14" s="1648" t="s">
        <v>25</v>
      </c>
      <c r="U14" s="1649">
        <f t="shared" si="1"/>
        <v>100</v>
      </c>
      <c r="V14" s="1648" t="s">
        <v>25</v>
      </c>
      <c r="W14" s="1649">
        <f t="shared" si="2"/>
        <v>100</v>
      </c>
      <c r="X14" s="1650"/>
      <c r="Y14" s="3433"/>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5</v>
      </c>
      <c r="L15" s="2967"/>
      <c r="M15" s="2963"/>
      <c r="N15" s="2963"/>
      <c r="O15" s="2963"/>
      <c r="P15" s="3646" t="s">
        <v>2211</v>
      </c>
      <c r="Q15" s="3316" t="str">
        <f t="shared" si="6"/>
        <v>办公集聚程度</v>
      </c>
      <c r="R15" s="1693" t="s">
        <v>25</v>
      </c>
      <c r="S15" s="1694">
        <f t="shared" si="0"/>
        <v>100</v>
      </c>
      <c r="T15" s="1693" t="s">
        <v>25</v>
      </c>
      <c r="U15" s="1694">
        <f t="shared" si="1"/>
        <v>100</v>
      </c>
      <c r="V15" s="1693" t="s">
        <v>25</v>
      </c>
      <c r="W15" s="1694">
        <f t="shared" si="2"/>
        <v>100</v>
      </c>
      <c r="X15" s="3318"/>
      <c r="Y15" s="3646" t="s">
        <v>2211</v>
      </c>
      <c r="Z15" s="3319" t="str">
        <f t="shared" si="7"/>
        <v>办公集聚程度</v>
      </c>
      <c r="AA15" s="3314">
        <f t="shared" si="3"/>
        <v>1</v>
      </c>
      <c r="AB15" s="3314">
        <f t="shared" si="4"/>
        <v>1</v>
      </c>
      <c r="AC15" s="3314">
        <f t="shared" si="5"/>
        <v>1</v>
      </c>
    </row>
    <row r="16" spans="1:29" ht="15">
      <c r="A16" s="1670"/>
      <c r="B16" s="2461"/>
      <c r="C16" s="1943" t="s">
        <v>31</v>
      </c>
      <c r="D16" s="1699"/>
      <c r="E16" s="1943" t="s">
        <v>31</v>
      </c>
      <c r="F16" s="1699"/>
      <c r="G16" s="1943" t="s">
        <v>31</v>
      </c>
      <c r="H16" s="1703"/>
      <c r="I16" s="1943" t="s">
        <v>31</v>
      </c>
      <c r="J16" s="1699"/>
      <c r="K16" s="2441"/>
      <c r="L16" s="2967"/>
      <c r="M16" s="2963"/>
      <c r="N16" s="2963"/>
      <c r="O16" s="2963"/>
      <c r="P16" s="3647"/>
      <c r="Q16" s="3316"/>
      <c r="R16" s="1693"/>
      <c r="S16" s="1694"/>
      <c r="T16" s="1693"/>
      <c r="U16" s="1694"/>
      <c r="V16" s="1693"/>
      <c r="W16" s="1694"/>
      <c r="X16" s="3318"/>
      <c r="Y16" s="3647"/>
      <c r="Z16" s="3319"/>
      <c r="AA16" s="3314">
        <v>1</v>
      </c>
      <c r="AB16" s="3314">
        <v>1</v>
      </c>
      <c r="AC16" s="3314">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95</v>
      </c>
      <c r="G17" s="1707"/>
      <c r="H17" s="1710">
        <f>SUMIF(79:79,G18,80:80)-SUMIF(79:79,C18,80:80)+100</f>
        <v>95</v>
      </c>
      <c r="I17" s="1707"/>
      <c r="J17" s="1710">
        <f>SUMIF(79:79,I18,80:80)-SUMIF(79:79,C18,80:80)+100</f>
        <v>100</v>
      </c>
      <c r="K17" s="2440">
        <v>5</v>
      </c>
      <c r="L17" s="2967"/>
      <c r="M17" s="2963"/>
      <c r="N17" s="2963"/>
      <c r="O17" s="2963"/>
      <c r="P17" s="3647"/>
      <c r="Q17" s="3316" t="str">
        <f>B17</f>
        <v>交通便捷度</v>
      </c>
      <c r="R17" s="1693" t="s">
        <v>25</v>
      </c>
      <c r="S17" s="1694">
        <f>F17</f>
        <v>95</v>
      </c>
      <c r="T17" s="1693" t="s">
        <v>25</v>
      </c>
      <c r="U17" s="1694">
        <f>H17</f>
        <v>95</v>
      </c>
      <c r="V17" s="1693" t="s">
        <v>25</v>
      </c>
      <c r="W17" s="1694">
        <f>J17</f>
        <v>100</v>
      </c>
      <c r="X17" s="3318"/>
      <c r="Y17" s="3647"/>
      <c r="Z17" s="3319" t="str">
        <f>Q17</f>
        <v>交通便捷度</v>
      </c>
      <c r="AA17" s="3314">
        <f t="shared" si="3"/>
        <v>1.0526315789473684</v>
      </c>
      <c r="AB17" s="3314">
        <f t="shared" si="4"/>
        <v>1.0526315789473684</v>
      </c>
      <c r="AC17" s="3314">
        <f t="shared" si="5"/>
        <v>1</v>
      </c>
    </row>
    <row r="18" spans="1:29" ht="15">
      <c r="A18" s="1670"/>
      <c r="B18" s="2463"/>
      <c r="C18" s="1947" t="s">
        <v>30</v>
      </c>
      <c r="D18" s="1703"/>
      <c r="E18" s="1714" t="s">
        <v>31</v>
      </c>
      <c r="F18" s="1703"/>
      <c r="G18" s="1713" t="s">
        <v>31</v>
      </c>
      <c r="H18" s="1699"/>
      <c r="I18" s="1713" t="s">
        <v>30</v>
      </c>
      <c r="J18" s="1699"/>
      <c r="K18" s="2441"/>
      <c r="L18" s="2967"/>
      <c r="M18" s="2963"/>
      <c r="N18" s="2963"/>
      <c r="O18" s="2963"/>
      <c r="P18" s="3647"/>
      <c r="Q18" s="3316"/>
      <c r="R18" s="1693"/>
      <c r="S18" s="1694"/>
      <c r="T18" s="1693"/>
      <c r="U18" s="1694"/>
      <c r="V18" s="1693"/>
      <c r="W18" s="1694"/>
      <c r="X18" s="3318"/>
      <c r="Y18" s="3647"/>
      <c r="Z18" s="3319"/>
      <c r="AA18" s="3314">
        <v>1</v>
      </c>
      <c r="AB18" s="3314">
        <v>1</v>
      </c>
      <c r="AC18" s="3314">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7"/>
      <c r="M19" s="2963"/>
      <c r="N19" s="2963"/>
      <c r="O19" s="2963"/>
      <c r="P19" s="3647"/>
      <c r="Q19" s="3316" t="str">
        <f>B19</f>
        <v>公共配套设施</v>
      </c>
      <c r="R19" s="1693" t="s">
        <v>25</v>
      </c>
      <c r="S19" s="1694">
        <f>F19</f>
        <v>100</v>
      </c>
      <c r="T19" s="1693" t="s">
        <v>25</v>
      </c>
      <c r="U19" s="1694">
        <f>H19</f>
        <v>100</v>
      </c>
      <c r="V19" s="1693" t="s">
        <v>25</v>
      </c>
      <c r="W19" s="1694">
        <f>J19</f>
        <v>100</v>
      </c>
      <c r="X19" s="3318"/>
      <c r="Y19" s="3647"/>
      <c r="Z19" s="3319" t="str">
        <f>Q19</f>
        <v>公共配套设施</v>
      </c>
      <c r="AA19" s="3314">
        <f t="shared" si="3"/>
        <v>1</v>
      </c>
      <c r="AB19" s="3314">
        <f t="shared" si="4"/>
        <v>1</v>
      </c>
      <c r="AC19" s="3314">
        <f t="shared" si="5"/>
        <v>1</v>
      </c>
    </row>
    <row r="20" spans="1:29" ht="15">
      <c r="A20" s="1670"/>
      <c r="B20" s="2463"/>
      <c r="C20" s="1943" t="s">
        <v>31</v>
      </c>
      <c r="D20" s="1699"/>
      <c r="E20" s="1943" t="s">
        <v>31</v>
      </c>
      <c r="F20" s="1699"/>
      <c r="G20" s="1943" t="s">
        <v>31</v>
      </c>
      <c r="H20" s="1699"/>
      <c r="I20" s="1943" t="s">
        <v>31</v>
      </c>
      <c r="J20" s="1699"/>
      <c r="K20" s="2441"/>
      <c r="L20" s="2967"/>
      <c r="M20" s="2963"/>
      <c r="N20" s="2963"/>
      <c r="O20" s="2963"/>
      <c r="P20" s="3647"/>
      <c r="Q20" s="3316"/>
      <c r="R20" s="1693"/>
      <c r="S20" s="1694"/>
      <c r="T20" s="1693"/>
      <c r="U20" s="1694"/>
      <c r="V20" s="1693"/>
      <c r="W20" s="1694"/>
      <c r="X20" s="3318"/>
      <c r="Y20" s="3647"/>
      <c r="Z20" s="3319"/>
      <c r="AA20" s="3314">
        <v>1</v>
      </c>
      <c r="AB20" s="3314">
        <v>1</v>
      </c>
      <c r="AC20" s="3314">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2</v>
      </c>
      <c r="L21" s="2967"/>
      <c r="M21" s="2963"/>
      <c r="N21" s="2963"/>
      <c r="O21" s="2963"/>
      <c r="P21" s="3647"/>
      <c r="Q21" s="3316" t="str">
        <f>B21</f>
        <v>基础设施水平</v>
      </c>
      <c r="R21" s="1693" t="s">
        <v>25</v>
      </c>
      <c r="S21" s="1694">
        <f>F21</f>
        <v>100</v>
      </c>
      <c r="T21" s="1693" t="s">
        <v>25</v>
      </c>
      <c r="U21" s="1694">
        <f>H21</f>
        <v>100</v>
      </c>
      <c r="V21" s="1693" t="s">
        <v>25</v>
      </c>
      <c r="W21" s="1694">
        <f>J21</f>
        <v>100</v>
      </c>
      <c r="X21" s="3318"/>
      <c r="Y21" s="3647"/>
      <c r="Z21" s="3319" t="str">
        <f>Q21</f>
        <v>基础设施水平</v>
      </c>
      <c r="AA21" s="3314">
        <f t="shared" ref="AA21" si="8">D21/F21</f>
        <v>1</v>
      </c>
      <c r="AB21" s="3314">
        <f t="shared" ref="AB21" si="9">D21/H21</f>
        <v>1</v>
      </c>
      <c r="AC21" s="3314">
        <f t="shared" ref="AC21" si="10">D21/J21</f>
        <v>1</v>
      </c>
    </row>
    <row r="22" spans="1:29" ht="15">
      <c r="A22" s="1670"/>
      <c r="B22" s="2464"/>
      <c r="C22" s="1947" t="s">
        <v>3012</v>
      </c>
      <c r="D22" s="1699"/>
      <c r="E22" s="1947" t="s">
        <v>3012</v>
      </c>
      <c r="F22" s="1699"/>
      <c r="G22" s="1947" t="s">
        <v>3012</v>
      </c>
      <c r="H22" s="1699"/>
      <c r="I22" s="1947" t="s">
        <v>3012</v>
      </c>
      <c r="J22" s="1699"/>
      <c r="K22" s="2442"/>
      <c r="L22" s="2967"/>
      <c r="M22" s="2963"/>
      <c r="N22" s="2963"/>
      <c r="O22" s="2963"/>
      <c r="P22" s="3647"/>
      <c r="Q22" s="3316"/>
      <c r="R22" s="1693"/>
      <c r="S22" s="1694"/>
      <c r="T22" s="1693"/>
      <c r="U22" s="1694"/>
      <c r="V22" s="1693"/>
      <c r="W22" s="1694"/>
      <c r="X22" s="3318"/>
      <c r="Y22" s="3647"/>
      <c r="Z22" s="3319"/>
      <c r="AA22" s="3314">
        <v>1</v>
      </c>
      <c r="AB22" s="3314">
        <v>1</v>
      </c>
      <c r="AC22" s="3314">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7"/>
      <c r="M23" s="2963"/>
      <c r="N23" s="2963"/>
      <c r="O23" s="2963"/>
      <c r="P23" s="3647"/>
      <c r="Q23" s="3316" t="str">
        <f>B23</f>
        <v>环境质量</v>
      </c>
      <c r="R23" s="1693" t="s">
        <v>25</v>
      </c>
      <c r="S23" s="1694">
        <f>F23</f>
        <v>100</v>
      </c>
      <c r="T23" s="1693" t="s">
        <v>25</v>
      </c>
      <c r="U23" s="1694">
        <f>H23</f>
        <v>100</v>
      </c>
      <c r="V23" s="1693" t="s">
        <v>25</v>
      </c>
      <c r="W23" s="1694">
        <f>J23</f>
        <v>100</v>
      </c>
      <c r="X23" s="3318"/>
      <c r="Y23" s="3647"/>
      <c r="Z23" s="3319" t="str">
        <f>Q23</f>
        <v>环境质量</v>
      </c>
      <c r="AA23" s="3314">
        <f t="shared" si="3"/>
        <v>1</v>
      </c>
      <c r="AB23" s="3314">
        <f t="shared" si="4"/>
        <v>1</v>
      </c>
      <c r="AC23" s="3314">
        <f t="shared" si="5"/>
        <v>1</v>
      </c>
    </row>
    <row r="24" spans="1:29" ht="15">
      <c r="A24" s="1670"/>
      <c r="B24" s="2464"/>
      <c r="C24" s="1943" t="s">
        <v>30</v>
      </c>
      <c r="D24" s="1699"/>
      <c r="E24" s="1943" t="s">
        <v>30</v>
      </c>
      <c r="F24" s="1699"/>
      <c r="G24" s="1943" t="s">
        <v>30</v>
      </c>
      <c r="H24" s="1699"/>
      <c r="I24" s="1943" t="s">
        <v>30</v>
      </c>
      <c r="J24" s="1699"/>
      <c r="K24" s="2441"/>
      <c r="L24" s="2967"/>
      <c r="M24" s="2963"/>
      <c r="N24" s="2963"/>
      <c r="O24" s="2963"/>
      <c r="P24" s="3647"/>
      <c r="Q24" s="3316"/>
      <c r="R24" s="1693"/>
      <c r="S24" s="1694"/>
      <c r="T24" s="1693"/>
      <c r="U24" s="1694"/>
      <c r="V24" s="1693"/>
      <c r="W24" s="1694"/>
      <c r="X24" s="3318"/>
      <c r="Y24" s="3647"/>
      <c r="Z24" s="3319"/>
      <c r="AA24" s="3314">
        <v>1</v>
      </c>
      <c r="AB24" s="3314">
        <v>1</v>
      </c>
      <c r="AC24" s="3314">
        <v>1</v>
      </c>
    </row>
    <row r="25" spans="1:29" ht="27" hidden="1">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7"/>
      <c r="M25" s="2963"/>
      <c r="N25" s="2963"/>
      <c r="O25" s="2963"/>
      <c r="P25" s="3647"/>
      <c r="Q25" s="3316" t="str">
        <f>B25</f>
        <v>毗邻道路的类型与等级</v>
      </c>
      <c r="R25" s="1693" t="s">
        <v>25</v>
      </c>
      <c r="S25" s="1694">
        <f>F25</f>
        <v>100</v>
      </c>
      <c r="T25" s="1693" t="s">
        <v>25</v>
      </c>
      <c r="U25" s="1694">
        <f>H25</f>
        <v>100</v>
      </c>
      <c r="V25" s="1693" t="s">
        <v>25</v>
      </c>
      <c r="W25" s="1694">
        <f>J25</f>
        <v>100</v>
      </c>
      <c r="X25" s="3318"/>
      <c r="Y25" s="3647"/>
      <c r="Z25" s="3319" t="str">
        <f>Q25</f>
        <v>毗邻道路的类型与等级</v>
      </c>
      <c r="AA25" s="3314">
        <f t="shared" si="3"/>
        <v>1</v>
      </c>
      <c r="AB25" s="3314">
        <f t="shared" si="4"/>
        <v>1</v>
      </c>
      <c r="AC25" s="3314">
        <f t="shared" si="5"/>
        <v>1</v>
      </c>
    </row>
    <row r="26" spans="1:29" ht="15" hidden="1">
      <c r="A26" s="1635"/>
      <c r="B26" s="2463"/>
      <c r="C26" s="1951"/>
      <c r="D26" s="1679"/>
      <c r="E26" s="1959"/>
      <c r="F26" s="1679"/>
      <c r="G26" s="1951"/>
      <c r="H26" s="1679"/>
      <c r="I26" s="1959"/>
      <c r="J26" s="1679"/>
      <c r="K26" s="2441"/>
      <c r="L26" s="2967"/>
      <c r="M26" s="2963"/>
      <c r="N26" s="2963"/>
      <c r="O26" s="2963"/>
      <c r="P26" s="3647"/>
      <c r="Q26" s="3316"/>
      <c r="R26" s="1693"/>
      <c r="S26" s="1694"/>
      <c r="T26" s="1693"/>
      <c r="U26" s="1694"/>
      <c r="V26" s="1693"/>
      <c r="W26" s="1694"/>
      <c r="X26" s="3318"/>
      <c r="Y26" s="3647"/>
      <c r="Z26" s="3319"/>
      <c r="AA26" s="3314">
        <v>1</v>
      </c>
      <c r="AB26" s="3314">
        <v>1</v>
      </c>
      <c r="AC26" s="3314">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7"/>
      <c r="M27" s="2963"/>
      <c r="N27" s="2963"/>
      <c r="O27" s="2963"/>
      <c r="P27" s="3647"/>
      <c r="Q27" s="3316" t="str">
        <f t="shared" ref="Q27:Q47" si="11">B27</f>
        <v>楼层</v>
      </c>
      <c r="R27" s="1693" t="s">
        <v>25</v>
      </c>
      <c r="S27" s="1694">
        <f>F27</f>
        <v>100</v>
      </c>
      <c r="T27" s="1693" t="s">
        <v>25</v>
      </c>
      <c r="U27" s="1694">
        <f>H27</f>
        <v>100</v>
      </c>
      <c r="V27" s="1693" t="s">
        <v>25</v>
      </c>
      <c r="W27" s="1694">
        <f>J27</f>
        <v>100</v>
      </c>
      <c r="X27" s="3318"/>
      <c r="Y27" s="3647"/>
      <c r="Z27" s="3319" t="str">
        <f>Q27</f>
        <v>楼层</v>
      </c>
      <c r="AA27" s="3314">
        <f t="shared" si="3"/>
        <v>1</v>
      </c>
      <c r="AB27" s="3314">
        <f t="shared" si="4"/>
        <v>1</v>
      </c>
      <c r="AC27" s="3314">
        <f t="shared" si="5"/>
        <v>1</v>
      </c>
    </row>
    <row r="28" spans="1:29" s="1652" customFormat="1" ht="15">
      <c r="A28" s="3313"/>
      <c r="B28" s="2462" t="s">
        <v>2330</v>
      </c>
      <c r="C28" s="2466" t="e">
        <f>#REF!</f>
        <v>#REF!</v>
      </c>
      <c r="D28" s="1724">
        <v>100</v>
      </c>
      <c r="E28" s="3330" t="s">
        <v>3024</v>
      </c>
      <c r="F28" s="1724">
        <f>SUMIF(91:91,E28,92:92)-SUMIF(91:91,C28,92:92)+100</f>
        <v>196</v>
      </c>
      <c r="G28" s="3331" t="s">
        <v>3043</v>
      </c>
      <c r="H28" s="1724">
        <f>SUMIF(91:91,G28,92:92)-SUMIF(91:91,C28,92:92)+100</f>
        <v>196</v>
      </c>
      <c r="I28" s="3330" t="s">
        <v>3031</v>
      </c>
      <c r="J28" s="1724">
        <f>SUMIF(91:91,I28,92:92)-SUMIF(91:91,C28,92:92)+100</f>
        <v>199</v>
      </c>
      <c r="K28" s="1960">
        <v>1</v>
      </c>
      <c r="L28" s="2962"/>
      <c r="M28" s="2935"/>
      <c r="N28" s="2935"/>
      <c r="O28" s="2935"/>
      <c r="P28" s="3647"/>
      <c r="Q28" s="3311" t="str">
        <f t="shared" si="11"/>
        <v>朝向</v>
      </c>
      <c r="R28" s="1648" t="s">
        <v>25</v>
      </c>
      <c r="S28" s="1649">
        <f>F28</f>
        <v>196</v>
      </c>
      <c r="T28" s="1648" t="s">
        <v>25</v>
      </c>
      <c r="U28" s="1649">
        <f>H28</f>
        <v>196</v>
      </c>
      <c r="V28" s="1648" t="s">
        <v>25</v>
      </c>
      <c r="W28" s="1649">
        <f>J28</f>
        <v>199</v>
      </c>
      <c r="X28" s="1650"/>
      <c r="Y28" s="3647"/>
      <c r="Z28" s="1661" t="str">
        <f>Q28</f>
        <v>朝向</v>
      </c>
      <c r="AA28" s="3314">
        <f>D28/F28</f>
        <v>0.51020408163265307</v>
      </c>
      <c r="AB28" s="3314">
        <f>D28/H28</f>
        <v>0.51020408163265307</v>
      </c>
      <c r="AC28" s="3314">
        <f>D28/J28</f>
        <v>0.50251256281407031</v>
      </c>
    </row>
    <row r="29" spans="1:29" ht="15.75" thickBot="1">
      <c r="A29" s="1670"/>
      <c r="B29" s="3325" t="s">
        <v>3008</v>
      </c>
      <c r="C29" s="3326" t="s">
        <v>3045</v>
      </c>
      <c r="D29" s="1679">
        <v>100</v>
      </c>
      <c r="E29" s="3327" t="s">
        <v>3013</v>
      </c>
      <c r="F29" s="1679">
        <f>SUMIF(93:93,E29,94:94)-SUMIF(93:93,C29,94:94)+100</f>
        <v>104</v>
      </c>
      <c r="G29" s="3328" t="s">
        <v>3013</v>
      </c>
      <c r="H29" s="1679">
        <f>SUMIF(93:93,G29,94:94)-SUMIF(93:93,C29,94:94)+100</f>
        <v>104</v>
      </c>
      <c r="I29" s="3327" t="s">
        <v>3030</v>
      </c>
      <c r="J29" s="1679">
        <f>SUMIF(93:93,I29,94:94)-SUMIF(93:93,C29,94:94)+100</f>
        <v>102</v>
      </c>
      <c r="K29" s="1957"/>
      <c r="L29" s="2967"/>
      <c r="M29" s="2963"/>
      <c r="N29" s="2963"/>
      <c r="O29" s="2963"/>
      <c r="P29" s="3647"/>
      <c r="Q29" s="3316" t="str">
        <f t="shared" si="11"/>
        <v>楼层</v>
      </c>
      <c r="R29" s="1693" t="s">
        <v>25</v>
      </c>
      <c r="S29" s="1694">
        <f t="shared" ref="S29:S47" si="12">F29</f>
        <v>104</v>
      </c>
      <c r="T29" s="1693" t="s">
        <v>25</v>
      </c>
      <c r="U29" s="1694">
        <f t="shared" ref="U29:U47" si="13">H29</f>
        <v>104</v>
      </c>
      <c r="V29" s="1693" t="s">
        <v>25</v>
      </c>
      <c r="W29" s="1694">
        <f t="shared" ref="W29:W47" si="14">J29</f>
        <v>102</v>
      </c>
      <c r="X29" s="3318"/>
      <c r="Y29" s="3647"/>
      <c r="Z29" s="3319" t="str">
        <f t="shared" ref="Z29:Z47" si="15">Q29</f>
        <v>楼层</v>
      </c>
      <c r="AA29" s="3314">
        <f t="shared" si="3"/>
        <v>0.96153846153846156</v>
      </c>
      <c r="AB29" s="3314">
        <f t="shared" si="4"/>
        <v>0.96153846153846156</v>
      </c>
      <c r="AC29" s="3314">
        <f t="shared" si="5"/>
        <v>0.98039215686274506</v>
      </c>
    </row>
    <row r="30" spans="1:29" ht="15.75" hidden="1" thickBot="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7"/>
      <c r="M30" s="2963"/>
      <c r="N30" s="2963"/>
      <c r="O30" s="2963"/>
      <c r="P30" s="3647"/>
      <c r="Q30" s="3316">
        <f t="shared" si="11"/>
        <v>111</v>
      </c>
      <c r="R30" s="1693" t="s">
        <v>25</v>
      </c>
      <c r="S30" s="1694">
        <f t="shared" si="12"/>
        <v>100</v>
      </c>
      <c r="T30" s="1693" t="s">
        <v>25</v>
      </c>
      <c r="U30" s="1694">
        <f t="shared" si="13"/>
        <v>100</v>
      </c>
      <c r="V30" s="1693" t="s">
        <v>25</v>
      </c>
      <c r="W30" s="1694">
        <f t="shared" si="14"/>
        <v>100</v>
      </c>
      <c r="X30" s="3318"/>
      <c r="Y30" s="3647"/>
      <c r="Z30" s="3319">
        <f t="shared" si="15"/>
        <v>111</v>
      </c>
      <c r="AA30" s="3314">
        <f t="shared" si="3"/>
        <v>1</v>
      </c>
      <c r="AB30" s="3314">
        <f t="shared" si="4"/>
        <v>1</v>
      </c>
      <c r="AC30" s="3314">
        <f t="shared" si="5"/>
        <v>1</v>
      </c>
    </row>
    <row r="31" spans="1:29" ht="15.75" hidden="1" thickBot="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7"/>
      <c r="M31" s="2963"/>
      <c r="N31" s="2963"/>
      <c r="O31" s="2963"/>
      <c r="P31" s="3647"/>
      <c r="Q31" s="3316">
        <f t="shared" si="11"/>
        <v>111</v>
      </c>
      <c r="R31" s="1693" t="s">
        <v>25</v>
      </c>
      <c r="S31" s="1694">
        <f t="shared" si="12"/>
        <v>100</v>
      </c>
      <c r="T31" s="1693" t="s">
        <v>25</v>
      </c>
      <c r="U31" s="1694">
        <f t="shared" si="13"/>
        <v>100</v>
      </c>
      <c r="V31" s="1693" t="s">
        <v>25</v>
      </c>
      <c r="W31" s="1694">
        <f t="shared" si="14"/>
        <v>100</v>
      </c>
      <c r="X31" s="3318"/>
      <c r="Y31" s="3647"/>
      <c r="Z31" s="3319">
        <f t="shared" si="15"/>
        <v>111</v>
      </c>
      <c r="AA31" s="3314">
        <f t="shared" si="3"/>
        <v>1</v>
      </c>
      <c r="AB31" s="3314">
        <f t="shared" si="4"/>
        <v>1</v>
      </c>
      <c r="AC31" s="3314">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7"/>
      <c r="M32" s="2963"/>
      <c r="N32" s="2963"/>
      <c r="O32" s="2963"/>
      <c r="P32" s="3647"/>
      <c r="Q32" s="3316">
        <f t="shared" si="11"/>
        <v>111</v>
      </c>
      <c r="R32" s="1693" t="s">
        <v>25</v>
      </c>
      <c r="S32" s="1694">
        <f t="shared" si="12"/>
        <v>100</v>
      </c>
      <c r="T32" s="1693" t="s">
        <v>25</v>
      </c>
      <c r="U32" s="1694">
        <f t="shared" si="13"/>
        <v>100</v>
      </c>
      <c r="V32" s="1693" t="s">
        <v>25</v>
      </c>
      <c r="W32" s="1694">
        <f t="shared" si="14"/>
        <v>100</v>
      </c>
      <c r="X32" s="3318"/>
      <c r="Y32" s="3647"/>
      <c r="Z32" s="3319">
        <f t="shared" si="15"/>
        <v>111</v>
      </c>
      <c r="AA32" s="3314">
        <f t="shared" si="3"/>
        <v>1</v>
      </c>
      <c r="AB32" s="3314">
        <f t="shared" si="4"/>
        <v>1</v>
      </c>
      <c r="AC32" s="3314">
        <f t="shared" si="5"/>
        <v>1</v>
      </c>
    </row>
    <row r="33" spans="1:29" ht="15">
      <c r="A33" s="1685" t="s">
        <v>2215</v>
      </c>
      <c r="B33" s="1655" t="s">
        <v>2331</v>
      </c>
      <c r="C33" s="2470" t="s">
        <v>3006</v>
      </c>
      <c r="D33" s="1730">
        <v>100</v>
      </c>
      <c r="E33" s="2470" t="s">
        <v>3006</v>
      </c>
      <c r="F33" s="1722">
        <f>SUMIF(101:101,E33,102:102)-SUMIF(101:101,C33,102:102)+100</f>
        <v>100</v>
      </c>
      <c r="G33" s="3335" t="s">
        <v>3006</v>
      </c>
      <c r="H33" s="1679">
        <f>SUMIF(101:101,G33,102:102)-SUMIF(101:101,C33,102:102)+100</f>
        <v>100</v>
      </c>
      <c r="I33" s="3335" t="s">
        <v>3006</v>
      </c>
      <c r="J33" s="1730">
        <f>SUMIF(101:101,I33,102:102)-SUMIF(101:101,C33,102:102)+100</f>
        <v>100</v>
      </c>
      <c r="K33" s="1960">
        <v>1</v>
      </c>
      <c r="L33" s="2967"/>
      <c r="M33" s="2963"/>
      <c r="N33" s="2963"/>
      <c r="O33" s="2963"/>
      <c r="P33" s="3670" t="s">
        <v>2217</v>
      </c>
      <c r="Q33" s="3316" t="str">
        <f t="shared" si="11"/>
        <v>建筑类型</v>
      </c>
      <c r="R33" s="1693" t="s">
        <v>25</v>
      </c>
      <c r="S33" s="1694">
        <f t="shared" si="12"/>
        <v>100</v>
      </c>
      <c r="T33" s="1693" t="s">
        <v>25</v>
      </c>
      <c r="U33" s="1694">
        <f t="shared" si="13"/>
        <v>100</v>
      </c>
      <c r="V33" s="1693" t="s">
        <v>25</v>
      </c>
      <c r="W33" s="1694">
        <f t="shared" si="14"/>
        <v>100</v>
      </c>
      <c r="X33" s="3318"/>
      <c r="Y33" s="3651" t="s">
        <v>2217</v>
      </c>
      <c r="Z33" s="3319" t="str">
        <f t="shared" si="15"/>
        <v>建筑类型</v>
      </c>
      <c r="AA33" s="3314">
        <f t="shared" si="3"/>
        <v>1</v>
      </c>
      <c r="AB33" s="3314">
        <f t="shared" si="4"/>
        <v>1</v>
      </c>
      <c r="AC33" s="3314">
        <f t="shared" si="5"/>
        <v>1</v>
      </c>
    </row>
    <row r="34" spans="1:29" s="1739" customFormat="1" ht="15">
      <c r="A34" s="1732"/>
      <c r="B34" s="1663" t="s">
        <v>2218</v>
      </c>
      <c r="C34" s="1733">
        <v>59.33</v>
      </c>
      <c r="D34" s="1665">
        <v>100</v>
      </c>
      <c r="E34" s="1672">
        <v>44.93</v>
      </c>
      <c r="F34" s="1667">
        <f>LOOKUP(E34,104:104,105:105)-LOOKUP(C34,104:104,105:105)+100</f>
        <v>101</v>
      </c>
      <c r="G34" s="1671">
        <v>44.93</v>
      </c>
      <c r="H34" s="1665">
        <f>LOOKUP(G34,104:104,105:105)-LOOKUP(C34,104:104,105:105)+100</f>
        <v>101</v>
      </c>
      <c r="I34" s="1671">
        <v>51.08</v>
      </c>
      <c r="J34" s="1665">
        <f>LOOKUP(I34,104:104,105:105)-LOOKUP(C34,104:104,105:105)+100</f>
        <v>100</v>
      </c>
      <c r="K34" s="1957"/>
      <c r="L34" s="2966"/>
      <c r="M34" s="2027"/>
      <c r="N34" s="2027"/>
      <c r="O34" s="2027"/>
      <c r="P34" s="3651"/>
      <c r="Q34" s="1734" t="str">
        <f t="shared" si="11"/>
        <v>项目建筑规模</v>
      </c>
      <c r="R34" s="1735" t="s">
        <v>25</v>
      </c>
      <c r="S34" s="1736">
        <f t="shared" si="12"/>
        <v>101</v>
      </c>
      <c r="T34" s="1735" t="s">
        <v>25</v>
      </c>
      <c r="U34" s="1736">
        <f t="shared" si="13"/>
        <v>101</v>
      </c>
      <c r="V34" s="1735" t="s">
        <v>25</v>
      </c>
      <c r="W34" s="1736">
        <f t="shared" si="14"/>
        <v>100</v>
      </c>
      <c r="X34" s="1737"/>
      <c r="Y34" s="3651"/>
      <c r="Z34" s="1738" t="str">
        <f t="shared" si="15"/>
        <v>项目建筑规模</v>
      </c>
      <c r="AA34" s="3314">
        <f t="shared" si="3"/>
        <v>0.99009900990099009</v>
      </c>
      <c r="AB34" s="3314">
        <f t="shared" si="4"/>
        <v>0.99009900990099009</v>
      </c>
      <c r="AC34" s="3314">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7"/>
      <c r="M35" s="2963"/>
      <c r="N35" s="2963"/>
      <c r="O35" s="2963"/>
      <c r="P35" s="3651"/>
      <c r="Q35" s="3316" t="str">
        <f t="shared" si="11"/>
        <v>建筑结构</v>
      </c>
      <c r="R35" s="1693" t="s">
        <v>25</v>
      </c>
      <c r="S35" s="1694">
        <f t="shared" si="12"/>
        <v>100</v>
      </c>
      <c r="T35" s="1693" t="s">
        <v>25</v>
      </c>
      <c r="U35" s="1694">
        <f t="shared" si="13"/>
        <v>100</v>
      </c>
      <c r="V35" s="1693" t="s">
        <v>25</v>
      </c>
      <c r="W35" s="1694">
        <f t="shared" si="14"/>
        <v>100</v>
      </c>
      <c r="X35" s="3318"/>
      <c r="Y35" s="3651"/>
      <c r="Z35" s="3319" t="str">
        <f t="shared" si="15"/>
        <v>建筑结构</v>
      </c>
      <c r="AA35" s="3314">
        <f t="shared" si="3"/>
        <v>1</v>
      </c>
      <c r="AB35" s="3314">
        <f t="shared" si="4"/>
        <v>1</v>
      </c>
      <c r="AC35" s="3314">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7"/>
      <c r="M36" s="2963"/>
      <c r="N36" s="2963"/>
      <c r="O36" s="2963"/>
      <c r="P36" s="3651"/>
      <c r="Q36" s="3316" t="str">
        <f t="shared" si="11"/>
        <v>公共部分装修</v>
      </c>
      <c r="R36" s="1693" t="s">
        <v>25</v>
      </c>
      <c r="S36" s="1694">
        <f t="shared" si="12"/>
        <v>100</v>
      </c>
      <c r="T36" s="1693" t="s">
        <v>25</v>
      </c>
      <c r="U36" s="1694">
        <f t="shared" si="13"/>
        <v>100</v>
      </c>
      <c r="V36" s="1693" t="s">
        <v>25</v>
      </c>
      <c r="W36" s="1694">
        <f t="shared" si="14"/>
        <v>100</v>
      </c>
      <c r="X36" s="3318"/>
      <c r="Y36" s="3651"/>
      <c r="Z36" s="3319" t="str">
        <f t="shared" si="15"/>
        <v>公共部分装修</v>
      </c>
      <c r="AA36" s="3314">
        <f t="shared" si="3"/>
        <v>1</v>
      </c>
      <c r="AB36" s="3314">
        <f t="shared" si="4"/>
        <v>1</v>
      </c>
      <c r="AC36" s="3314">
        <f t="shared" si="5"/>
        <v>1</v>
      </c>
    </row>
    <row r="37" spans="1:29" ht="15">
      <c r="A37" s="1740"/>
      <c r="B37" s="1663" t="s">
        <v>2305</v>
      </c>
      <c r="C37" s="1744">
        <f>'数据-取费表'!E20</f>
        <v>0.87</v>
      </c>
      <c r="D37" s="1679">
        <v>100</v>
      </c>
      <c r="E37" s="1744">
        <f>ROUND(1-(2021-2012)/60,2)</f>
        <v>0.85</v>
      </c>
      <c r="F37" s="1722">
        <f>LOOKUP(E37,111:111,112:112)-LOOKUP(C37,111:111,112:112)+100</f>
        <v>100</v>
      </c>
      <c r="G37" s="1744">
        <f>E37</f>
        <v>0.85</v>
      </c>
      <c r="H37" s="1722">
        <f>LOOKUP(G37,111:111,112:112)-LOOKUP(C37,111:111,112:112)+100</f>
        <v>100</v>
      </c>
      <c r="I37" s="1744">
        <f>ROUND(1-(2021-2016)/60,2)</f>
        <v>0.92</v>
      </c>
      <c r="J37" s="1679">
        <f>LOOKUP(I37,111:111,112:112)-LOOKUP(C37,111:111,112:112)+100</f>
        <v>103</v>
      </c>
      <c r="K37" s="1960">
        <v>3</v>
      </c>
      <c r="L37" s="2967"/>
      <c r="M37" s="2963"/>
      <c r="N37" s="2963"/>
      <c r="O37" s="2963"/>
      <c r="P37" s="3651"/>
      <c r="Q37" s="3316" t="str">
        <f t="shared" si="11"/>
        <v>成新度</v>
      </c>
      <c r="R37" s="1693" t="s">
        <v>25</v>
      </c>
      <c r="S37" s="1694">
        <f t="shared" si="12"/>
        <v>100</v>
      </c>
      <c r="T37" s="1693" t="s">
        <v>25</v>
      </c>
      <c r="U37" s="1694">
        <f t="shared" si="13"/>
        <v>100</v>
      </c>
      <c r="V37" s="1693" t="s">
        <v>25</v>
      </c>
      <c r="W37" s="1694">
        <f t="shared" si="14"/>
        <v>103</v>
      </c>
      <c r="X37" s="3318"/>
      <c r="Y37" s="3651"/>
      <c r="Z37" s="3319" t="str">
        <f t="shared" si="15"/>
        <v>成新度</v>
      </c>
      <c r="AA37" s="3314">
        <f t="shared" si="3"/>
        <v>1</v>
      </c>
      <c r="AB37" s="3314">
        <f t="shared" si="4"/>
        <v>1</v>
      </c>
      <c r="AC37" s="3314">
        <f t="shared" si="5"/>
        <v>0.970873786407767</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2"/>
      <c r="M38" s="2935"/>
      <c r="N38" s="2935"/>
      <c r="O38" s="2935"/>
      <c r="P38" s="3651"/>
      <c r="Q38" s="3311" t="str">
        <f t="shared" si="11"/>
        <v>写字楼等级</v>
      </c>
      <c r="R38" s="1648" t="s">
        <v>25</v>
      </c>
      <c r="S38" s="1649">
        <f t="shared" si="12"/>
        <v>100</v>
      </c>
      <c r="T38" s="1648" t="s">
        <v>25</v>
      </c>
      <c r="U38" s="1649">
        <f t="shared" si="13"/>
        <v>100</v>
      </c>
      <c r="V38" s="1648" t="s">
        <v>25</v>
      </c>
      <c r="W38" s="1649">
        <f t="shared" si="14"/>
        <v>100</v>
      </c>
      <c r="X38" s="1650"/>
      <c r="Y38" s="3651"/>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7"/>
      <c r="M39" s="2963"/>
      <c r="N39" s="2963"/>
      <c r="O39" s="2963"/>
      <c r="P39" s="3651" t="s">
        <v>2217</v>
      </c>
      <c r="Q39" s="3316" t="str">
        <f t="shared" si="11"/>
        <v>物业管理</v>
      </c>
      <c r="R39" s="1693" t="s">
        <v>25</v>
      </c>
      <c r="S39" s="1694">
        <f t="shared" si="12"/>
        <v>100</v>
      </c>
      <c r="T39" s="1693" t="s">
        <v>25</v>
      </c>
      <c r="U39" s="1694">
        <f t="shared" si="13"/>
        <v>100</v>
      </c>
      <c r="V39" s="1693" t="s">
        <v>25</v>
      </c>
      <c r="W39" s="1694">
        <f t="shared" si="14"/>
        <v>100</v>
      </c>
      <c r="X39" s="3318"/>
      <c r="Y39" s="3651" t="s">
        <v>2217</v>
      </c>
      <c r="Z39" s="3319" t="str">
        <f t="shared" si="15"/>
        <v>物业管理</v>
      </c>
      <c r="AA39" s="3314">
        <f t="shared" si="3"/>
        <v>1</v>
      </c>
      <c r="AB39" s="3314">
        <f t="shared" si="4"/>
        <v>1</v>
      </c>
      <c r="AC39" s="3314">
        <f t="shared" si="5"/>
        <v>1</v>
      </c>
    </row>
    <row r="40" spans="1:29" ht="15">
      <c r="A40" s="1740"/>
      <c r="B40" s="1663" t="s">
        <v>2306</v>
      </c>
      <c r="C40" s="1720" t="s">
        <v>3040</v>
      </c>
      <c r="D40" s="1679">
        <v>100</v>
      </c>
      <c r="E40" s="1720" t="s">
        <v>3040</v>
      </c>
      <c r="F40" s="1722">
        <f>SUMIF(117:117,E40,118:118)-SUMIF(117:117,C40,118:118)+100</f>
        <v>100</v>
      </c>
      <c r="G40" s="1720" t="s">
        <v>3040</v>
      </c>
      <c r="H40" s="1679">
        <f>SUMIF(117:117,G40,118:118)-SUMIF(117:117,C40,118:118)+100</f>
        <v>100</v>
      </c>
      <c r="I40" s="1720" t="s">
        <v>3040</v>
      </c>
      <c r="J40" s="1679">
        <f>SUMIF(117:117,I40,118:118)-SUMIF(117:117,C40,118:118)+100</f>
        <v>100</v>
      </c>
      <c r="K40" s="1960">
        <v>1</v>
      </c>
      <c r="L40" s="2967"/>
      <c r="M40" s="2963"/>
      <c r="N40" s="2963"/>
      <c r="O40" s="2963"/>
      <c r="P40" s="3651"/>
      <c r="Q40" s="3316" t="str">
        <f t="shared" si="11"/>
        <v>市政基础设施</v>
      </c>
      <c r="R40" s="1693" t="s">
        <v>25</v>
      </c>
      <c r="S40" s="1694">
        <f t="shared" si="12"/>
        <v>100</v>
      </c>
      <c r="T40" s="1693" t="s">
        <v>25</v>
      </c>
      <c r="U40" s="1694">
        <f t="shared" si="13"/>
        <v>100</v>
      </c>
      <c r="V40" s="1693" t="s">
        <v>25</v>
      </c>
      <c r="W40" s="1694">
        <f t="shared" si="14"/>
        <v>100</v>
      </c>
      <c r="X40" s="3318"/>
      <c r="Y40" s="3651"/>
      <c r="Z40" s="3319" t="str">
        <f t="shared" si="15"/>
        <v>市政基础设施</v>
      </c>
      <c r="AA40" s="3314">
        <f t="shared" si="3"/>
        <v>1</v>
      </c>
      <c r="AB40" s="3314">
        <f t="shared" si="4"/>
        <v>1</v>
      </c>
      <c r="AC40" s="3314">
        <f t="shared" si="5"/>
        <v>1</v>
      </c>
    </row>
    <row r="41" spans="1:29" ht="15">
      <c r="A41" s="1740"/>
      <c r="B41" s="1663" t="s">
        <v>2308</v>
      </c>
      <c r="C41" s="1959" t="s">
        <v>3036</v>
      </c>
      <c r="D41" s="1679">
        <v>100</v>
      </c>
      <c r="E41" s="1959" t="s">
        <v>3038</v>
      </c>
      <c r="F41" s="1722">
        <f>SUMIF(119:119,E41,120:120)-SUMIF(119:119,C41,120:120)+100</f>
        <v>99</v>
      </c>
      <c r="G41" s="1959" t="s">
        <v>3038</v>
      </c>
      <c r="H41" s="1679">
        <f>SUMIF(119:119,G41,120:120)-SUMIF(119:119,C41,120:120)+100</f>
        <v>99</v>
      </c>
      <c r="I41" s="1959" t="s">
        <v>3038</v>
      </c>
      <c r="J41" s="1679">
        <f>SUMIF(119:119,I41,120:120)-SUMIF(119:119,C41,120:120)+100</f>
        <v>99</v>
      </c>
      <c r="K41" s="1960">
        <v>1</v>
      </c>
      <c r="L41" s="2967"/>
      <c r="M41" s="2963"/>
      <c r="N41" s="2963"/>
      <c r="O41" s="2963"/>
      <c r="P41" s="3651"/>
      <c r="Q41" s="3316" t="str">
        <f t="shared" si="11"/>
        <v>层高</v>
      </c>
      <c r="R41" s="1693" t="s">
        <v>25</v>
      </c>
      <c r="S41" s="1694">
        <f t="shared" si="12"/>
        <v>99</v>
      </c>
      <c r="T41" s="1693" t="s">
        <v>25</v>
      </c>
      <c r="U41" s="1694">
        <f t="shared" si="13"/>
        <v>99</v>
      </c>
      <c r="V41" s="1693" t="s">
        <v>25</v>
      </c>
      <c r="W41" s="1694">
        <f t="shared" si="14"/>
        <v>99</v>
      </c>
      <c r="X41" s="3318"/>
      <c r="Y41" s="3651"/>
      <c r="Z41" s="3319" t="str">
        <f t="shared" si="15"/>
        <v>层高</v>
      </c>
      <c r="AA41" s="3314">
        <f t="shared" si="3"/>
        <v>1.0101010101010102</v>
      </c>
      <c r="AB41" s="3314">
        <f t="shared" si="4"/>
        <v>1.0101010101010102</v>
      </c>
      <c r="AC41" s="3314">
        <f t="shared" si="5"/>
        <v>1.0101010101010102</v>
      </c>
    </row>
    <row r="42" spans="1:29" s="1739" customFormat="1" ht="15">
      <c r="A42" s="1732"/>
      <c r="B42" s="3315"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51"/>
      <c r="Q42" s="1734" t="str">
        <f t="shared" si="11"/>
        <v>单套建筑面积</v>
      </c>
      <c r="R42" s="1735" t="s">
        <v>25</v>
      </c>
      <c r="S42" s="1736">
        <f t="shared" si="12"/>
        <v>100</v>
      </c>
      <c r="T42" s="1735" t="s">
        <v>25</v>
      </c>
      <c r="U42" s="1736">
        <f t="shared" si="13"/>
        <v>100</v>
      </c>
      <c r="V42" s="1735" t="s">
        <v>25</v>
      </c>
      <c r="W42" s="1736">
        <f t="shared" si="14"/>
        <v>100</v>
      </c>
      <c r="X42" s="1737"/>
      <c r="Y42" s="3651"/>
      <c r="Z42" s="1738" t="str">
        <f t="shared" si="15"/>
        <v>单套建筑面积</v>
      </c>
      <c r="AA42" s="3314">
        <f t="shared" si="3"/>
        <v>1</v>
      </c>
      <c r="AB42" s="3314">
        <f t="shared" si="4"/>
        <v>1</v>
      </c>
      <c r="AC42" s="3314">
        <f t="shared" si="5"/>
        <v>1</v>
      </c>
    </row>
    <row r="43" spans="1:29" ht="15">
      <c r="A43" s="1740"/>
      <c r="B43" s="1663" t="s">
        <v>2311</v>
      </c>
      <c r="C43" s="3336" t="s">
        <v>3032</v>
      </c>
      <c r="D43" s="1679">
        <v>100</v>
      </c>
      <c r="E43" s="3336" t="s">
        <v>3033</v>
      </c>
      <c r="F43" s="1722">
        <f>SUMIF(123:123,E43,124:124)-SUMIF(123:123,C43,124:124)+100</f>
        <v>104</v>
      </c>
      <c r="G43" s="3336" t="s">
        <v>3033</v>
      </c>
      <c r="H43" s="1679">
        <f>SUMIF(123:123,G43,124:124)-SUMIF(123:123,C43,124:124)+100</f>
        <v>104</v>
      </c>
      <c r="I43" s="3336" t="s">
        <v>3033</v>
      </c>
      <c r="J43" s="1679">
        <f>SUMIF(123:123,I43,124:124)-SUMIF(123:123,C43,124:124)+100</f>
        <v>104</v>
      </c>
      <c r="K43" s="1960">
        <v>2</v>
      </c>
      <c r="L43" s="2967"/>
      <c r="M43" s="2963"/>
      <c r="N43" s="2963"/>
      <c r="O43" s="2963"/>
      <c r="P43" s="3651"/>
      <c r="Q43" s="3316" t="str">
        <f t="shared" si="11"/>
        <v>内部装修</v>
      </c>
      <c r="R43" s="1693" t="s">
        <v>25</v>
      </c>
      <c r="S43" s="1694">
        <f t="shared" si="12"/>
        <v>104</v>
      </c>
      <c r="T43" s="1693" t="s">
        <v>25</v>
      </c>
      <c r="U43" s="1694">
        <f t="shared" si="13"/>
        <v>104</v>
      </c>
      <c r="V43" s="1693" t="s">
        <v>25</v>
      </c>
      <c r="W43" s="1694">
        <f t="shared" si="14"/>
        <v>104</v>
      </c>
      <c r="X43" s="3318"/>
      <c r="Y43" s="3651"/>
      <c r="Z43" s="3319" t="str">
        <f t="shared" si="15"/>
        <v>内部装修</v>
      </c>
      <c r="AA43" s="3314">
        <f t="shared" si="3"/>
        <v>0.96153846153846156</v>
      </c>
      <c r="AB43" s="3314">
        <f t="shared" si="4"/>
        <v>0.96153846153846156</v>
      </c>
      <c r="AC43" s="3314">
        <f t="shared" si="5"/>
        <v>0.96153846153846156</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7"/>
      <c r="M44" s="2963"/>
      <c r="N44" s="2963"/>
      <c r="O44" s="2963"/>
      <c r="P44" s="3651"/>
      <c r="Q44" s="3316" t="str">
        <f t="shared" si="11"/>
        <v>内部装修维护情况</v>
      </c>
      <c r="R44" s="1693" t="s">
        <v>25</v>
      </c>
      <c r="S44" s="1694">
        <f t="shared" si="12"/>
        <v>100</v>
      </c>
      <c r="T44" s="1693" t="s">
        <v>25</v>
      </c>
      <c r="U44" s="1694">
        <f t="shared" si="13"/>
        <v>100</v>
      </c>
      <c r="V44" s="1693" t="s">
        <v>25</v>
      </c>
      <c r="W44" s="1694">
        <f t="shared" si="14"/>
        <v>100</v>
      </c>
      <c r="X44" s="3318"/>
      <c r="Y44" s="3651"/>
      <c r="Z44" s="3319" t="str">
        <f t="shared" si="15"/>
        <v>内部装修维护情况</v>
      </c>
      <c r="AA44" s="3314">
        <f t="shared" si="3"/>
        <v>1</v>
      </c>
      <c r="AB44" s="3314">
        <f t="shared" si="4"/>
        <v>1</v>
      </c>
      <c r="AC44" s="3314">
        <f t="shared" si="5"/>
        <v>1</v>
      </c>
    </row>
    <row r="45" spans="1:29" s="1652" customFormat="1" ht="15.75" hidden="1" thickBot="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51"/>
      <c r="Q45" s="3311">
        <f t="shared" si="11"/>
        <v>111</v>
      </c>
      <c r="R45" s="1648" t="s">
        <v>25</v>
      </c>
      <c r="S45" s="1649">
        <f t="shared" si="12"/>
        <v>100</v>
      </c>
      <c r="T45" s="1648" t="s">
        <v>25</v>
      </c>
      <c r="U45" s="1649">
        <f t="shared" si="13"/>
        <v>100</v>
      </c>
      <c r="V45" s="1648" t="s">
        <v>25</v>
      </c>
      <c r="W45" s="1649">
        <f t="shared" si="14"/>
        <v>100</v>
      </c>
      <c r="X45" s="1650"/>
      <c r="Y45" s="3651"/>
      <c r="Z45" s="1661">
        <f t="shared" si="15"/>
        <v>111</v>
      </c>
      <c r="AA45" s="1651">
        <f t="shared" si="3"/>
        <v>1</v>
      </c>
      <c r="AB45" s="1651">
        <f t="shared" si="4"/>
        <v>1</v>
      </c>
      <c r="AC45" s="1651">
        <f t="shared" si="5"/>
        <v>1</v>
      </c>
    </row>
    <row r="46" spans="1:29" ht="15.75" hidden="1" thickBot="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51"/>
      <c r="Q46" s="3316">
        <f t="shared" si="11"/>
        <v>111</v>
      </c>
      <c r="R46" s="1693" t="s">
        <v>25</v>
      </c>
      <c r="S46" s="1694">
        <f t="shared" si="12"/>
        <v>100</v>
      </c>
      <c r="T46" s="1693" t="s">
        <v>25</v>
      </c>
      <c r="U46" s="1694">
        <f t="shared" si="13"/>
        <v>100</v>
      </c>
      <c r="V46" s="1693" t="s">
        <v>25</v>
      </c>
      <c r="W46" s="1694">
        <f t="shared" si="14"/>
        <v>100</v>
      </c>
      <c r="X46" s="3318"/>
      <c r="Y46" s="3651"/>
      <c r="Z46" s="3319">
        <f t="shared" si="15"/>
        <v>111</v>
      </c>
      <c r="AA46" s="3314">
        <f t="shared" si="3"/>
        <v>1</v>
      </c>
      <c r="AB46" s="3314">
        <f t="shared" si="4"/>
        <v>1</v>
      </c>
      <c r="AC46" s="3314">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52"/>
      <c r="Q47" s="3316">
        <f t="shared" si="11"/>
        <v>111</v>
      </c>
      <c r="R47" s="1693" t="s">
        <v>25</v>
      </c>
      <c r="S47" s="1694">
        <f t="shared" si="12"/>
        <v>100</v>
      </c>
      <c r="T47" s="1693" t="s">
        <v>25</v>
      </c>
      <c r="U47" s="1694">
        <f t="shared" si="13"/>
        <v>100</v>
      </c>
      <c r="V47" s="1693" t="s">
        <v>25</v>
      </c>
      <c r="W47" s="1694">
        <f t="shared" si="14"/>
        <v>100</v>
      </c>
      <c r="X47" s="3318"/>
      <c r="Y47" s="3652"/>
      <c r="Z47" s="3319">
        <f t="shared" si="15"/>
        <v>111</v>
      </c>
      <c r="AA47" s="3314">
        <f t="shared" si="3"/>
        <v>1</v>
      </c>
      <c r="AB47" s="3314">
        <f t="shared" si="4"/>
        <v>1</v>
      </c>
      <c r="AC47" s="3314">
        <f t="shared" si="5"/>
        <v>1</v>
      </c>
    </row>
    <row r="48" spans="1:29" ht="15">
      <c r="A48" s="1749" t="s">
        <v>2229</v>
      </c>
      <c r="B48" s="1750"/>
      <c r="C48" s="1751" t="s">
        <v>1</v>
      </c>
      <c r="D48" s="1752"/>
      <c r="E48" s="1753">
        <v>20032</v>
      </c>
      <c r="F48" s="1754"/>
      <c r="G48" s="1755">
        <v>18251</v>
      </c>
      <c r="H48" s="1756"/>
      <c r="I48" s="3334">
        <v>21535</v>
      </c>
      <c r="J48" s="1756"/>
      <c r="K48" s="1981"/>
      <c r="L48" s="2968"/>
      <c r="M48" s="2963"/>
      <c r="N48" s="2963"/>
      <c r="O48" s="2963"/>
      <c r="P48" s="3657" t="str">
        <f>A48</f>
        <v>成交单价（元/平方米）</v>
      </c>
      <c r="Q48" s="3657"/>
      <c r="R48" s="3658">
        <f>E48</f>
        <v>20032</v>
      </c>
      <c r="S48" s="3658"/>
      <c r="T48" s="3658">
        <f>G48</f>
        <v>18251</v>
      </c>
      <c r="U48" s="3658"/>
      <c r="V48" s="3658">
        <f>I48</f>
        <v>21535</v>
      </c>
      <c r="W48" s="3658"/>
      <c r="X48" s="1759"/>
      <c r="Y48" s="3317"/>
      <c r="Z48" s="1759"/>
      <c r="AA48" s="1759"/>
      <c r="AB48" s="1759"/>
      <c r="AC48" s="1759"/>
    </row>
    <row r="49" spans="1:29" ht="15.75" thickBot="1">
      <c r="A49" s="1761" t="s">
        <v>2230</v>
      </c>
      <c r="B49" s="1762"/>
      <c r="C49" s="1763">
        <f>R50</f>
        <v>9606</v>
      </c>
      <c r="D49" s="1764" t="s">
        <v>2686</v>
      </c>
      <c r="E49" s="1765">
        <f>R49</f>
        <v>9948</v>
      </c>
      <c r="F49" s="1766"/>
      <c r="G49" s="1763">
        <f>T49</f>
        <v>9063</v>
      </c>
      <c r="H49" s="1766"/>
      <c r="I49" s="1765">
        <f>V49</f>
        <v>9808</v>
      </c>
      <c r="J49" s="1766"/>
      <c r="K49" s="2478">
        <f>F49+H49+J49</f>
        <v>0</v>
      </c>
      <c r="L49" s="2968"/>
      <c r="M49" s="2963"/>
      <c r="N49" s="2963"/>
      <c r="O49" s="2963"/>
      <c r="P49" s="3657" t="str">
        <f>A49</f>
        <v>比较价值（元/平方米）</v>
      </c>
      <c r="Q49" s="3657"/>
      <c r="R49" s="3658">
        <f>IF(E1="售价",ROUND(PRODUCT(R48,AA7:AA47),0),ROUND(PRODUCT(R48,AA7:AA47),1))</f>
        <v>9948</v>
      </c>
      <c r="S49" s="3658"/>
      <c r="T49" s="3658">
        <f>IF(E1="售价",ROUND(PRODUCT(T48,AB7:AB47),0),ROUND(PRODUCT(T48,AB7:AB47),1))</f>
        <v>9063</v>
      </c>
      <c r="U49" s="3658"/>
      <c r="V49" s="3658">
        <f>IF(E1="售价",ROUND(PRODUCT(V48,AC7:AC47),0),ROUND(PRODUCT(V48,AC7:AC47),1))</f>
        <v>9808</v>
      </c>
      <c r="W49" s="3658"/>
      <c r="X49" s="1759"/>
      <c r="Y49" s="1759"/>
      <c r="Z49" s="1759"/>
      <c r="AA49" s="1759"/>
      <c r="AB49" s="1759"/>
      <c r="AC49" s="1759"/>
    </row>
    <row r="50" spans="1:29" ht="15.75" thickBot="1">
      <c r="A50" s="1767" t="s">
        <v>2231</v>
      </c>
      <c r="B50" s="1768"/>
      <c r="C50" s="1770">
        <f>R50</f>
        <v>9606</v>
      </c>
      <c r="D50" s="1770"/>
      <c r="E50" s="1770"/>
      <c r="F50" s="1770"/>
      <c r="G50" s="1770"/>
      <c r="H50" s="1770"/>
      <c r="I50" s="1770"/>
      <c r="J50" s="1770"/>
      <c r="K50" s="1986"/>
      <c r="L50" s="2968"/>
      <c r="M50" s="2963"/>
      <c r="N50" s="2963"/>
      <c r="O50" s="2963"/>
      <c r="P50" s="3663" t="str">
        <f>A50</f>
        <v>估价对象XX用房的比较价值（楼面单价，元/平方米）</v>
      </c>
      <c r="Q50" s="3664"/>
      <c r="R50" s="3665">
        <f>IF(E1="售价",ROUND(IF(D49="简单平均",AVERAGE(R49:V49),R49*F49+T49*H49+V49*J49),0),ROUND(IF(D49="简单平均",AVERAGE(R49:V49),R49*F49+T49*H49+V49*J49),1))</f>
        <v>9606</v>
      </c>
      <c r="S50" s="3665"/>
      <c r="T50" s="3665"/>
      <c r="U50" s="3665"/>
      <c r="V50" s="3665"/>
      <c r="W50" s="3665"/>
      <c r="X50" s="1759"/>
      <c r="Y50" s="1759"/>
      <c r="Z50" s="1759"/>
      <c r="AA50" s="1759"/>
      <c r="AB50" s="1759"/>
      <c r="AC50" s="1759"/>
    </row>
    <row r="51" spans="1:29">
      <c r="G51" s="2972"/>
    </row>
    <row r="53" spans="1:29" ht="13.5" customHeight="1">
      <c r="C53" s="383" t="s">
        <v>2232</v>
      </c>
      <c r="D53" s="1775"/>
      <c r="E53" s="1776">
        <f>IF(E48&lt;E49,E49/E48-1,E48/E49-1)</f>
        <v>1.0136710896662646</v>
      </c>
      <c r="F53" s="1777" t="str">
        <f>IF(OR(E53&gt;=0.3,E53&lt;=-0.3),"超过30%","")</f>
        <v>超过30%</v>
      </c>
      <c r="G53" s="1776">
        <f>IF(G48&lt;G49,G49/G48-1,G48/G49-1)</f>
        <v>1.0137923424914486</v>
      </c>
      <c r="H53" s="1777" t="str">
        <f>IF(OR(G53&gt;=0.3,G53&lt;=-0.3),"超过30%","")</f>
        <v>超过30%</v>
      </c>
      <c r="I53" s="1776">
        <f>IF(I48&lt;I49,I49/I48-1,I48/I49-1)</f>
        <v>1.19565660685155</v>
      </c>
      <c r="J53" s="1777" t="str">
        <f>IF(OR(I53&gt;=0.3,I53&lt;=-0.3),"超过30%","")</f>
        <v>超过30%</v>
      </c>
    </row>
    <row r="54" spans="1:29" ht="13.5" customHeight="1">
      <c r="C54" s="383" t="s">
        <v>2233</v>
      </c>
      <c r="D54" s="1778"/>
      <c r="E54" s="1776">
        <f>IF(E49&lt;G49,G49/E49-1,E49/G49-1)</f>
        <v>9.7649784839457077E-2</v>
      </c>
      <c r="F54" s="1777" t="str">
        <f>IF(OR(E54&gt;=0.2,E54&lt;=-0.2),"超过20%","")</f>
        <v/>
      </c>
      <c r="G54" s="1776">
        <f>IF(G49&lt;I49,I49/G49-1,G49/I49-1)</f>
        <v>8.2202361249034572E-2</v>
      </c>
      <c r="H54" s="1777" t="str">
        <f>IF(OR(G54&gt;=0.2,G54&lt;=-0.2),"超过20%","")</f>
        <v/>
      </c>
      <c r="I54" s="1776">
        <f>IF(I49&lt;E49,E49/I49-1,I49/E49-1)</f>
        <v>1.4274061990211973E-2</v>
      </c>
      <c r="J54" s="1777" t="str">
        <f>IF(OR(I54&gt;=0.2,I54&lt;=-0.2),"超过20%","")</f>
        <v/>
      </c>
    </row>
    <row r="55" spans="1:29" s="1781" customFormat="1" ht="13.5" customHeight="1">
      <c r="C55" s="383" t="s">
        <v>2234</v>
      </c>
      <c r="D55" s="1778"/>
      <c r="E55" s="1776">
        <f>IF(E48&lt;G48,G48/E48-1,E48/G48-1)</f>
        <v>9.7583694044161895E-2</v>
      </c>
      <c r="F55" s="1777" t="str">
        <f>IF(OR(E55&gt;=0.3,E55&lt;=-0.3),"超过30%","")</f>
        <v/>
      </c>
      <c r="G55" s="1776">
        <f>IF(G48&lt;I48,I48/G48-1,G48/I48-1)</f>
        <v>0.17993534600843786</v>
      </c>
      <c r="H55" s="1777" t="str">
        <f>IF(OR(G55&gt;=0.3,G55&lt;=-0.3),"超过30%","")</f>
        <v/>
      </c>
      <c r="I55" s="1776">
        <f>IF(I48&lt;E48,E48/I48-1,I48/E48-1)</f>
        <v>7.5029952076677286E-2</v>
      </c>
      <c r="J55" s="1777" t="str">
        <f>IF(OR(I55&gt;=0.3,I55&lt;=-0.3),"超过30%","")</f>
        <v/>
      </c>
      <c r="K55" s="2975"/>
      <c r="L55" s="2969"/>
    </row>
    <row r="56" spans="1:29" s="1781" customFormat="1">
      <c r="B56" s="2973"/>
      <c r="C56" s="2974"/>
      <c r="K56" s="2975"/>
      <c r="L56" s="2969"/>
    </row>
    <row r="57" spans="1:29">
      <c r="B57" s="2973"/>
      <c r="C57" s="2974"/>
    </row>
    <row r="58" spans="1:29" ht="21.75" thickBot="1">
      <c r="A58" s="1784" t="s">
        <v>2235</v>
      </c>
      <c r="B58" s="1759"/>
      <c r="C58" s="1785"/>
      <c r="D58" s="1785"/>
      <c r="E58" s="1785"/>
      <c r="F58" s="1785"/>
      <c r="G58" s="1785"/>
      <c r="H58" s="1785"/>
      <c r="I58" s="1785"/>
      <c r="J58" s="1785"/>
      <c r="K58" s="1786"/>
      <c r="L58" s="1787"/>
      <c r="M58" s="1785"/>
      <c r="N58" s="2971"/>
      <c r="O58" s="2971"/>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2240</v>
      </c>
      <c r="B64" s="1815" t="s">
        <v>2205</v>
      </c>
      <c r="C64" s="1816" t="str">
        <f>C9</f>
        <v>商住</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1"/>
      <c r="O66" s="2981"/>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2"/>
      <c r="O67" s="2982"/>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1835">
        <v>0</v>
      </c>
      <c r="D69" s="1835">
        <v>1</v>
      </c>
      <c r="E69" s="1835">
        <v>2</v>
      </c>
      <c r="F69" s="1835"/>
      <c r="G69" s="1835"/>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1"/>
      <c r="O77" s="2981"/>
      <c r="P77" s="2025"/>
      <c r="Q77" s="1789"/>
    </row>
    <row r="78" spans="1:17" ht="15.75" thickBot="1">
      <c r="A78" s="1821"/>
      <c r="B78" s="1829"/>
      <c r="C78" s="1830">
        <v>100</v>
      </c>
      <c r="D78" s="1830">
        <f>C78-$K15</f>
        <v>95</v>
      </c>
      <c r="E78" s="1830">
        <f>D78-$K15</f>
        <v>90</v>
      </c>
      <c r="F78" s="1830">
        <f>E78-$K15</f>
        <v>85</v>
      </c>
      <c r="G78" s="1830">
        <f>F78-$K15</f>
        <v>80</v>
      </c>
      <c r="H78" s="1830"/>
      <c r="I78" s="1830"/>
      <c r="J78" s="1830"/>
      <c r="K78" s="1830"/>
      <c r="L78" s="1830"/>
      <c r="M78" s="1831"/>
      <c r="N78" s="2982"/>
      <c r="O78" s="2982"/>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1"/>
      <c r="O79" s="2981"/>
      <c r="P79" s="2025"/>
      <c r="Q79" s="1789"/>
    </row>
    <row r="80" spans="1:17" ht="15.75" thickBot="1">
      <c r="A80" s="1821"/>
      <c r="B80" s="1829"/>
      <c r="C80" s="1830">
        <v>100</v>
      </c>
      <c r="D80" s="1830">
        <f>C80-$K17</f>
        <v>95</v>
      </c>
      <c r="E80" s="1830">
        <f>D80-$K17</f>
        <v>90</v>
      </c>
      <c r="F80" s="1830">
        <f>E80-$K17</f>
        <v>85</v>
      </c>
      <c r="G80" s="1830">
        <f>F80-$K17</f>
        <v>80</v>
      </c>
      <c r="H80" s="1830"/>
      <c r="I80" s="1830"/>
      <c r="J80" s="1830"/>
      <c r="K80" s="1830"/>
      <c r="L80" s="1830"/>
      <c r="M80" s="1831"/>
      <c r="N80" s="2982"/>
      <c r="O80" s="2982"/>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1"/>
      <c r="O81" s="2981"/>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2"/>
      <c r="O82" s="2982"/>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2"/>
      <c r="O83" s="2982"/>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2"/>
      <c r="O84" s="2982"/>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1"/>
      <c r="O85" s="2981"/>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2"/>
      <c r="O86" s="2982"/>
      <c r="P86" s="2025"/>
      <c r="Q86" s="1789"/>
    </row>
    <row r="87" spans="1:17" s="1652" customFormat="1" ht="27.75" thickTop="1">
      <c r="A87" s="1857"/>
      <c r="B87" s="1826" t="s">
        <v>2338</v>
      </c>
      <c r="C87" s="468"/>
      <c r="D87" s="468"/>
      <c r="E87" s="468"/>
      <c r="F87" s="468"/>
      <c r="G87" s="468"/>
      <c r="H87" s="468"/>
      <c r="I87" s="468"/>
      <c r="J87" s="468"/>
      <c r="K87" s="468"/>
      <c r="L87" s="468"/>
      <c r="M87" s="1858"/>
      <c r="N87" s="2980"/>
      <c r="O87" s="2980"/>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2"/>
      <c r="O88" s="2982"/>
      <c r="P88" s="2025"/>
      <c r="Q88" s="1789"/>
    </row>
    <row r="89" spans="1:17" s="1652" customFormat="1" ht="15.75" thickTop="1">
      <c r="A89" s="1857"/>
      <c r="B89" s="1826" t="str">
        <f>B27</f>
        <v>楼层</v>
      </c>
      <c r="C89" s="468"/>
      <c r="D89" s="468"/>
      <c r="E89" s="468"/>
      <c r="F89" s="1860"/>
      <c r="G89" s="468"/>
      <c r="H89" s="468"/>
      <c r="I89" s="468"/>
      <c r="J89" s="468"/>
      <c r="K89" s="468"/>
      <c r="L89" s="468"/>
      <c r="M89" s="1858"/>
      <c r="N89" s="2980"/>
      <c r="O89" s="2980"/>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2"/>
      <c r="O90" s="2982"/>
      <c r="P90" s="2025"/>
      <c r="Q90" s="1789"/>
    </row>
    <row r="91" spans="1:17" s="1739" customFormat="1" ht="15.75" thickTop="1">
      <c r="A91" s="1837"/>
      <c r="B91" s="1826" t="str">
        <f>B28</f>
        <v>朝向</v>
      </c>
      <c r="C91" s="3323" t="s">
        <v>3015</v>
      </c>
      <c r="D91" s="3323" t="s">
        <v>3016</v>
      </c>
      <c r="E91" s="3323" t="s">
        <v>3017</v>
      </c>
      <c r="F91" s="3323" t="s">
        <v>3018</v>
      </c>
      <c r="G91" s="3323" t="s">
        <v>3020</v>
      </c>
      <c r="H91" s="3329" t="s">
        <v>3019</v>
      </c>
      <c r="I91" s="3329" t="s">
        <v>3021</v>
      </c>
      <c r="J91" s="3329" t="s">
        <v>3022</v>
      </c>
      <c r="K91" s="3329" t="s">
        <v>3023</v>
      </c>
      <c r="L91" s="443"/>
      <c r="M91" s="1838"/>
      <c r="N91" s="2983"/>
      <c r="O91" s="2983"/>
      <c r="P91" s="2026"/>
      <c r="Q91" s="1841"/>
    </row>
    <row r="92" spans="1:17" s="1739" customFormat="1" ht="15.75" thickBot="1">
      <c r="A92" s="1837"/>
      <c r="B92" s="1829"/>
      <c r="C92" s="1859">
        <v>100</v>
      </c>
      <c r="D92" s="1830">
        <f t="shared" ref="D92:M92" si="21">C92-$K28</f>
        <v>99</v>
      </c>
      <c r="E92" s="1830">
        <f t="shared" si="21"/>
        <v>98</v>
      </c>
      <c r="F92" s="1830">
        <f t="shared" si="21"/>
        <v>97</v>
      </c>
      <c r="G92" s="1830">
        <f t="shared" si="21"/>
        <v>96</v>
      </c>
      <c r="H92" s="1830">
        <f t="shared" si="21"/>
        <v>95</v>
      </c>
      <c r="I92" s="1830">
        <f t="shared" si="21"/>
        <v>94</v>
      </c>
      <c r="J92" s="1830">
        <f t="shared" si="21"/>
        <v>93</v>
      </c>
      <c r="K92" s="1830">
        <f t="shared" si="21"/>
        <v>92</v>
      </c>
      <c r="L92" s="1830">
        <f t="shared" si="21"/>
        <v>91</v>
      </c>
      <c r="M92" s="1830">
        <f t="shared" si="21"/>
        <v>90</v>
      </c>
      <c r="N92" s="2983"/>
      <c r="O92" s="2983"/>
      <c r="P92" s="2026"/>
      <c r="Q92" s="1841"/>
    </row>
    <row r="93" spans="1:17" ht="15.75" thickTop="1">
      <c r="A93" s="1821"/>
      <c r="B93" s="1826" t="str">
        <f>B29</f>
        <v>楼层</v>
      </c>
      <c r="C93" s="3323" t="s">
        <v>3003</v>
      </c>
      <c r="D93" s="3323" t="s">
        <v>3004</v>
      </c>
      <c r="E93" s="3323" t="s">
        <v>3044</v>
      </c>
      <c r="F93" s="3323" t="s">
        <v>3005</v>
      </c>
      <c r="G93" s="468"/>
      <c r="H93" s="468"/>
      <c r="I93" s="468"/>
      <c r="J93" s="468"/>
      <c r="K93" s="468"/>
      <c r="L93" s="468"/>
      <c r="M93" s="1858"/>
      <c r="N93" s="2981"/>
      <c r="O93" s="2981"/>
      <c r="P93" s="2025"/>
      <c r="Q93" s="1789"/>
    </row>
    <row r="94" spans="1:17" ht="15.75" thickBot="1">
      <c r="A94" s="1821"/>
      <c r="B94" s="1829"/>
      <c r="C94" s="1842">
        <v>100</v>
      </c>
      <c r="D94" s="1823">
        <v>98</v>
      </c>
      <c r="E94" s="1823">
        <v>96</v>
      </c>
      <c r="F94" s="1823">
        <v>94</v>
      </c>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2215</v>
      </c>
      <c r="B101" s="1815" t="s">
        <v>2264</v>
      </c>
      <c r="C101" s="3324" t="s">
        <v>3007</v>
      </c>
      <c r="D101" s="1817"/>
      <c r="E101" s="1817"/>
      <c r="F101" s="1817"/>
      <c r="G101" s="1817"/>
      <c r="H101" s="1817"/>
      <c r="I101" s="1817"/>
      <c r="J101" s="1817"/>
      <c r="K101" s="417"/>
      <c r="L101" s="417"/>
      <c r="M101" s="1818"/>
      <c r="N101" s="2981"/>
      <c r="O101" s="2981"/>
      <c r="P101" s="2025"/>
      <c r="Q101" s="1789"/>
    </row>
    <row r="102" spans="1:17" ht="15.75" thickBot="1">
      <c r="A102" s="1821"/>
      <c r="B102" s="1829"/>
      <c r="C102" s="1830">
        <v>100</v>
      </c>
      <c r="D102" s="1830">
        <f t="shared" ref="D102:M102" si="22">C102-$K33</f>
        <v>99</v>
      </c>
      <c r="E102" s="1830">
        <f t="shared" si="22"/>
        <v>98</v>
      </c>
      <c r="F102" s="1830">
        <f t="shared" si="22"/>
        <v>97</v>
      </c>
      <c r="G102" s="1830">
        <f t="shared" si="22"/>
        <v>96</v>
      </c>
      <c r="H102" s="1830">
        <f t="shared" si="22"/>
        <v>95</v>
      </c>
      <c r="I102" s="1830">
        <f t="shared" si="22"/>
        <v>94</v>
      </c>
      <c r="J102" s="1830">
        <f t="shared" si="22"/>
        <v>93</v>
      </c>
      <c r="K102" s="1830">
        <f t="shared" si="22"/>
        <v>92</v>
      </c>
      <c r="L102" s="1830">
        <f t="shared" si="22"/>
        <v>91</v>
      </c>
      <c r="M102" s="1831">
        <f t="shared" si="22"/>
        <v>90</v>
      </c>
      <c r="N102" s="2982"/>
      <c r="O102" s="2982"/>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0"/>
      <c r="O103" s="2980"/>
      <c r="P103" s="2025"/>
      <c r="Q103" s="1789"/>
    </row>
    <row r="104" spans="1:17" s="1739" customFormat="1">
      <c r="A104" s="1867"/>
      <c r="B104" s="1868"/>
      <c r="C104" s="1869">
        <v>0</v>
      </c>
      <c r="D104" s="3333">
        <v>50</v>
      </c>
      <c r="E104" s="3333">
        <v>100</v>
      </c>
      <c r="F104" s="1869">
        <v>200</v>
      </c>
      <c r="G104" s="1869"/>
      <c r="H104" s="1869"/>
      <c r="I104" s="1869"/>
      <c r="J104" s="485"/>
      <c r="K104" s="485"/>
      <c r="L104" s="485"/>
      <c r="M104" s="1870"/>
      <c r="N104" s="2983"/>
      <c r="O104" s="2983"/>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2"/>
      <c r="O105" s="2982"/>
      <c r="P105" s="2026"/>
      <c r="Q105" s="1841"/>
    </row>
    <row r="106" spans="1:17" ht="15" thickTop="1">
      <c r="A106" s="1871"/>
      <c r="B106" s="1826" t="s">
        <v>2266</v>
      </c>
      <c r="C106" s="468"/>
      <c r="D106" s="468"/>
      <c r="E106" s="1545"/>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2"/>
      <c r="O107" s="2982"/>
      <c r="P107" s="2025"/>
      <c r="Q107" s="1789"/>
    </row>
    <row r="108" spans="1:17" ht="15" thickTop="1">
      <c r="A108" s="1871"/>
      <c r="B108" s="1826" t="s">
        <v>2268</v>
      </c>
      <c r="C108" s="468"/>
      <c r="D108" s="468"/>
      <c r="E108" s="468"/>
      <c r="F108" s="1545"/>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2"/>
      <c r="O109" s="2982"/>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103</v>
      </c>
      <c r="E112" s="1830">
        <f t="shared" ref="E112:M112" si="26">D112+$K37</f>
        <v>106</v>
      </c>
      <c r="F112" s="1830">
        <f t="shared" si="26"/>
        <v>109</v>
      </c>
      <c r="G112" s="1830">
        <f t="shared" si="26"/>
        <v>112</v>
      </c>
      <c r="H112" s="1830">
        <f t="shared" si="26"/>
        <v>115</v>
      </c>
      <c r="I112" s="1830">
        <f t="shared" si="26"/>
        <v>118</v>
      </c>
      <c r="J112" s="1830">
        <f t="shared" si="26"/>
        <v>121</v>
      </c>
      <c r="K112" s="1830">
        <f t="shared" si="26"/>
        <v>124</v>
      </c>
      <c r="L112" s="1830">
        <f t="shared" si="26"/>
        <v>127</v>
      </c>
      <c r="M112" s="1830">
        <f t="shared" si="26"/>
        <v>130</v>
      </c>
      <c r="N112" s="2982"/>
      <c r="O112" s="2982"/>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3"/>
      <c r="O114" s="2983"/>
      <c r="P114" s="2026"/>
      <c r="Q114" s="1841"/>
    </row>
    <row r="115" spans="1:17" ht="15" thickTop="1">
      <c r="A115" s="1871"/>
      <c r="B115" s="1826" t="s">
        <v>2270</v>
      </c>
      <c r="C115" s="468"/>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2"/>
      <c r="O116" s="2982"/>
      <c r="P116" s="2025"/>
      <c r="Q116" s="1789"/>
    </row>
    <row r="117" spans="1:17" ht="15" thickTop="1">
      <c r="A117" s="1871"/>
      <c r="B117" s="1826" t="s">
        <v>2271</v>
      </c>
      <c r="C117" s="3323" t="s">
        <v>3041</v>
      </c>
      <c r="D117" s="468"/>
      <c r="E117" s="468"/>
      <c r="F117" s="468"/>
      <c r="G117" s="468"/>
      <c r="H117" s="1545"/>
      <c r="I117" s="1545"/>
      <c r="J117" s="1545"/>
      <c r="K117" s="473"/>
      <c r="L117" s="473"/>
      <c r="M117" s="1861"/>
      <c r="N117" s="2981"/>
      <c r="O117" s="2981"/>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2"/>
      <c r="O118" s="2982"/>
      <c r="P118" s="2025"/>
      <c r="Q118" s="1789"/>
    </row>
    <row r="119" spans="1:17" ht="15" thickTop="1">
      <c r="A119" s="1871"/>
      <c r="B119" s="2473" t="s">
        <v>2340</v>
      </c>
      <c r="C119" s="3337" t="s">
        <v>3037</v>
      </c>
      <c r="D119" s="3337" t="s">
        <v>3039</v>
      </c>
      <c r="E119" s="1545"/>
      <c r="F119" s="1545"/>
      <c r="G119" s="1545"/>
      <c r="H119" s="1545"/>
      <c r="I119" s="1545"/>
      <c r="J119" s="1545"/>
      <c r="K119" s="1545"/>
      <c r="L119" s="1545"/>
      <c r="M119" s="2474"/>
      <c r="N119" s="2982"/>
      <c r="O119" s="2982"/>
      <c r="P119" s="2475"/>
      <c r="Q119" s="2476"/>
    </row>
    <row r="120" spans="1:17" ht="15.75" thickBot="1">
      <c r="A120" s="1821"/>
      <c r="B120" s="1829"/>
      <c r="C120" s="1859">
        <v>100</v>
      </c>
      <c r="D120" s="1830">
        <f>C120-$K41</f>
        <v>99</v>
      </c>
      <c r="E120" s="1830">
        <f t="shared" ref="E120:M120" si="29">D120-$K41</f>
        <v>98</v>
      </c>
      <c r="F120" s="1830">
        <f t="shared" si="29"/>
        <v>97</v>
      </c>
      <c r="G120" s="1830">
        <f t="shared" si="29"/>
        <v>96</v>
      </c>
      <c r="H120" s="1830">
        <f t="shared" si="29"/>
        <v>95</v>
      </c>
      <c r="I120" s="1830">
        <f t="shared" si="29"/>
        <v>94</v>
      </c>
      <c r="J120" s="1830">
        <f t="shared" si="29"/>
        <v>93</v>
      </c>
      <c r="K120" s="1830">
        <f t="shared" si="29"/>
        <v>92</v>
      </c>
      <c r="L120" s="1830">
        <f t="shared" si="29"/>
        <v>91</v>
      </c>
      <c r="M120" s="1830">
        <f t="shared" si="29"/>
        <v>90</v>
      </c>
      <c r="N120" s="2982"/>
      <c r="O120" s="2982"/>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2273</v>
      </c>
      <c r="C123" s="3323" t="s">
        <v>3034</v>
      </c>
      <c r="D123" s="3323" t="s">
        <v>3033</v>
      </c>
      <c r="E123" s="3323" t="s">
        <v>3035</v>
      </c>
      <c r="F123" s="3337" t="s">
        <v>3032</v>
      </c>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2"/>
      <c r="O124" s="2982"/>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1"/>
      <c r="O125" s="2981"/>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7"/>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717" t="s">
        <v>779</v>
      </c>
      <c r="B1" s="3717"/>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9.6000000000000002E-2</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7" t="s">
        <v>105</v>
      </c>
      <c r="B1" s="3717"/>
      <c r="C1" s="3717"/>
      <c r="D1" s="3717"/>
      <c r="E1" s="3717"/>
      <c r="F1" s="371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8" t="s">
        <v>118</v>
      </c>
      <c r="B2" s="3718"/>
      <c r="C2" s="3718"/>
      <c r="D2" s="3718"/>
      <c r="E2" s="3718"/>
      <c r="F2" s="371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17610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1" t="s">
        <v>132</v>
      </c>
      <c r="B18" s="767" t="s">
        <v>517</v>
      </c>
      <c r="C18" s="768" t="s">
        <v>518</v>
      </c>
      <c r="D18" s="769"/>
      <c r="E18" s="767">
        <v>1</v>
      </c>
      <c r="F18" s="770" t="s">
        <v>519</v>
      </c>
      <c r="G18" s="771"/>
      <c r="H18" s="763"/>
      <c r="I18" s="763"/>
    </row>
    <row r="19" spans="1:9" s="772" customFormat="1" ht="19.5" customHeight="1">
      <c r="A19" s="3721"/>
      <c r="B19" s="3721" t="s">
        <v>520</v>
      </c>
      <c r="C19" s="768" t="s">
        <v>521</v>
      </c>
      <c r="D19" s="769"/>
      <c r="E19" s="767">
        <v>0.9</v>
      </c>
      <c r="F19" s="770" t="s">
        <v>522</v>
      </c>
      <c r="G19" s="771"/>
      <c r="H19" s="763"/>
      <c r="I19" s="763"/>
    </row>
    <row r="20" spans="1:9" s="772" customFormat="1" ht="19.5" customHeight="1">
      <c r="A20" s="3721"/>
      <c r="B20" s="3721"/>
      <c r="C20" s="768" t="s">
        <v>523</v>
      </c>
      <c r="D20" s="769"/>
      <c r="E20" s="767">
        <v>1.1000000000000001</v>
      </c>
      <c r="F20" s="770" t="s">
        <v>524</v>
      </c>
      <c r="G20" s="771"/>
      <c r="H20" s="763"/>
      <c r="I20" s="763"/>
    </row>
    <row r="21" spans="1:9" s="772" customFormat="1" ht="19.5" customHeight="1">
      <c r="A21" s="3721"/>
      <c r="B21" s="3721"/>
      <c r="C21" s="768" t="s">
        <v>525</v>
      </c>
      <c r="D21" s="769"/>
      <c r="E21" s="767">
        <v>0.8</v>
      </c>
      <c r="F21" s="770" t="s">
        <v>526</v>
      </c>
      <c r="G21" s="771"/>
      <c r="H21" s="763"/>
      <c r="I21" s="763"/>
    </row>
    <row r="22" spans="1:9" s="772" customFormat="1" ht="19.5" customHeight="1">
      <c r="A22" s="3721"/>
      <c r="B22" s="3721"/>
      <c r="C22" s="768" t="s">
        <v>527</v>
      </c>
      <c r="D22" s="769"/>
      <c r="E22" s="767">
        <v>0.5</v>
      </c>
      <c r="F22" s="770"/>
      <c r="G22" s="771"/>
      <c r="H22" s="763"/>
      <c r="I22" s="763"/>
    </row>
    <row r="23" spans="1:9" s="772" customFormat="1" ht="19.5" customHeight="1">
      <c r="A23" s="3721" t="s">
        <v>133</v>
      </c>
      <c r="B23" s="767" t="s">
        <v>517</v>
      </c>
      <c r="C23" s="768" t="s">
        <v>528</v>
      </c>
      <c r="D23" s="769"/>
      <c r="E23" s="767">
        <v>1</v>
      </c>
      <c r="F23" s="770" t="s">
        <v>529</v>
      </c>
      <c r="G23" s="771"/>
      <c r="H23" s="763"/>
      <c r="I23" s="763"/>
    </row>
    <row r="24" spans="1:9" s="772" customFormat="1" ht="19.5" customHeight="1">
      <c r="A24" s="3721"/>
      <c r="B24" s="3721" t="s">
        <v>520</v>
      </c>
      <c r="C24" s="768" t="s">
        <v>530</v>
      </c>
      <c r="D24" s="769"/>
      <c r="E24" s="767">
        <v>0.5</v>
      </c>
      <c r="F24" s="770"/>
      <c r="G24" s="771"/>
      <c r="H24" s="763"/>
      <c r="I24" s="763"/>
    </row>
    <row r="25" spans="1:9" s="772" customFormat="1" ht="19.5" customHeight="1">
      <c r="A25" s="3721"/>
      <c r="B25" s="3721"/>
      <c r="C25" s="768" t="s">
        <v>531</v>
      </c>
      <c r="D25" s="769"/>
      <c r="E25" s="767">
        <v>1.1000000000000001</v>
      </c>
      <c r="F25" s="770"/>
      <c r="G25" s="771"/>
      <c r="H25" s="763"/>
      <c r="I25" s="763"/>
    </row>
    <row r="26" spans="1:9" s="772" customFormat="1" ht="19.5" customHeight="1">
      <c r="A26" s="3721"/>
      <c r="B26" s="3721"/>
      <c r="C26" s="768" t="s">
        <v>532</v>
      </c>
      <c r="D26" s="769"/>
      <c r="E26" s="767">
        <v>1.1000000000000001</v>
      </c>
      <c r="F26" s="770"/>
      <c r="G26" s="771"/>
      <c r="H26" s="763"/>
      <c r="I26" s="763"/>
    </row>
    <row r="27" spans="1:9" s="772" customFormat="1" ht="19.5" customHeight="1">
      <c r="A27" s="3721"/>
      <c r="B27" s="3721"/>
      <c r="C27" s="768" t="s">
        <v>533</v>
      </c>
      <c r="D27" s="769"/>
      <c r="E27" s="767">
        <v>0.9</v>
      </c>
      <c r="F27" s="770" t="s">
        <v>534</v>
      </c>
      <c r="G27" s="771"/>
      <c r="H27" s="763"/>
      <c r="I27" s="763"/>
    </row>
    <row r="28" spans="1:9" s="772" customFormat="1" ht="19.5" customHeight="1">
      <c r="A28" s="3721"/>
      <c r="B28" s="3721"/>
      <c r="C28" s="768" t="s">
        <v>535</v>
      </c>
      <c r="D28" s="769"/>
      <c r="E28" s="767">
        <v>0.9</v>
      </c>
      <c r="F28" s="770" t="s">
        <v>536</v>
      </c>
      <c r="G28" s="771"/>
      <c r="H28" s="763"/>
      <c r="I28" s="763"/>
    </row>
    <row r="29" spans="1:9" s="772" customFormat="1" ht="19.5" customHeight="1">
      <c r="A29" s="3721"/>
      <c r="B29" s="3721"/>
      <c r="C29" s="768" t="s">
        <v>537</v>
      </c>
      <c r="D29" s="769"/>
      <c r="E29" s="767">
        <v>0.9</v>
      </c>
      <c r="F29" s="770" t="s">
        <v>538</v>
      </c>
      <c r="G29" s="771"/>
      <c r="H29" s="763"/>
      <c r="I29" s="763"/>
    </row>
    <row r="30" spans="1:9" s="772" customFormat="1" ht="19.5" customHeight="1">
      <c r="A30" s="3721"/>
      <c r="B30" s="3721"/>
      <c r="C30" s="768" t="s">
        <v>539</v>
      </c>
      <c r="D30" s="769"/>
      <c r="E30" s="767">
        <v>0.9</v>
      </c>
      <c r="F30" s="770" t="s">
        <v>540</v>
      </c>
      <c r="G30" s="771"/>
      <c r="H30" s="763"/>
      <c r="I30" s="763"/>
    </row>
    <row r="31" spans="1:9" s="772" customFormat="1" ht="19.5" customHeight="1">
      <c r="A31" s="3721"/>
      <c r="B31" s="3721"/>
      <c r="C31" s="768" t="s">
        <v>541</v>
      </c>
      <c r="D31" s="769"/>
      <c r="E31" s="767">
        <v>0.8</v>
      </c>
      <c r="F31" s="770" t="s">
        <v>542</v>
      </c>
      <c r="G31" s="771"/>
      <c r="H31" s="763"/>
      <c r="I31" s="763"/>
    </row>
    <row r="32" spans="1:9" s="772" customFormat="1" ht="19.5" customHeight="1">
      <c r="A32" s="3721"/>
      <c r="B32" s="3721"/>
      <c r="C32" s="768" t="s">
        <v>543</v>
      </c>
      <c r="D32" s="769"/>
      <c r="E32" s="767">
        <v>0.8</v>
      </c>
      <c r="F32" s="770" t="s">
        <v>544</v>
      </c>
      <c r="G32" s="771"/>
      <c r="H32" s="763"/>
      <c r="I32" s="763"/>
    </row>
    <row r="33" spans="1:9" s="772" customFormat="1" ht="19.5" customHeight="1">
      <c r="A33" s="3721" t="s">
        <v>134</v>
      </c>
      <c r="B33" s="767" t="s">
        <v>517</v>
      </c>
      <c r="C33" s="768" t="s">
        <v>545</v>
      </c>
      <c r="D33" s="769"/>
      <c r="E33" s="767">
        <v>1</v>
      </c>
      <c r="F33" s="770" t="s">
        <v>546</v>
      </c>
      <c r="G33" s="771"/>
      <c r="H33" s="763"/>
      <c r="I33" s="763"/>
    </row>
    <row r="34" spans="1:9" s="772" customFormat="1" ht="19.5" customHeight="1">
      <c r="A34" s="3721"/>
      <c r="B34" s="767" t="s">
        <v>520</v>
      </c>
      <c r="C34" s="768" t="s">
        <v>547</v>
      </c>
      <c r="D34" s="769"/>
      <c r="E34" s="767">
        <v>1.5</v>
      </c>
      <c r="F34" s="770" t="s">
        <v>548</v>
      </c>
      <c r="G34" s="771"/>
      <c r="H34" s="763"/>
      <c r="I34" s="763"/>
    </row>
    <row r="35" spans="1:9" s="772" customFormat="1" ht="19.5" customHeight="1">
      <c r="A35" s="3721" t="s">
        <v>135</v>
      </c>
      <c r="B35" s="767" t="s">
        <v>517</v>
      </c>
      <c r="C35" s="768" t="s">
        <v>549</v>
      </c>
      <c r="D35" s="769"/>
      <c r="E35" s="767">
        <v>1</v>
      </c>
      <c r="F35" s="770" t="s">
        <v>550</v>
      </c>
      <c r="G35" s="771"/>
      <c r="H35" s="763"/>
      <c r="I35" s="763"/>
    </row>
    <row r="36" spans="1:9" s="772" customFormat="1" ht="19.5" customHeight="1">
      <c r="A36" s="3721"/>
      <c r="B36" s="3721" t="s">
        <v>520</v>
      </c>
      <c r="C36" s="768" t="s">
        <v>551</v>
      </c>
      <c r="D36" s="769"/>
      <c r="E36" s="767">
        <v>1</v>
      </c>
      <c r="F36" s="770" t="s">
        <v>552</v>
      </c>
      <c r="G36" s="771"/>
      <c r="H36" s="763"/>
      <c r="I36" s="763"/>
    </row>
    <row r="37" spans="1:9" s="772" customFormat="1" ht="19.5" customHeight="1">
      <c r="A37" s="3721"/>
      <c r="B37" s="3721"/>
      <c r="C37" s="768" t="s">
        <v>553</v>
      </c>
      <c r="D37" s="769"/>
      <c r="E37" s="767">
        <v>1.5</v>
      </c>
      <c r="F37" s="770" t="s">
        <v>554</v>
      </c>
      <c r="G37" s="771"/>
      <c r="H37" s="763"/>
      <c r="I37" s="763"/>
    </row>
    <row r="38" spans="1:9" s="772" customFormat="1" ht="19.5" customHeight="1">
      <c r="A38" s="3721"/>
      <c r="B38" s="3721"/>
      <c r="C38" s="768" t="s">
        <v>555</v>
      </c>
      <c r="D38" s="769"/>
      <c r="E38" s="767">
        <v>1</v>
      </c>
      <c r="F38" s="770" t="s">
        <v>556</v>
      </c>
      <c r="G38" s="771"/>
      <c r="H38" s="763"/>
      <c r="I38" s="763"/>
    </row>
    <row r="39" spans="1:9" s="772" customFormat="1" ht="19.5" customHeight="1">
      <c r="A39" s="3721"/>
      <c r="B39" s="372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1" t="s">
        <v>571</v>
      </c>
      <c r="C61" s="681" t="s">
        <v>572</v>
      </c>
      <c r="D61" s="681" t="s">
        <v>573</v>
      </c>
      <c r="E61" s="780">
        <v>0.5</v>
      </c>
      <c r="F61" s="767">
        <v>80</v>
      </c>
    </row>
    <row r="62" spans="1:8" s="763" customFormat="1" ht="24">
      <c r="A62" s="767">
        <v>2</v>
      </c>
      <c r="B62" s="3721"/>
      <c r="C62" s="681" t="s">
        <v>574</v>
      </c>
      <c r="D62" s="681" t="s">
        <v>575</v>
      </c>
      <c r="E62" s="780">
        <v>0.5</v>
      </c>
      <c r="F62" s="767">
        <v>80</v>
      </c>
    </row>
    <row r="63" spans="1:8" s="763" customFormat="1" ht="36">
      <c r="A63" s="767">
        <v>3</v>
      </c>
      <c r="B63" s="3721"/>
      <c r="C63" s="681" t="s">
        <v>576</v>
      </c>
      <c r="D63" s="681" t="s">
        <v>577</v>
      </c>
      <c r="E63" s="780">
        <v>0.5</v>
      </c>
      <c r="F63" s="767">
        <v>80</v>
      </c>
    </row>
    <row r="64" spans="1:8" s="763" customFormat="1" ht="36">
      <c r="A64" s="767">
        <v>4</v>
      </c>
      <c r="B64" s="3721"/>
      <c r="C64" s="681" t="s">
        <v>578</v>
      </c>
      <c r="D64" s="681" t="s">
        <v>579</v>
      </c>
      <c r="E64" s="780">
        <v>0.4</v>
      </c>
      <c r="F64" s="767">
        <v>60</v>
      </c>
    </row>
    <row r="65" spans="1:6" s="763" customFormat="1" ht="36">
      <c r="A65" s="767">
        <v>5</v>
      </c>
      <c r="B65" s="3721"/>
      <c r="C65" s="681" t="s">
        <v>580</v>
      </c>
      <c r="D65" s="681" t="s">
        <v>581</v>
      </c>
      <c r="E65" s="780">
        <v>0.2</v>
      </c>
      <c r="F65" s="767">
        <v>30</v>
      </c>
    </row>
    <row r="66" spans="1:6" s="763" customFormat="1" ht="36">
      <c r="A66" s="767">
        <v>6</v>
      </c>
      <c r="B66" s="3721"/>
      <c r="C66" s="681" t="s">
        <v>582</v>
      </c>
      <c r="D66" s="681" t="s">
        <v>583</v>
      </c>
      <c r="E66" s="780">
        <v>0.3</v>
      </c>
      <c r="F66" s="767">
        <v>50</v>
      </c>
    </row>
    <row r="67" spans="1:6" s="763" customFormat="1" ht="36">
      <c r="A67" s="767">
        <v>7</v>
      </c>
      <c r="B67" s="3721"/>
      <c r="C67" s="681" t="s">
        <v>584</v>
      </c>
      <c r="D67" s="681" t="s">
        <v>585</v>
      </c>
      <c r="E67" s="780">
        <v>0.2</v>
      </c>
      <c r="F67" s="767">
        <v>30</v>
      </c>
    </row>
    <row r="68" spans="1:6" s="763" customFormat="1" ht="36">
      <c r="A68" s="767">
        <v>8</v>
      </c>
      <c r="B68" s="3721"/>
      <c r="C68" s="681" t="s">
        <v>586</v>
      </c>
      <c r="D68" s="681" t="s">
        <v>587</v>
      </c>
      <c r="E68" s="780">
        <v>0.2</v>
      </c>
      <c r="F68" s="767">
        <v>30</v>
      </c>
    </row>
    <row r="69" spans="1:6" s="763" customFormat="1" ht="36">
      <c r="A69" s="767">
        <v>9</v>
      </c>
      <c r="B69" s="3721"/>
      <c r="C69" s="681" t="s">
        <v>588</v>
      </c>
      <c r="D69" s="681" t="s">
        <v>589</v>
      </c>
      <c r="E69" s="780">
        <v>0.2</v>
      </c>
      <c r="F69" s="767">
        <v>30</v>
      </c>
    </row>
    <row r="70" spans="1:6" s="763" customFormat="1" ht="48">
      <c r="A70" s="767">
        <v>10</v>
      </c>
      <c r="B70" s="3721"/>
      <c r="C70" s="681" t="s">
        <v>590</v>
      </c>
      <c r="D70" s="681" t="s">
        <v>591</v>
      </c>
      <c r="E70" s="780">
        <v>0.2</v>
      </c>
      <c r="F70" s="767">
        <v>30</v>
      </c>
    </row>
    <row r="71" spans="1:6" s="763" customFormat="1" ht="48">
      <c r="A71" s="767">
        <v>11</v>
      </c>
      <c r="B71" s="3721"/>
      <c r="C71" s="681" t="s">
        <v>592</v>
      </c>
      <c r="D71" s="681" t="s">
        <v>593</v>
      </c>
      <c r="E71" s="780">
        <v>0.2</v>
      </c>
      <c r="F71" s="767">
        <v>30</v>
      </c>
    </row>
    <row r="72" spans="1:6" s="763" customFormat="1" ht="36">
      <c r="A72" s="767">
        <v>12</v>
      </c>
      <c r="B72" s="3721"/>
      <c r="C72" s="681" t="s">
        <v>594</v>
      </c>
      <c r="D72" s="681" t="s">
        <v>595</v>
      </c>
      <c r="E72" s="780">
        <v>0.5</v>
      </c>
      <c r="F72" s="767">
        <v>80</v>
      </c>
    </row>
    <row r="73" spans="1:6" s="763" customFormat="1" ht="24">
      <c r="A73" s="767">
        <v>13</v>
      </c>
      <c r="B73" s="3721"/>
      <c r="C73" s="681" t="s">
        <v>596</v>
      </c>
      <c r="D73" s="681" t="s">
        <v>597</v>
      </c>
      <c r="E73" s="780">
        <v>0.4</v>
      </c>
      <c r="F73" s="767">
        <v>60</v>
      </c>
    </row>
    <row r="74" spans="1:6" s="763" customFormat="1" ht="24">
      <c r="A74" s="767">
        <v>14</v>
      </c>
      <c r="B74" s="3721"/>
      <c r="C74" s="681" t="s">
        <v>598</v>
      </c>
      <c r="D74" s="681" t="s">
        <v>599</v>
      </c>
      <c r="E74" s="780">
        <v>0.2</v>
      </c>
      <c r="F74" s="767">
        <v>30</v>
      </c>
    </row>
    <row r="75" spans="1:6" s="763" customFormat="1" ht="24">
      <c r="A75" s="767">
        <v>15</v>
      </c>
      <c r="B75" s="3721"/>
      <c r="C75" s="681" t="s">
        <v>600</v>
      </c>
      <c r="D75" s="681" t="s">
        <v>601</v>
      </c>
      <c r="E75" s="780">
        <v>0.2</v>
      </c>
      <c r="F75" s="767">
        <v>30</v>
      </c>
    </row>
    <row r="76" spans="1:6" s="763" customFormat="1" ht="24">
      <c r="A76" s="767">
        <v>16</v>
      </c>
      <c r="B76" s="3721" t="s">
        <v>602</v>
      </c>
      <c r="C76" s="681" t="s">
        <v>603</v>
      </c>
      <c r="D76" s="681" t="s">
        <v>604</v>
      </c>
      <c r="E76" s="780">
        <v>0.5</v>
      </c>
      <c r="F76" s="767">
        <v>80</v>
      </c>
    </row>
    <row r="77" spans="1:6" s="763" customFormat="1" ht="24">
      <c r="A77" s="767">
        <v>17</v>
      </c>
      <c r="B77" s="3721"/>
      <c r="C77" s="681" t="s">
        <v>605</v>
      </c>
      <c r="D77" s="681" t="s">
        <v>606</v>
      </c>
      <c r="E77" s="780">
        <v>0.5</v>
      </c>
      <c r="F77" s="767">
        <v>80</v>
      </c>
    </row>
    <row r="78" spans="1:6" s="763" customFormat="1" ht="24">
      <c r="A78" s="767">
        <v>18</v>
      </c>
      <c r="B78" s="3721"/>
      <c r="C78" s="681" t="s">
        <v>607</v>
      </c>
      <c r="D78" s="681" t="s">
        <v>608</v>
      </c>
      <c r="E78" s="780">
        <v>0.2</v>
      </c>
      <c r="F78" s="767">
        <v>30</v>
      </c>
    </row>
    <row r="79" spans="1:6" s="763" customFormat="1" ht="24">
      <c r="A79" s="767">
        <v>19</v>
      </c>
      <c r="B79" s="3721"/>
      <c r="C79" s="681" t="s">
        <v>609</v>
      </c>
      <c r="D79" s="681" t="s">
        <v>610</v>
      </c>
      <c r="E79" s="780">
        <v>0.5</v>
      </c>
      <c r="F79" s="767">
        <v>80</v>
      </c>
    </row>
    <row r="80" spans="1:6" s="763" customFormat="1" ht="36">
      <c r="A80" s="767">
        <v>20</v>
      </c>
      <c r="B80" s="3721"/>
      <c r="C80" s="681" t="s">
        <v>611</v>
      </c>
      <c r="D80" s="681" t="s">
        <v>612</v>
      </c>
      <c r="E80" s="780">
        <v>0.2</v>
      </c>
      <c r="F80" s="767">
        <v>30</v>
      </c>
    </row>
    <row r="81" spans="1:6" s="763" customFormat="1" ht="36">
      <c r="A81" s="767">
        <v>21</v>
      </c>
      <c r="B81" s="3721"/>
      <c r="C81" s="681" t="s">
        <v>613</v>
      </c>
      <c r="D81" s="681" t="s">
        <v>614</v>
      </c>
      <c r="E81" s="780">
        <v>0.2</v>
      </c>
      <c r="F81" s="767">
        <v>30</v>
      </c>
    </row>
    <row r="82" spans="1:6" s="763" customFormat="1" ht="48">
      <c r="A82" s="767">
        <v>22</v>
      </c>
      <c r="B82" s="3721"/>
      <c r="C82" s="681" t="s">
        <v>615</v>
      </c>
      <c r="D82" s="681" t="s">
        <v>616</v>
      </c>
      <c r="E82" s="780">
        <v>0.2</v>
      </c>
      <c r="F82" s="767">
        <v>30</v>
      </c>
    </row>
    <row r="83" spans="1:6" s="763" customFormat="1" ht="48">
      <c r="A83" s="767">
        <v>23</v>
      </c>
      <c r="B83" s="3721"/>
      <c r="C83" s="681" t="s">
        <v>617</v>
      </c>
      <c r="D83" s="681" t="s">
        <v>618</v>
      </c>
      <c r="E83" s="780">
        <v>0.2</v>
      </c>
      <c r="F83" s="767">
        <v>30</v>
      </c>
    </row>
    <row r="84" spans="1:6" s="763" customFormat="1" ht="36">
      <c r="A84" s="767">
        <v>24</v>
      </c>
      <c r="B84" s="3721"/>
      <c r="C84" s="681" t="s">
        <v>619</v>
      </c>
      <c r="D84" s="681" t="s">
        <v>620</v>
      </c>
      <c r="E84" s="780">
        <v>0.2</v>
      </c>
      <c r="F84" s="767">
        <v>30</v>
      </c>
    </row>
    <row r="85" spans="1:6" s="763" customFormat="1" ht="36">
      <c r="A85" s="767">
        <v>25</v>
      </c>
      <c r="B85" s="3721"/>
      <c r="C85" s="681" t="s">
        <v>621</v>
      </c>
      <c r="D85" s="681" t="s">
        <v>622</v>
      </c>
      <c r="E85" s="780">
        <v>0.5</v>
      </c>
      <c r="F85" s="767">
        <v>80</v>
      </c>
    </row>
    <row r="86" spans="1:6" s="763" customFormat="1" ht="36">
      <c r="A86" s="767">
        <v>26</v>
      </c>
      <c r="B86" s="3721"/>
      <c r="C86" s="681" t="s">
        <v>623</v>
      </c>
      <c r="D86" s="681" t="s">
        <v>624</v>
      </c>
      <c r="E86" s="780">
        <v>0.2</v>
      </c>
      <c r="F86" s="767">
        <v>30</v>
      </c>
    </row>
    <row r="87" spans="1:6" s="763" customFormat="1" ht="36">
      <c r="A87" s="767">
        <v>27</v>
      </c>
      <c r="B87" s="3721"/>
      <c r="C87" s="681" t="s">
        <v>625</v>
      </c>
      <c r="D87" s="681" t="s">
        <v>626</v>
      </c>
      <c r="E87" s="780">
        <v>0.2</v>
      </c>
      <c r="F87" s="767">
        <v>30</v>
      </c>
    </row>
    <row r="88" spans="1:6" s="763" customFormat="1" ht="36">
      <c r="A88" s="767">
        <v>28</v>
      </c>
      <c r="B88" s="3721"/>
      <c r="C88" s="681" t="s">
        <v>627</v>
      </c>
      <c r="D88" s="681" t="s">
        <v>628</v>
      </c>
      <c r="E88" s="780">
        <v>0.2</v>
      </c>
      <c r="F88" s="767">
        <v>30</v>
      </c>
    </row>
    <row r="89" spans="1:6" s="763" customFormat="1" ht="24">
      <c r="A89" s="767">
        <v>29</v>
      </c>
      <c r="B89" s="3721"/>
      <c r="C89" s="681" t="s">
        <v>629</v>
      </c>
      <c r="D89" s="681" t="s">
        <v>630</v>
      </c>
      <c r="E89" s="780">
        <v>0.2</v>
      </c>
      <c r="F89" s="767">
        <v>30</v>
      </c>
    </row>
    <row r="90" spans="1:6" s="763" customFormat="1" ht="24">
      <c r="A90" s="767">
        <v>30</v>
      </c>
      <c r="B90" s="3721"/>
      <c r="C90" s="681" t="s">
        <v>631</v>
      </c>
      <c r="D90" s="681" t="s">
        <v>632</v>
      </c>
      <c r="E90" s="780">
        <v>0.2</v>
      </c>
      <c r="F90" s="767">
        <v>30</v>
      </c>
    </row>
    <row r="91" spans="1:6" s="763" customFormat="1" ht="36">
      <c r="A91" s="767">
        <v>31</v>
      </c>
      <c r="B91" s="3721"/>
      <c r="C91" s="681" t="s">
        <v>633</v>
      </c>
      <c r="D91" s="681" t="s">
        <v>634</v>
      </c>
      <c r="E91" s="780">
        <v>0.2</v>
      </c>
      <c r="F91" s="767">
        <v>30</v>
      </c>
    </row>
    <row r="92" spans="1:6" s="763" customFormat="1" ht="24">
      <c r="A92" s="767">
        <v>32</v>
      </c>
      <c r="B92" s="3721" t="s">
        <v>635</v>
      </c>
      <c r="C92" s="767" t="s">
        <v>636</v>
      </c>
      <c r="D92" s="681" t="s">
        <v>637</v>
      </c>
      <c r="E92" s="780">
        <v>0.2</v>
      </c>
      <c r="F92" s="767">
        <v>30</v>
      </c>
    </row>
    <row r="93" spans="1:6" s="763" customFormat="1" ht="36">
      <c r="A93" s="767">
        <v>33</v>
      </c>
      <c r="B93" s="3721"/>
      <c r="C93" s="767" t="s">
        <v>638</v>
      </c>
      <c r="D93" s="681" t="s">
        <v>639</v>
      </c>
      <c r="E93" s="780">
        <v>0.2</v>
      </c>
      <c r="F93" s="767">
        <v>30</v>
      </c>
    </row>
    <row r="94" spans="1:6" s="763" customFormat="1" ht="48">
      <c r="A94" s="767">
        <v>34</v>
      </c>
      <c r="B94" s="3721"/>
      <c r="C94" s="767" t="s">
        <v>640</v>
      </c>
      <c r="D94" s="681" t="s">
        <v>641</v>
      </c>
      <c r="E94" s="780">
        <v>0.2</v>
      </c>
      <c r="F94" s="767">
        <v>30</v>
      </c>
    </row>
    <row r="95" spans="1:6" s="763" customFormat="1" ht="36">
      <c r="A95" s="767">
        <v>35</v>
      </c>
      <c r="B95" s="3721"/>
      <c r="C95" s="767" t="s">
        <v>642</v>
      </c>
      <c r="D95" s="681" t="s">
        <v>643</v>
      </c>
      <c r="E95" s="780">
        <v>0.2</v>
      </c>
      <c r="F95" s="767">
        <v>30</v>
      </c>
    </row>
    <row r="96" spans="1:6" s="763" customFormat="1" ht="48">
      <c r="A96" s="767">
        <v>36</v>
      </c>
      <c r="B96" s="3721"/>
      <c r="C96" s="681" t="s">
        <v>644</v>
      </c>
      <c r="D96" s="681" t="s">
        <v>645</v>
      </c>
      <c r="E96" s="780">
        <v>0.2</v>
      </c>
      <c r="F96" s="767">
        <v>30</v>
      </c>
    </row>
    <row r="97" spans="1:6" s="763" customFormat="1" ht="36">
      <c r="A97" s="767">
        <v>37</v>
      </c>
      <c r="B97" s="3721"/>
      <c r="C97" s="767" t="s">
        <v>646</v>
      </c>
      <c r="D97" s="681" t="s">
        <v>647</v>
      </c>
      <c r="E97" s="780">
        <v>0.2</v>
      </c>
      <c r="F97" s="767">
        <v>30</v>
      </c>
    </row>
    <row r="98" spans="1:6" s="763" customFormat="1" ht="36">
      <c r="A98" s="767">
        <v>38</v>
      </c>
      <c r="B98" s="3721"/>
      <c r="C98" s="767" t="s">
        <v>648</v>
      </c>
      <c r="D98" s="681" t="s">
        <v>649</v>
      </c>
      <c r="E98" s="780">
        <v>0.2</v>
      </c>
      <c r="F98" s="767">
        <v>30</v>
      </c>
    </row>
    <row r="99" spans="1:6" s="763" customFormat="1" ht="36">
      <c r="A99" s="767">
        <v>39</v>
      </c>
      <c r="B99" s="3721" t="s">
        <v>650</v>
      </c>
      <c r="C99" s="767" t="s">
        <v>651</v>
      </c>
      <c r="D99" s="681" t="s">
        <v>652</v>
      </c>
      <c r="E99" s="780">
        <v>0.3</v>
      </c>
      <c r="F99" s="767">
        <v>50</v>
      </c>
    </row>
    <row r="100" spans="1:6" s="763" customFormat="1" ht="24">
      <c r="A100" s="767">
        <v>40</v>
      </c>
      <c r="B100" s="3721"/>
      <c r="C100" s="767" t="s">
        <v>653</v>
      </c>
      <c r="D100" s="681" t="s">
        <v>654</v>
      </c>
      <c r="E100" s="780">
        <v>0.2</v>
      </c>
      <c r="F100" s="767">
        <v>30</v>
      </c>
    </row>
    <row r="101" spans="1:6" s="763" customFormat="1" ht="36">
      <c r="A101" s="767">
        <v>41</v>
      </c>
      <c r="B101" s="372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1" t="s">
        <v>665</v>
      </c>
      <c r="C105" s="767" t="s">
        <v>666</v>
      </c>
      <c r="D105" s="681" t="s">
        <v>667</v>
      </c>
      <c r="E105" s="780">
        <v>0.2</v>
      </c>
      <c r="F105" s="767">
        <v>30</v>
      </c>
    </row>
    <row r="106" spans="1:6" s="763" customFormat="1" ht="36">
      <c r="A106" s="767">
        <v>46</v>
      </c>
      <c r="B106" s="3721"/>
      <c r="C106" s="767" t="s">
        <v>668</v>
      </c>
      <c r="D106" s="681" t="s">
        <v>669</v>
      </c>
      <c r="E106" s="780">
        <v>0.2</v>
      </c>
      <c r="F106" s="767">
        <v>30</v>
      </c>
    </row>
    <row r="107" spans="1:6" s="763" customFormat="1" ht="36">
      <c r="A107" s="767">
        <v>47</v>
      </c>
      <c r="B107" s="3721" t="s">
        <v>670</v>
      </c>
      <c r="C107" s="767" t="s">
        <v>671</v>
      </c>
      <c r="D107" s="681" t="s">
        <v>672</v>
      </c>
      <c r="E107" s="780">
        <v>0.3</v>
      </c>
      <c r="F107" s="767">
        <v>50</v>
      </c>
    </row>
    <row r="108" spans="1:6" s="763" customFormat="1" ht="36">
      <c r="A108" s="767">
        <v>48</v>
      </c>
      <c r="B108" s="372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1" t="s">
        <v>681</v>
      </c>
      <c r="C111" s="767" t="s">
        <v>682</v>
      </c>
      <c r="D111" s="681" t="s">
        <v>683</v>
      </c>
      <c r="E111" s="780">
        <v>0.2</v>
      </c>
      <c r="F111" s="767">
        <v>30</v>
      </c>
    </row>
    <row r="112" spans="1:6" s="763" customFormat="1" ht="24">
      <c r="A112" s="767">
        <v>52</v>
      </c>
      <c r="B112" s="3721"/>
      <c r="C112" s="767" t="s">
        <v>684</v>
      </c>
      <c r="D112" s="681" t="s">
        <v>685</v>
      </c>
      <c r="E112" s="780">
        <v>0.2</v>
      </c>
      <c r="F112" s="767">
        <v>30</v>
      </c>
    </row>
    <row r="113" spans="1:6" s="763" customFormat="1" ht="24">
      <c r="A113" s="767">
        <v>53</v>
      </c>
      <c r="B113" s="372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1" t="s">
        <v>694</v>
      </c>
      <c r="C116" s="767" t="s">
        <v>695</v>
      </c>
      <c r="D116" s="681" t="s">
        <v>696</v>
      </c>
      <c r="E116" s="780">
        <v>0.2</v>
      </c>
      <c r="F116" s="767">
        <v>30</v>
      </c>
    </row>
    <row r="117" spans="1:6" ht="36">
      <c r="A117" s="767">
        <v>57</v>
      </c>
      <c r="B117" s="372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7" t="s">
        <v>964</v>
      </c>
      <c r="C1" s="3727"/>
      <c r="D1" s="3727"/>
      <c r="E1" s="3727"/>
      <c r="F1" s="3727"/>
      <c r="G1" s="3726" t="s">
        <v>965</v>
      </c>
      <c r="H1" s="3726"/>
      <c r="I1" s="3726"/>
      <c r="J1" s="3726"/>
      <c r="K1" s="3726"/>
      <c r="L1" s="3726"/>
      <c r="N1" s="3726" t="s">
        <v>966</v>
      </c>
      <c r="O1" s="3726"/>
      <c r="P1" s="3726"/>
      <c r="Q1" s="3726"/>
      <c r="S1" s="3726" t="s">
        <v>967</v>
      </c>
      <c r="T1" s="3726"/>
      <c r="U1" s="3726"/>
      <c r="V1" s="3726"/>
      <c r="X1" s="3725" t="s">
        <v>968</v>
      </c>
      <c r="Y1" s="3726"/>
      <c r="Z1" s="3726"/>
      <c r="AA1" s="3726"/>
      <c r="AB1" s="3726"/>
      <c r="AD1" s="3725" t="s">
        <v>969</v>
      </c>
      <c r="AE1" s="3726"/>
      <c r="AF1" s="3726"/>
      <c r="AG1" s="3726"/>
      <c r="AH1" s="3726"/>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2832</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8">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2645</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2833</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8">
        <v>2021</v>
      </c>
      <c r="H6" s="2338">
        <v>3</v>
      </c>
      <c r="I6" s="3126">
        <v>0.47</v>
      </c>
      <c r="J6" s="3126">
        <v>0.41</v>
      </c>
      <c r="K6" s="3126">
        <v>0.48</v>
      </c>
      <c r="L6" s="3127">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2831</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5">
        <v>2021</v>
      </c>
      <c r="H7" s="2338">
        <v>2</v>
      </c>
      <c r="I7" s="3126">
        <v>0.92</v>
      </c>
      <c r="J7" s="3126">
        <v>0.72</v>
      </c>
      <c r="K7" s="3126">
        <v>0.95</v>
      </c>
      <c r="L7" s="3127">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2830</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4">
        <v>2021</v>
      </c>
      <c r="H8" s="2338">
        <v>1</v>
      </c>
      <c r="I8" s="3126">
        <v>0.97</v>
      </c>
      <c r="J8" s="3126">
        <v>0.16</v>
      </c>
      <c r="K8" s="3126">
        <v>1.1100000000000001</v>
      </c>
      <c r="L8" s="3127">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2827</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5">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2826</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4">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2678</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2675</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2673</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2670</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2664</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2665</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2659</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23">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2654</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23"/>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2653</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23"/>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2650</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32"/>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2647</v>
      </c>
      <c r="B21" s="2346">
        <v>439</v>
      </c>
      <c r="C21" s="2346">
        <v>327</v>
      </c>
      <c r="D21" s="2346">
        <f t="shared" si="158"/>
        <v>327</v>
      </c>
      <c r="E21" s="2346">
        <v>627</v>
      </c>
      <c r="F21" s="2347">
        <v>283</v>
      </c>
      <c r="G21" s="3728">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2644</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23"/>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23"/>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32"/>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28">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23"/>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23"/>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24"/>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22">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23"/>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23"/>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24"/>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22">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23"/>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23"/>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24"/>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29">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30"/>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30"/>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31"/>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22">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23"/>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23"/>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24"/>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22">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23">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23">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24">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22">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23">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23">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24">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22">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23">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23">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24">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22">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23">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23">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24">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22">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23">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23">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24">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22">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23">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23">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24">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22">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23">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23">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24">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22">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23">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23">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24">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22">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23">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23">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24">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22">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23">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23">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24">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5" customWidth="1"/>
    <col min="2" max="2" width="13.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75" style="1211" customWidth="1"/>
    <col min="14" max="256" width="9" style="1211"/>
    <col min="257" max="257" width="4.875" style="1202" customWidth="1"/>
    <col min="258" max="258" width="13.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75" style="1202" customWidth="1"/>
    <col min="270" max="512" width="9" style="1202"/>
    <col min="513" max="513" width="4.875" style="1202" customWidth="1"/>
    <col min="514" max="514" width="13.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75" style="1202" customWidth="1"/>
    <col min="526" max="768" width="9" style="1202"/>
    <col min="769" max="769" width="4.875" style="1202" customWidth="1"/>
    <col min="770" max="770" width="13.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75" style="1202" customWidth="1"/>
    <col min="782" max="1024" width="9" style="1202"/>
    <col min="1025" max="1025" width="4.875" style="1202" customWidth="1"/>
    <col min="1026" max="1026" width="13.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75" style="1202" customWidth="1"/>
    <col min="1038" max="1280" width="9" style="1202"/>
    <col min="1281" max="1281" width="4.875" style="1202" customWidth="1"/>
    <col min="1282" max="1282" width="13.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75" style="1202" customWidth="1"/>
    <col min="1294" max="1536" width="9" style="1202"/>
    <col min="1537" max="1537" width="4.875" style="1202" customWidth="1"/>
    <col min="1538" max="1538" width="13.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75" style="1202" customWidth="1"/>
    <col min="1550" max="1792" width="9" style="1202"/>
    <col min="1793" max="1793" width="4.875" style="1202" customWidth="1"/>
    <col min="1794" max="1794" width="13.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75" style="1202" customWidth="1"/>
    <col min="1806" max="2048" width="9" style="1202"/>
    <col min="2049" max="2049" width="4.875" style="1202" customWidth="1"/>
    <col min="2050" max="2050" width="13.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75" style="1202" customWidth="1"/>
    <col min="2062" max="2304" width="9" style="1202"/>
    <col min="2305" max="2305" width="4.875" style="1202" customWidth="1"/>
    <col min="2306" max="2306" width="13.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75" style="1202" customWidth="1"/>
    <col min="2318" max="2560" width="9" style="1202"/>
    <col min="2561" max="2561" width="4.875" style="1202" customWidth="1"/>
    <col min="2562" max="2562" width="13.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75" style="1202" customWidth="1"/>
    <col min="2574" max="2816" width="9" style="1202"/>
    <col min="2817" max="2817" width="4.875" style="1202" customWidth="1"/>
    <col min="2818" max="2818" width="13.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75" style="1202" customWidth="1"/>
    <col min="2830" max="3072" width="9" style="1202"/>
    <col min="3073" max="3073" width="4.875" style="1202" customWidth="1"/>
    <col min="3074" max="3074" width="13.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75" style="1202" customWidth="1"/>
    <col min="3086" max="3328" width="9" style="1202"/>
    <col min="3329" max="3329" width="4.875" style="1202" customWidth="1"/>
    <col min="3330" max="3330" width="13.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75" style="1202" customWidth="1"/>
    <col min="3342" max="3584" width="9" style="1202"/>
    <col min="3585" max="3585" width="4.875" style="1202" customWidth="1"/>
    <col min="3586" max="3586" width="13.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75" style="1202" customWidth="1"/>
    <col min="3598" max="3840" width="9" style="1202"/>
    <col min="3841" max="3841" width="4.875" style="1202" customWidth="1"/>
    <col min="3842" max="3842" width="13.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75" style="1202" customWidth="1"/>
    <col min="3854" max="4096" width="9" style="1202"/>
    <col min="4097" max="4097" width="4.875" style="1202" customWidth="1"/>
    <col min="4098" max="4098" width="13.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75" style="1202" customWidth="1"/>
    <col min="4110" max="4352" width="9" style="1202"/>
    <col min="4353" max="4353" width="4.875" style="1202" customWidth="1"/>
    <col min="4354" max="4354" width="13.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75" style="1202" customWidth="1"/>
    <col min="4366" max="4608" width="9" style="1202"/>
    <col min="4609" max="4609" width="4.875" style="1202" customWidth="1"/>
    <col min="4610" max="4610" width="13.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75" style="1202" customWidth="1"/>
    <col min="4622" max="4864" width="9" style="1202"/>
    <col min="4865" max="4865" width="4.875" style="1202" customWidth="1"/>
    <col min="4866" max="4866" width="13.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75" style="1202" customWidth="1"/>
    <col min="4878" max="5120" width="9" style="1202"/>
    <col min="5121" max="5121" width="4.875" style="1202" customWidth="1"/>
    <col min="5122" max="5122" width="13.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75" style="1202" customWidth="1"/>
    <col min="5134" max="5376" width="9" style="1202"/>
    <col min="5377" max="5377" width="4.875" style="1202" customWidth="1"/>
    <col min="5378" max="5378" width="13.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75" style="1202" customWidth="1"/>
    <col min="5390" max="5632" width="9" style="1202"/>
    <col min="5633" max="5633" width="4.875" style="1202" customWidth="1"/>
    <col min="5634" max="5634" width="13.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75" style="1202" customWidth="1"/>
    <col min="5646" max="5888" width="9" style="1202"/>
    <col min="5889" max="5889" width="4.875" style="1202" customWidth="1"/>
    <col min="5890" max="5890" width="13.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75" style="1202" customWidth="1"/>
    <col min="5902" max="6144" width="9" style="1202"/>
    <col min="6145" max="6145" width="4.875" style="1202" customWidth="1"/>
    <col min="6146" max="6146" width="13.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75" style="1202" customWidth="1"/>
    <col min="6158" max="6400" width="9" style="1202"/>
    <col min="6401" max="6401" width="4.875" style="1202" customWidth="1"/>
    <col min="6402" max="6402" width="13.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75" style="1202" customWidth="1"/>
    <col min="6414" max="6656" width="9" style="1202"/>
    <col min="6657" max="6657" width="4.875" style="1202" customWidth="1"/>
    <col min="6658" max="6658" width="13.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75" style="1202" customWidth="1"/>
    <col min="6670" max="6912" width="9" style="1202"/>
    <col min="6913" max="6913" width="4.875" style="1202" customWidth="1"/>
    <col min="6914" max="6914" width="13.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75" style="1202" customWidth="1"/>
    <col min="6926" max="7168" width="9" style="1202"/>
    <col min="7169" max="7169" width="4.875" style="1202" customWidth="1"/>
    <col min="7170" max="7170" width="13.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75" style="1202" customWidth="1"/>
    <col min="7182" max="7424" width="9" style="1202"/>
    <col min="7425" max="7425" width="4.875" style="1202" customWidth="1"/>
    <col min="7426" max="7426" width="13.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75" style="1202" customWidth="1"/>
    <col min="7438" max="7680" width="9" style="1202"/>
    <col min="7681" max="7681" width="4.875" style="1202" customWidth="1"/>
    <col min="7682" max="7682" width="13.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75" style="1202" customWidth="1"/>
    <col min="7694" max="7936" width="9" style="1202"/>
    <col min="7937" max="7937" width="4.875" style="1202" customWidth="1"/>
    <col min="7938" max="7938" width="13.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75" style="1202" customWidth="1"/>
    <col min="7950" max="8192" width="9" style="1202"/>
    <col min="8193" max="8193" width="4.875" style="1202" customWidth="1"/>
    <col min="8194" max="8194" width="13.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75" style="1202" customWidth="1"/>
    <col min="8206" max="8448" width="9" style="1202"/>
    <col min="8449" max="8449" width="4.875" style="1202" customWidth="1"/>
    <col min="8450" max="8450" width="13.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75" style="1202" customWidth="1"/>
    <col min="8462" max="8704" width="9" style="1202"/>
    <col min="8705" max="8705" width="4.875" style="1202" customWidth="1"/>
    <col min="8706" max="8706" width="13.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75" style="1202" customWidth="1"/>
    <col min="8718" max="8960" width="9" style="1202"/>
    <col min="8961" max="8961" width="4.875" style="1202" customWidth="1"/>
    <col min="8962" max="8962" width="13.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75" style="1202" customWidth="1"/>
    <col min="8974" max="9216" width="9" style="1202"/>
    <col min="9217" max="9217" width="4.875" style="1202" customWidth="1"/>
    <col min="9218" max="9218" width="13.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75" style="1202" customWidth="1"/>
    <col min="9230" max="9472" width="9" style="1202"/>
    <col min="9473" max="9473" width="4.875" style="1202" customWidth="1"/>
    <col min="9474" max="9474" width="13.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75" style="1202" customWidth="1"/>
    <col min="9486" max="9728" width="9" style="1202"/>
    <col min="9729" max="9729" width="4.875" style="1202" customWidth="1"/>
    <col min="9730" max="9730" width="13.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75" style="1202" customWidth="1"/>
    <col min="9742" max="9984" width="9" style="1202"/>
    <col min="9985" max="9985" width="4.875" style="1202" customWidth="1"/>
    <col min="9986" max="9986" width="13.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75" style="1202" customWidth="1"/>
    <col min="9998" max="10240" width="9" style="1202"/>
    <col min="10241" max="10241" width="4.875" style="1202" customWidth="1"/>
    <col min="10242" max="10242" width="13.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75" style="1202" customWidth="1"/>
    <col min="10254" max="10496" width="9" style="1202"/>
    <col min="10497" max="10497" width="4.875" style="1202" customWidth="1"/>
    <col min="10498" max="10498" width="13.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75" style="1202" customWidth="1"/>
    <col min="10510" max="10752" width="9" style="1202"/>
    <col min="10753" max="10753" width="4.875" style="1202" customWidth="1"/>
    <col min="10754" max="10754" width="13.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75" style="1202" customWidth="1"/>
    <col min="10766" max="11008" width="9" style="1202"/>
    <col min="11009" max="11009" width="4.875" style="1202" customWidth="1"/>
    <col min="11010" max="11010" width="13.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75" style="1202" customWidth="1"/>
    <col min="11022" max="11264" width="9" style="1202"/>
    <col min="11265" max="11265" width="4.875" style="1202" customWidth="1"/>
    <col min="11266" max="11266" width="13.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75" style="1202" customWidth="1"/>
    <col min="11278" max="11520" width="9" style="1202"/>
    <col min="11521" max="11521" width="4.875" style="1202" customWidth="1"/>
    <col min="11522" max="11522" width="13.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75" style="1202" customWidth="1"/>
    <col min="11534" max="11776" width="9" style="1202"/>
    <col min="11777" max="11777" width="4.875" style="1202" customWidth="1"/>
    <col min="11778" max="11778" width="13.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75" style="1202" customWidth="1"/>
    <col min="11790" max="12032" width="9" style="1202"/>
    <col min="12033" max="12033" width="4.875" style="1202" customWidth="1"/>
    <col min="12034" max="12034" width="13.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75" style="1202" customWidth="1"/>
    <col min="12046" max="12288" width="9" style="1202"/>
    <col min="12289" max="12289" width="4.875" style="1202" customWidth="1"/>
    <col min="12290" max="12290" width="13.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75" style="1202" customWidth="1"/>
    <col min="12302" max="12544" width="9" style="1202"/>
    <col min="12545" max="12545" width="4.875" style="1202" customWidth="1"/>
    <col min="12546" max="12546" width="13.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75" style="1202" customWidth="1"/>
    <col min="12558" max="12800" width="9" style="1202"/>
    <col min="12801" max="12801" width="4.875" style="1202" customWidth="1"/>
    <col min="12802" max="12802" width="13.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75" style="1202" customWidth="1"/>
    <col min="12814" max="13056" width="9" style="1202"/>
    <col min="13057" max="13057" width="4.875" style="1202" customWidth="1"/>
    <col min="13058" max="13058" width="13.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75" style="1202" customWidth="1"/>
    <col min="13070" max="13312" width="9" style="1202"/>
    <col min="13313" max="13313" width="4.875" style="1202" customWidth="1"/>
    <col min="13314" max="13314" width="13.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75" style="1202" customWidth="1"/>
    <col min="13326" max="13568" width="9" style="1202"/>
    <col min="13569" max="13569" width="4.875" style="1202" customWidth="1"/>
    <col min="13570" max="13570" width="13.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75" style="1202" customWidth="1"/>
    <col min="13582" max="13824" width="9" style="1202"/>
    <col min="13825" max="13825" width="4.875" style="1202" customWidth="1"/>
    <col min="13826" max="13826" width="13.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75" style="1202" customWidth="1"/>
    <col min="13838" max="14080" width="9" style="1202"/>
    <col min="14081" max="14081" width="4.875" style="1202" customWidth="1"/>
    <col min="14082" max="14082" width="13.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75" style="1202" customWidth="1"/>
    <col min="14094" max="14336" width="9" style="1202"/>
    <col min="14337" max="14337" width="4.875" style="1202" customWidth="1"/>
    <col min="14338" max="14338" width="13.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75" style="1202" customWidth="1"/>
    <col min="14350" max="14592" width="9" style="1202"/>
    <col min="14593" max="14593" width="4.875" style="1202" customWidth="1"/>
    <col min="14594" max="14594" width="13.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75" style="1202" customWidth="1"/>
    <col min="14606" max="14848" width="9" style="1202"/>
    <col min="14849" max="14849" width="4.875" style="1202" customWidth="1"/>
    <col min="14850" max="14850" width="13.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75" style="1202" customWidth="1"/>
    <col min="14862" max="15104" width="9" style="1202"/>
    <col min="15105" max="15105" width="4.875" style="1202" customWidth="1"/>
    <col min="15106" max="15106" width="13.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75" style="1202" customWidth="1"/>
    <col min="15118" max="15360" width="9" style="1202"/>
    <col min="15361" max="15361" width="4.875" style="1202" customWidth="1"/>
    <col min="15362" max="15362" width="13.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75" style="1202" customWidth="1"/>
    <col min="15374" max="15616" width="9" style="1202"/>
    <col min="15617" max="15617" width="4.875" style="1202" customWidth="1"/>
    <col min="15618" max="15618" width="13.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75" style="1202" customWidth="1"/>
    <col min="15630" max="15872" width="9" style="1202"/>
    <col min="15873" max="15873" width="4.875" style="1202" customWidth="1"/>
    <col min="15874" max="15874" width="13.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75" style="1202" customWidth="1"/>
    <col min="15886" max="16128" width="9" style="1202"/>
    <col min="16129" max="16129" width="4.875" style="1202" customWidth="1"/>
    <col min="16130" max="16130" width="13.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75" style="1202" customWidth="1"/>
    <col min="16142" max="16384" width="9" style="1202"/>
  </cols>
  <sheetData>
    <row r="1" spans="1:257" s="1265" customFormat="1" ht="14.25" thickBot="1">
      <c r="A1" s="1260"/>
      <c r="B1" s="1261" t="s">
        <v>1116</v>
      </c>
      <c r="C1" s="1266">
        <f>项目基本情况!D2</f>
        <v>44554</v>
      </c>
      <c r="D1" s="1261" t="s">
        <v>1117</v>
      </c>
      <c r="E1" s="1267">
        <f>'数据-取费表'!B24</f>
        <v>2</v>
      </c>
      <c r="F1" s="1261" t="s">
        <v>1118</v>
      </c>
      <c r="G1" s="1268">
        <f ca="1">INDIRECT("d"&amp;$K$1)/100</f>
        <v>3.85E-2</v>
      </c>
      <c r="H1" s="1261" t="s">
        <v>1148</v>
      </c>
      <c r="I1" s="1268">
        <f ca="1">F4/100</f>
        <v>1.4999999999999999E-2</v>
      </c>
      <c r="J1" s="1262">
        <f>IF(C1&gt;C13,0,MATCH(C1,C$13:C$105,-1))+IF(SUMIF(C13:C105,C1,D13:D105)=0,13,12)</f>
        <v>13</v>
      </c>
      <c r="K1" s="1262">
        <f>MATCH(E1,C3:C7,1)+IF(SUMIF(C3:C7,E1,D3:D7)=0,2,1)</f>
        <v>5</v>
      </c>
      <c r="L1" s="1262">
        <f>IF(C1&gt;M13,0,MATCH(C1,M$13:M$101,-1))+IF(SUMIF(M13:M101,C1,N13:N101)=0,13,12)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3.85</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3.85</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3.85</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3.85</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4.6500000000000004</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43941</v>
      </c>
      <c r="D13" s="1250">
        <v>3.85</v>
      </c>
      <c r="E13" s="1250">
        <f>D13</f>
        <v>3.85</v>
      </c>
      <c r="F13" s="1250">
        <f>D13</f>
        <v>3.85</v>
      </c>
      <c r="G13" s="1250">
        <f>D13</f>
        <v>3.85</v>
      </c>
      <c r="H13" s="1250">
        <v>4.6500000000000004</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c r="B14" s="1254"/>
      <c r="C14" s="1255">
        <v>43881</v>
      </c>
      <c r="D14" s="1254">
        <v>4.05</v>
      </c>
      <c r="E14" s="1254">
        <f>D14</f>
        <v>4.05</v>
      </c>
      <c r="F14" s="1254">
        <f>D14</f>
        <v>4.05</v>
      </c>
      <c r="G14" s="1254">
        <f>D14</f>
        <v>4.05</v>
      </c>
      <c r="H14" s="1254">
        <v>4.75</v>
      </c>
      <c r="I14" s="1254"/>
      <c r="J14" s="1254"/>
      <c r="L14" s="1254"/>
      <c r="M14" s="1255">
        <v>42301</v>
      </c>
      <c r="N14" s="1254">
        <v>0.35</v>
      </c>
      <c r="O14" s="1254">
        <v>1.1000000000000001</v>
      </c>
      <c r="P14" s="1254">
        <v>1.3</v>
      </c>
      <c r="Q14" s="1254">
        <v>1.5</v>
      </c>
      <c r="R14" s="1254">
        <v>2.1</v>
      </c>
      <c r="S14" s="1254">
        <v>2.75</v>
      </c>
      <c r="T14" s="1254"/>
      <c r="U14" s="1254"/>
      <c r="V14" s="1254"/>
      <c r="W14" s="1254"/>
      <c r="X14" s="1254"/>
      <c r="Y14" s="1254"/>
      <c r="Z14" s="1254"/>
    </row>
    <row r="15" spans="1:257">
      <c r="B15" s="1254"/>
      <c r="C15" s="1255">
        <v>43789</v>
      </c>
      <c r="D15" s="1254">
        <v>4.1500000000000004</v>
      </c>
      <c r="E15" s="1254">
        <f>D15</f>
        <v>4.1500000000000004</v>
      </c>
      <c r="F15" s="1254">
        <f>D15</f>
        <v>4.1500000000000004</v>
      </c>
      <c r="G15" s="1254">
        <f>D15</f>
        <v>4.1500000000000004</v>
      </c>
      <c r="H15" s="1254">
        <v>4.8</v>
      </c>
      <c r="I15" s="1254"/>
      <c r="J15" s="1254"/>
      <c r="L15" s="1254"/>
      <c r="M15" s="1255">
        <v>42242</v>
      </c>
      <c r="N15" s="1254">
        <v>0.35</v>
      </c>
      <c r="O15" s="1254">
        <v>1.35</v>
      </c>
      <c r="P15" s="1254">
        <v>1.55</v>
      </c>
      <c r="Q15" s="1254">
        <v>1.75</v>
      </c>
      <c r="R15" s="1254">
        <v>2.35</v>
      </c>
      <c r="S15" s="1254">
        <v>3</v>
      </c>
      <c r="T15" s="1254"/>
      <c r="U15" s="1254"/>
      <c r="V15" s="1254"/>
      <c r="W15" s="1254"/>
      <c r="X15" s="1254"/>
      <c r="Y15" s="1254"/>
      <c r="Z15" s="1254"/>
    </row>
    <row r="16" spans="1:257">
      <c r="B16" s="1254"/>
      <c r="C16" s="1255">
        <v>43728</v>
      </c>
      <c r="D16" s="1254">
        <v>4.2</v>
      </c>
      <c r="E16" s="1254">
        <f>D16</f>
        <v>4.2</v>
      </c>
      <c r="F16" s="1254">
        <f>D16</f>
        <v>4.2</v>
      </c>
      <c r="G16" s="1254">
        <f>D16</f>
        <v>4.2</v>
      </c>
      <c r="H16" s="1254">
        <v>4.8499999999999996</v>
      </c>
      <c r="I16" s="1254"/>
      <c r="J16" s="1254"/>
      <c r="L16" s="1254"/>
      <c r="M16" s="1255">
        <v>42183</v>
      </c>
      <c r="N16" s="1254">
        <v>0.35</v>
      </c>
      <c r="O16" s="1254">
        <v>1.6</v>
      </c>
      <c r="P16" s="1254">
        <v>1.8</v>
      </c>
      <c r="Q16" s="1254">
        <v>2</v>
      </c>
      <c r="R16" s="1254">
        <v>2.6</v>
      </c>
      <c r="S16" s="1254">
        <v>3.25</v>
      </c>
      <c r="T16" s="1254"/>
      <c r="U16" s="1254"/>
      <c r="V16" s="1254"/>
      <c r="W16" s="1254"/>
      <c r="X16" s="1254"/>
      <c r="Y16" s="1254"/>
      <c r="Z16" s="1254"/>
    </row>
    <row r="17" spans="1:256" s="3119" customFormat="1" ht="14.25">
      <c r="A17" s="3116"/>
      <c r="B17" s="1248" t="s">
        <v>2828</v>
      </c>
      <c r="C17" s="1257">
        <v>43697</v>
      </c>
      <c r="D17" s="3117">
        <v>4.25</v>
      </c>
      <c r="E17" s="3117">
        <f>D17</f>
        <v>4.25</v>
      </c>
      <c r="F17" s="3117">
        <f>D17</f>
        <v>4.25</v>
      </c>
      <c r="G17" s="3117">
        <f>D17</f>
        <v>4.25</v>
      </c>
      <c r="H17" s="3117">
        <v>4.8499999999999996</v>
      </c>
      <c r="I17" s="3117"/>
      <c r="J17" s="3117"/>
      <c r="K17" s="3116"/>
      <c r="L17" s="1254"/>
      <c r="M17" s="1255">
        <v>42135</v>
      </c>
      <c r="N17" s="1254">
        <v>0.35</v>
      </c>
      <c r="O17" s="1254">
        <v>1.85</v>
      </c>
      <c r="P17" s="1254">
        <v>2.0499999999999998</v>
      </c>
      <c r="Q17" s="1254">
        <v>2.25</v>
      </c>
      <c r="R17" s="1254">
        <v>2.85</v>
      </c>
      <c r="S17" s="1254">
        <v>3.5</v>
      </c>
      <c r="T17" s="1254"/>
      <c r="U17" s="1254"/>
      <c r="V17" s="1254"/>
      <c r="W17" s="1254"/>
      <c r="X17" s="1254"/>
      <c r="Y17" s="1254"/>
      <c r="Z17" s="1254"/>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c r="BA17" s="3118"/>
      <c r="BB17" s="3118"/>
      <c r="BC17" s="3118"/>
      <c r="BD17" s="3118"/>
      <c r="BE17" s="3118"/>
      <c r="BF17" s="3118"/>
      <c r="BG17" s="3118"/>
      <c r="BH17" s="3118"/>
      <c r="BI17" s="3118"/>
      <c r="BJ17" s="3118"/>
      <c r="BK17" s="3118"/>
      <c r="BL17" s="3118"/>
      <c r="BM17" s="3118"/>
      <c r="BN17" s="3118"/>
      <c r="BO17" s="3118"/>
      <c r="BP17" s="3118"/>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8"/>
      <c r="CU17" s="3118"/>
      <c r="CV17" s="3118"/>
      <c r="CW17" s="3118"/>
      <c r="CX17" s="3118"/>
      <c r="CY17" s="3118"/>
      <c r="CZ17" s="3118"/>
      <c r="DA17" s="3118"/>
      <c r="DB17" s="3118"/>
      <c r="DC17" s="3118"/>
      <c r="DD17" s="3118"/>
      <c r="DE17" s="3118"/>
      <c r="DF17" s="3118"/>
      <c r="DG17" s="3118"/>
      <c r="DH17" s="3118"/>
      <c r="DI17" s="3118"/>
      <c r="DJ17" s="3118"/>
      <c r="DK17" s="3118"/>
      <c r="DL17" s="3118"/>
      <c r="DM17" s="3118"/>
      <c r="DN17" s="3118"/>
      <c r="DO17" s="3118"/>
      <c r="DP17" s="3118"/>
      <c r="DQ17" s="3118"/>
      <c r="DR17" s="3118"/>
      <c r="DS17" s="3118"/>
      <c r="DT17" s="3118"/>
      <c r="DU17" s="3118"/>
      <c r="DV17" s="3118"/>
      <c r="DW17" s="3118"/>
      <c r="DX17" s="3118"/>
      <c r="DY17" s="3118"/>
      <c r="DZ17" s="3118"/>
      <c r="EA17" s="3118"/>
      <c r="EB17" s="3118"/>
      <c r="EC17" s="3118"/>
      <c r="ED17" s="3118"/>
      <c r="EE17" s="3118"/>
      <c r="EF17" s="3118"/>
      <c r="EG17" s="3118"/>
      <c r="EH17" s="3118"/>
      <c r="EI17" s="3118"/>
      <c r="EJ17" s="3118"/>
      <c r="EK17" s="3118"/>
      <c r="EL17" s="3118"/>
      <c r="EM17" s="3118"/>
      <c r="EN17" s="3118"/>
      <c r="EO17" s="3118"/>
      <c r="EP17" s="3118"/>
      <c r="EQ17" s="3118"/>
      <c r="ER17" s="3118"/>
      <c r="ES17" s="3118"/>
      <c r="ET17" s="3118"/>
      <c r="EU17" s="3118"/>
      <c r="EV17" s="3118"/>
      <c r="EW17" s="3118"/>
      <c r="EX17" s="3118"/>
      <c r="EY17" s="3118"/>
      <c r="EZ17" s="3118"/>
      <c r="FA17" s="3118"/>
      <c r="FB17" s="3118"/>
      <c r="FC17" s="3118"/>
      <c r="FD17" s="3118"/>
      <c r="FE17" s="3118"/>
      <c r="FF17" s="3118"/>
      <c r="FG17" s="3118"/>
      <c r="FH17" s="3118"/>
      <c r="FI17" s="3118"/>
      <c r="FJ17" s="3118"/>
      <c r="FK17" s="3118"/>
      <c r="FL17" s="3118"/>
      <c r="FM17" s="3118"/>
      <c r="FN17" s="3118"/>
      <c r="FO17" s="3118"/>
      <c r="FP17" s="3118"/>
      <c r="FQ17" s="3118"/>
      <c r="FR17" s="3118"/>
      <c r="FS17" s="3118"/>
      <c r="FT17" s="3118"/>
      <c r="FU17" s="3118"/>
      <c r="FV17" s="3118"/>
      <c r="FW17" s="3118"/>
      <c r="FX17" s="3118"/>
      <c r="FY17" s="3118"/>
      <c r="FZ17" s="3118"/>
      <c r="GA17" s="3118"/>
      <c r="GB17" s="3118"/>
      <c r="GC17" s="3118"/>
      <c r="GD17" s="3118"/>
      <c r="GE17" s="3118"/>
      <c r="GF17" s="3118"/>
      <c r="GG17" s="3118"/>
      <c r="GH17" s="3118"/>
      <c r="GI17" s="3118"/>
      <c r="GJ17" s="3118"/>
      <c r="GK17" s="3118"/>
      <c r="GL17" s="3118"/>
      <c r="GM17" s="3118"/>
      <c r="GN17" s="3118"/>
      <c r="GO17" s="3118"/>
      <c r="GP17" s="3118"/>
      <c r="GQ17" s="3118"/>
      <c r="GR17" s="3118"/>
      <c r="GS17" s="3118"/>
      <c r="GT17" s="3118"/>
      <c r="GU17" s="3118"/>
      <c r="GV17" s="3118"/>
      <c r="GW17" s="3118"/>
      <c r="GX17" s="3118"/>
      <c r="GY17" s="3118"/>
      <c r="GZ17" s="3118"/>
      <c r="HA17" s="3118"/>
      <c r="HB17" s="3118"/>
      <c r="HC17" s="3118"/>
      <c r="HD17" s="3118"/>
      <c r="HE17" s="3118"/>
      <c r="HF17" s="3118"/>
      <c r="HG17" s="3118"/>
      <c r="HH17" s="3118"/>
      <c r="HI17" s="3118"/>
      <c r="HJ17" s="3118"/>
      <c r="HK17" s="3118"/>
      <c r="HL17" s="3118"/>
      <c r="HM17" s="3118"/>
      <c r="HN17" s="3118"/>
      <c r="HO17" s="3118"/>
      <c r="HP17" s="3118"/>
      <c r="HQ17" s="3118"/>
      <c r="HR17" s="3118"/>
      <c r="HS17" s="3118"/>
      <c r="HT17" s="3118"/>
      <c r="HU17" s="3118"/>
      <c r="HV17" s="3118"/>
      <c r="HW17" s="3118"/>
      <c r="HX17" s="3118"/>
      <c r="HY17" s="3118"/>
      <c r="HZ17" s="3118"/>
      <c r="IA17" s="3118"/>
      <c r="IB17" s="3118"/>
      <c r="IC17" s="3118"/>
      <c r="ID17" s="3118"/>
      <c r="IE17" s="3118"/>
      <c r="IF17" s="3118"/>
      <c r="IG17" s="3118"/>
      <c r="IH17" s="3118"/>
      <c r="II17" s="3118"/>
      <c r="IJ17" s="3118"/>
      <c r="IK17" s="3118"/>
      <c r="IL17" s="3118"/>
      <c r="IM17" s="3118"/>
      <c r="IN17" s="3118"/>
      <c r="IO17" s="3118"/>
      <c r="IP17" s="3118"/>
      <c r="IQ17" s="3118"/>
      <c r="IR17" s="3118"/>
      <c r="IS17" s="3118"/>
      <c r="IT17" s="3118"/>
      <c r="IU17" s="3118"/>
      <c r="IV17" s="3118"/>
    </row>
    <row r="18" spans="1:256">
      <c r="B18" s="1254"/>
      <c r="C18" s="1255">
        <v>42301</v>
      </c>
      <c r="D18" s="1254">
        <v>4.3499999999999996</v>
      </c>
      <c r="E18" s="1254">
        <v>4.3499999999999996</v>
      </c>
      <c r="F18" s="1254">
        <v>4.75</v>
      </c>
      <c r="G18" s="1254">
        <v>4.75</v>
      </c>
      <c r="H18" s="1254">
        <v>4.9000000000000004</v>
      </c>
      <c r="I18" s="1254">
        <v>2.75</v>
      </c>
      <c r="J18" s="1254">
        <v>3.25</v>
      </c>
      <c r="L18" s="1254"/>
      <c r="M18" s="1255">
        <v>42064</v>
      </c>
      <c r="N18" s="1254">
        <v>0.35</v>
      </c>
      <c r="O18" s="1254">
        <v>2.1</v>
      </c>
      <c r="P18" s="1254">
        <v>2.2999999999999998</v>
      </c>
      <c r="Q18" s="1254">
        <v>2.5</v>
      </c>
      <c r="R18" s="1254">
        <v>3.1</v>
      </c>
      <c r="S18" s="1254">
        <v>3.75</v>
      </c>
      <c r="T18" s="1254">
        <v>4.5</v>
      </c>
      <c r="U18" s="1254">
        <v>2.35</v>
      </c>
      <c r="V18" s="1254">
        <v>2.5499999999999998</v>
      </c>
      <c r="W18" s="1254">
        <v>2.75</v>
      </c>
      <c r="X18" s="1254"/>
      <c r="Y18" s="1254">
        <v>0.8</v>
      </c>
      <c r="Z18" s="1254">
        <v>1.35</v>
      </c>
    </row>
    <row r="19" spans="1:256" ht="15">
      <c r="B19" s="1254"/>
      <c r="C19" s="1255">
        <v>42242</v>
      </c>
      <c r="D19" s="1254">
        <v>4.5999999999999996</v>
      </c>
      <c r="E19" s="1254">
        <v>4.5999999999999996</v>
      </c>
      <c r="F19" s="1254">
        <v>5</v>
      </c>
      <c r="G19" s="1254">
        <v>5</v>
      </c>
      <c r="H19" s="1254">
        <v>5.15</v>
      </c>
      <c r="I19" s="1254">
        <v>2.75</v>
      </c>
      <c r="J19" s="1254">
        <v>3.25</v>
      </c>
      <c r="L19" s="1254"/>
      <c r="M19" s="1255">
        <v>41965</v>
      </c>
      <c r="N19" s="1254">
        <v>0.35</v>
      </c>
      <c r="O19" s="1254">
        <v>2.35</v>
      </c>
      <c r="P19" s="1254">
        <v>2.5499999999999998</v>
      </c>
      <c r="Q19" s="1254">
        <v>2.75</v>
      </c>
      <c r="R19" s="1254">
        <v>3.35</v>
      </c>
      <c r="S19" s="1254">
        <v>4</v>
      </c>
      <c r="T19" s="1254">
        <v>4.75</v>
      </c>
      <c r="U19" s="1256">
        <v>2.35</v>
      </c>
      <c r="V19" s="1256">
        <v>2.5499999999999998</v>
      </c>
      <c r="W19" s="1256">
        <v>2.75</v>
      </c>
      <c r="X19" s="1254"/>
      <c r="Y19" s="1256">
        <v>0.8</v>
      </c>
      <c r="Z19" s="1256">
        <v>1.35</v>
      </c>
    </row>
    <row r="20" spans="1:256">
      <c r="B20" s="1254"/>
      <c r="C20" s="1255">
        <v>42183</v>
      </c>
      <c r="D20" s="1254">
        <v>4.8499999999999996</v>
      </c>
      <c r="E20" s="1254">
        <v>4.8499999999999996</v>
      </c>
      <c r="F20" s="1254">
        <v>5.25</v>
      </c>
      <c r="G20" s="1254">
        <v>5.25</v>
      </c>
      <c r="H20" s="1254">
        <v>5.4</v>
      </c>
      <c r="I20" s="1254">
        <v>3</v>
      </c>
      <c r="J20" s="1254">
        <v>3.5</v>
      </c>
      <c r="L20" s="1254"/>
      <c r="M20" s="1255">
        <v>41096</v>
      </c>
      <c r="N20" s="1254">
        <v>0.35</v>
      </c>
      <c r="O20" s="1254">
        <v>2.6</v>
      </c>
      <c r="P20" s="1254">
        <v>2.8</v>
      </c>
      <c r="Q20" s="1254">
        <v>3</v>
      </c>
      <c r="R20" s="1254">
        <v>3.75</v>
      </c>
      <c r="S20" s="1254">
        <v>4.25</v>
      </c>
      <c r="T20" s="1254">
        <v>4.75</v>
      </c>
      <c r="U20" s="1254">
        <v>2.85</v>
      </c>
      <c r="V20" s="1254">
        <v>2.9</v>
      </c>
      <c r="W20" s="1254">
        <v>3</v>
      </c>
      <c r="X20" s="1254">
        <v>1.1499999999999999</v>
      </c>
      <c r="Y20" s="1254">
        <v>0.8</v>
      </c>
      <c r="Z20" s="1254">
        <v>1.35</v>
      </c>
    </row>
    <row r="21" spans="1:256">
      <c r="B21" s="1254"/>
      <c r="C21" s="1255">
        <v>42135</v>
      </c>
      <c r="D21" s="1254">
        <v>5.0999999999999996</v>
      </c>
      <c r="E21" s="1254">
        <v>5.0999999999999996</v>
      </c>
      <c r="F21" s="1254">
        <v>5.5</v>
      </c>
      <c r="G21" s="1254">
        <v>5.5</v>
      </c>
      <c r="H21" s="1254">
        <v>5.65</v>
      </c>
      <c r="I21" s="1254">
        <v>3.25</v>
      </c>
      <c r="J21" s="1254">
        <v>3.75</v>
      </c>
      <c r="L21" s="1254"/>
      <c r="M21" s="1255">
        <v>41068</v>
      </c>
      <c r="N21" s="1254">
        <v>0.4</v>
      </c>
      <c r="O21" s="1254">
        <v>2.85</v>
      </c>
      <c r="P21" s="1254">
        <v>3.05</v>
      </c>
      <c r="Q21" s="1254">
        <v>3.25</v>
      </c>
      <c r="R21" s="1254">
        <v>4.0999999999999996</v>
      </c>
      <c r="S21" s="1254">
        <v>4.6500000000000004</v>
      </c>
      <c r="T21" s="1254">
        <v>5.0999999999999996</v>
      </c>
      <c r="U21" s="1254">
        <v>3.1</v>
      </c>
      <c r="V21" s="1254">
        <v>3.15</v>
      </c>
      <c r="W21" s="1254">
        <v>3.25</v>
      </c>
      <c r="X21" s="1254">
        <v>1.31</v>
      </c>
      <c r="Y21" s="1254">
        <v>0.94</v>
      </c>
      <c r="Z21" s="1254">
        <v>1.49</v>
      </c>
    </row>
    <row r="22" spans="1:256">
      <c r="B22" s="1254"/>
      <c r="C22" s="1255">
        <v>42064</v>
      </c>
      <c r="D22" s="1254">
        <v>5.35</v>
      </c>
      <c r="E22" s="1254">
        <v>5.35</v>
      </c>
      <c r="F22" s="1254">
        <v>5.75</v>
      </c>
      <c r="G22" s="1254">
        <v>5.75</v>
      </c>
      <c r="H22" s="1254">
        <v>5.9</v>
      </c>
      <c r="I22" s="1254"/>
      <c r="J22" s="1254"/>
      <c r="L22" s="1254"/>
      <c r="M22" s="1255">
        <v>40731</v>
      </c>
      <c r="N22" s="1254">
        <v>0.5</v>
      </c>
      <c r="O22" s="1254">
        <v>3.1</v>
      </c>
      <c r="P22" s="1254">
        <v>3.3</v>
      </c>
      <c r="Q22" s="1254">
        <v>3.5</v>
      </c>
      <c r="R22" s="1254">
        <v>4.4000000000000004</v>
      </c>
      <c r="S22" s="1254">
        <v>5</v>
      </c>
      <c r="T22" s="1254">
        <v>5.5</v>
      </c>
      <c r="U22" s="1254">
        <v>3.1</v>
      </c>
      <c r="V22" s="1254">
        <v>3.3</v>
      </c>
      <c r="W22" s="1254">
        <v>3.5</v>
      </c>
      <c r="X22" s="1254">
        <v>1.31</v>
      </c>
      <c r="Y22" s="1254">
        <v>0.95</v>
      </c>
      <c r="Z22" s="1254">
        <v>1.49</v>
      </c>
    </row>
    <row r="23" spans="1:256">
      <c r="B23" s="1254"/>
      <c r="C23" s="1255">
        <v>41965</v>
      </c>
      <c r="D23" s="1254">
        <v>5.6</v>
      </c>
      <c r="E23" s="1254">
        <v>5.6</v>
      </c>
      <c r="F23" s="1254">
        <v>6</v>
      </c>
      <c r="G23" s="1254">
        <v>6</v>
      </c>
      <c r="H23" s="1254">
        <v>6.15</v>
      </c>
      <c r="I23" s="1254"/>
      <c r="J23" s="1254"/>
      <c r="L23" s="1254"/>
      <c r="M23" s="1255">
        <v>40639</v>
      </c>
      <c r="N23" s="1254">
        <v>0.5</v>
      </c>
      <c r="O23" s="1254">
        <v>2.85</v>
      </c>
      <c r="P23" s="1254">
        <v>3.05</v>
      </c>
      <c r="Q23" s="1254">
        <v>3.25</v>
      </c>
      <c r="R23" s="1254">
        <v>4.1500000000000004</v>
      </c>
      <c r="S23" s="1254">
        <v>4.75</v>
      </c>
      <c r="T23" s="1254">
        <v>5.25</v>
      </c>
      <c r="U23" s="1254">
        <v>2.85</v>
      </c>
      <c r="V23" s="1254">
        <v>3.05</v>
      </c>
      <c r="W23" s="1254">
        <v>3.25</v>
      </c>
      <c r="X23" s="1254">
        <v>1.31</v>
      </c>
      <c r="Y23" s="1254">
        <v>0.95</v>
      </c>
      <c r="Z23" s="1254">
        <v>1.49</v>
      </c>
    </row>
    <row r="24" spans="1:256">
      <c r="B24" s="1254"/>
      <c r="C24" s="1255">
        <v>41096</v>
      </c>
      <c r="D24" s="1254">
        <v>5.6</v>
      </c>
      <c r="E24" s="1254">
        <v>6</v>
      </c>
      <c r="F24" s="1254">
        <v>6.15</v>
      </c>
      <c r="G24" s="1254">
        <v>6.4</v>
      </c>
      <c r="H24" s="1254">
        <v>6.55</v>
      </c>
      <c r="I24" s="1254">
        <v>4</v>
      </c>
      <c r="J24" s="1254">
        <v>4.5</v>
      </c>
      <c r="L24" s="1254"/>
      <c r="M24" s="1255">
        <v>40583</v>
      </c>
      <c r="N24" s="1254">
        <v>0.4</v>
      </c>
      <c r="O24" s="1254">
        <v>2.6</v>
      </c>
      <c r="P24" s="1254">
        <v>2.8</v>
      </c>
      <c r="Q24" s="1254">
        <v>3</v>
      </c>
      <c r="R24" s="1254">
        <v>3.9</v>
      </c>
      <c r="S24" s="1254">
        <v>4.5</v>
      </c>
      <c r="T24" s="1254">
        <v>5</v>
      </c>
      <c r="U24" s="1254">
        <v>2.6</v>
      </c>
      <c r="V24" s="1254">
        <v>2.8</v>
      </c>
      <c r="W24" s="1254">
        <v>3</v>
      </c>
      <c r="X24" s="1254">
        <v>1.21</v>
      </c>
      <c r="Y24" s="1254">
        <v>0.85</v>
      </c>
      <c r="Z24" s="1254">
        <v>1.39</v>
      </c>
    </row>
    <row r="25" spans="1:256">
      <c r="B25" s="1254"/>
      <c r="C25" s="1255">
        <v>41068</v>
      </c>
      <c r="D25" s="1254">
        <v>5.85</v>
      </c>
      <c r="E25" s="1254">
        <v>6.31</v>
      </c>
      <c r="F25" s="1254">
        <v>6.4</v>
      </c>
      <c r="G25" s="1254">
        <v>6.65</v>
      </c>
      <c r="H25" s="1254">
        <v>6.8</v>
      </c>
      <c r="I25" s="1254">
        <v>4.2</v>
      </c>
      <c r="J25" s="1254">
        <v>4.7</v>
      </c>
      <c r="L25" s="1254"/>
      <c r="M25" s="1255">
        <v>40538</v>
      </c>
      <c r="N25" s="1254">
        <v>0.36</v>
      </c>
      <c r="O25" s="1254">
        <v>2.25</v>
      </c>
      <c r="P25" s="1254">
        <v>2.5</v>
      </c>
      <c r="Q25" s="1254">
        <v>2.75</v>
      </c>
      <c r="R25" s="1254">
        <v>3.55</v>
      </c>
      <c r="S25" s="1254">
        <v>4.1500000000000004</v>
      </c>
      <c r="T25" s="1254">
        <v>4.55</v>
      </c>
      <c r="U25" s="1254">
        <v>2.16</v>
      </c>
      <c r="V25" s="1254">
        <v>2.5</v>
      </c>
      <c r="W25" s="1254">
        <v>2.85</v>
      </c>
      <c r="X25" s="1254">
        <v>1.17</v>
      </c>
      <c r="Y25" s="1254">
        <v>0.81</v>
      </c>
      <c r="Z25" s="1254">
        <v>1.35</v>
      </c>
    </row>
    <row r="26" spans="1:256">
      <c r="B26" s="1254"/>
      <c r="C26" s="1255">
        <v>40731</v>
      </c>
      <c r="D26" s="1254">
        <v>6.1</v>
      </c>
      <c r="E26" s="1254">
        <v>6.56</v>
      </c>
      <c r="F26" s="1254">
        <v>6.65</v>
      </c>
      <c r="G26" s="1254">
        <v>6.9</v>
      </c>
      <c r="H26" s="1254">
        <v>7.05</v>
      </c>
      <c r="I26" s="1254">
        <v>4.45</v>
      </c>
      <c r="J26" s="1254">
        <v>4.9000000000000004</v>
      </c>
      <c r="L26" s="1254"/>
      <c r="M26" s="1255">
        <v>40471</v>
      </c>
      <c r="N26" s="1254">
        <v>0.36</v>
      </c>
      <c r="O26" s="1254">
        <v>1.91</v>
      </c>
      <c r="P26" s="1254">
        <v>2.2000000000000002</v>
      </c>
      <c r="Q26" s="1254">
        <v>2.5</v>
      </c>
      <c r="R26" s="1254">
        <v>3.25</v>
      </c>
      <c r="S26" s="1254">
        <v>3.85</v>
      </c>
      <c r="T26" s="1254">
        <v>4.2</v>
      </c>
      <c r="U26" s="1254">
        <v>1.91</v>
      </c>
      <c r="V26" s="1254">
        <v>2.2000000000000002</v>
      </c>
      <c r="W26" s="1254">
        <v>2.5</v>
      </c>
      <c r="X26" s="1254">
        <v>1.17</v>
      </c>
      <c r="Y26" s="1254">
        <v>0.81</v>
      </c>
      <c r="Z26" s="1254">
        <v>1.35</v>
      </c>
    </row>
    <row r="27" spans="1:256">
      <c r="B27" s="1254"/>
      <c r="C27" s="1255">
        <v>40639</v>
      </c>
      <c r="D27" s="1254">
        <v>5.85</v>
      </c>
      <c r="E27" s="1254">
        <v>6.31</v>
      </c>
      <c r="F27" s="1254">
        <v>6.4</v>
      </c>
      <c r="G27" s="1254">
        <v>6.65</v>
      </c>
      <c r="H27" s="1254">
        <v>6.8</v>
      </c>
      <c r="I27" s="1254">
        <v>4.2</v>
      </c>
      <c r="J27" s="1254">
        <v>4.7</v>
      </c>
      <c r="L27" s="1254"/>
      <c r="M27" s="1255">
        <v>39805</v>
      </c>
      <c r="N27" s="1254">
        <v>0.36</v>
      </c>
      <c r="O27" s="1254">
        <v>1.71</v>
      </c>
      <c r="P27" s="1254">
        <v>1.98</v>
      </c>
      <c r="Q27" s="1254">
        <v>2.25</v>
      </c>
      <c r="R27" s="1254">
        <v>2.79</v>
      </c>
      <c r="S27" s="1254">
        <v>3.33</v>
      </c>
      <c r="T27" s="1254">
        <v>3.6</v>
      </c>
      <c r="U27" s="1254">
        <v>1.71</v>
      </c>
      <c r="V27" s="1254">
        <v>1.98</v>
      </c>
      <c r="W27" s="1254">
        <v>2.25</v>
      </c>
      <c r="X27" s="1254">
        <v>1.17</v>
      </c>
      <c r="Y27" s="1254">
        <v>0.81</v>
      </c>
      <c r="Z27" s="1254">
        <v>1.35</v>
      </c>
    </row>
    <row r="28" spans="1:256">
      <c r="B28" s="1254"/>
      <c r="C28" s="1255">
        <v>40583</v>
      </c>
      <c r="D28" s="1254">
        <v>5.6</v>
      </c>
      <c r="E28" s="1254">
        <v>6.06</v>
      </c>
      <c r="F28" s="1254">
        <v>6.1</v>
      </c>
      <c r="G28" s="1254">
        <v>6.45</v>
      </c>
      <c r="H28" s="1254">
        <v>6.6</v>
      </c>
      <c r="I28" s="1254">
        <v>4</v>
      </c>
      <c r="J28" s="1254">
        <v>4.5</v>
      </c>
      <c r="L28" s="1254"/>
      <c r="M28" s="1255">
        <v>39779</v>
      </c>
      <c r="N28" s="1254">
        <v>0.36</v>
      </c>
      <c r="O28" s="1254">
        <v>1.98</v>
      </c>
      <c r="P28" s="1254">
        <v>2.25</v>
      </c>
      <c r="Q28" s="1254">
        <v>2.52</v>
      </c>
      <c r="R28" s="1254">
        <v>3.06</v>
      </c>
      <c r="S28" s="1254">
        <v>3.6</v>
      </c>
      <c r="T28" s="1254">
        <v>3.87</v>
      </c>
      <c r="U28" s="1254">
        <v>1.98</v>
      </c>
      <c r="V28" s="1254">
        <v>2.25</v>
      </c>
      <c r="W28" s="1254">
        <v>2.52</v>
      </c>
      <c r="X28" s="1254">
        <v>1.17</v>
      </c>
      <c r="Y28" s="1254">
        <v>0.81</v>
      </c>
      <c r="Z28" s="1254">
        <v>1.35</v>
      </c>
    </row>
    <row r="29" spans="1:256">
      <c r="B29" s="1254"/>
      <c r="C29" s="1255">
        <v>40538</v>
      </c>
      <c r="D29" s="1254">
        <v>5.35</v>
      </c>
      <c r="E29" s="1254">
        <v>5.81</v>
      </c>
      <c r="F29" s="1254">
        <v>5.85</v>
      </c>
      <c r="G29" s="1254">
        <v>6.22</v>
      </c>
      <c r="H29" s="1254">
        <v>6.4</v>
      </c>
      <c r="I29" s="1254">
        <v>3.75</v>
      </c>
      <c r="J29" s="1254">
        <v>4.3</v>
      </c>
      <c r="L29" s="1254"/>
      <c r="M29" s="1255">
        <v>39751</v>
      </c>
      <c r="N29" s="1254">
        <v>0.72</v>
      </c>
      <c r="O29" s="1254">
        <v>2.88</v>
      </c>
      <c r="P29" s="1254">
        <v>3.24</v>
      </c>
      <c r="Q29" s="1254">
        <v>3.6</v>
      </c>
      <c r="R29" s="1254">
        <v>4.1399999999999997</v>
      </c>
      <c r="S29" s="1254">
        <v>4.7699999999999996</v>
      </c>
      <c r="T29" s="1254">
        <v>5.13</v>
      </c>
      <c r="U29" s="1254">
        <v>2.88</v>
      </c>
      <c r="V29" s="1254">
        <v>3.24</v>
      </c>
      <c r="W29" s="1254">
        <v>3.6</v>
      </c>
      <c r="X29" s="1254">
        <v>1.53</v>
      </c>
      <c r="Y29" s="1254">
        <v>1.17</v>
      </c>
      <c r="Z29" s="1254">
        <v>1.71</v>
      </c>
    </row>
    <row r="30" spans="1:256">
      <c r="B30" s="1254"/>
      <c r="C30" s="1255">
        <v>40471</v>
      </c>
      <c r="D30" s="1254">
        <v>5.0999999999999996</v>
      </c>
      <c r="E30" s="1254">
        <v>5.56</v>
      </c>
      <c r="F30" s="1254">
        <v>5.6</v>
      </c>
      <c r="G30" s="1254">
        <v>5.96</v>
      </c>
      <c r="H30" s="1254">
        <v>6.14</v>
      </c>
      <c r="I30" s="1254">
        <v>3.5</v>
      </c>
      <c r="J30" s="1254">
        <v>4.05</v>
      </c>
      <c r="L30" s="1254"/>
      <c r="M30" s="1257">
        <v>39736</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39805</v>
      </c>
      <c r="D31" s="1254">
        <v>4.8600000000000003</v>
      </c>
      <c r="E31" s="1254">
        <v>5.31</v>
      </c>
      <c r="F31" s="1254">
        <v>5.4</v>
      </c>
      <c r="G31" s="1254">
        <v>5.76</v>
      </c>
      <c r="H31" s="1254">
        <v>5.94</v>
      </c>
      <c r="I31" s="1254">
        <v>3.33</v>
      </c>
      <c r="J31" s="1254">
        <v>3.87</v>
      </c>
      <c r="L31" s="1254"/>
      <c r="M31" s="1255">
        <v>39730</v>
      </c>
      <c r="N31" s="1254">
        <v>0.72</v>
      </c>
      <c r="O31" s="1254">
        <v>3.15</v>
      </c>
      <c r="P31" s="1254">
        <v>3.51</v>
      </c>
      <c r="Q31" s="1254">
        <v>3.87</v>
      </c>
      <c r="R31" s="1254">
        <v>4.41</v>
      </c>
      <c r="S31" s="1254">
        <v>5.13</v>
      </c>
      <c r="T31" s="1254">
        <v>5.58</v>
      </c>
      <c r="U31" s="1254">
        <v>3.15</v>
      </c>
      <c r="V31" s="1254">
        <v>3.51</v>
      </c>
      <c r="W31" s="1254">
        <v>3.87</v>
      </c>
      <c r="X31" s="1254">
        <v>1.53</v>
      </c>
      <c r="Y31" s="1254">
        <v>1.17</v>
      </c>
      <c r="Z31" s="1254">
        <v>1.71</v>
      </c>
    </row>
    <row r="32" spans="1:256">
      <c r="B32" s="1254"/>
      <c r="C32" s="1255">
        <v>39779</v>
      </c>
      <c r="D32" s="1254">
        <v>5.04</v>
      </c>
      <c r="E32" s="1254">
        <v>5.58</v>
      </c>
      <c r="F32" s="1254">
        <v>5.67</v>
      </c>
      <c r="G32" s="1254">
        <v>5.94</v>
      </c>
      <c r="H32" s="1254">
        <v>6.12</v>
      </c>
      <c r="I32" s="1254">
        <v>3.51</v>
      </c>
      <c r="J32" s="1254">
        <v>4.05</v>
      </c>
      <c r="L32" s="1254"/>
      <c r="M32" s="1255">
        <v>39437</v>
      </c>
      <c r="N32" s="1254">
        <v>0.72</v>
      </c>
      <c r="O32" s="1254">
        <v>3.33</v>
      </c>
      <c r="P32" s="1254">
        <v>3.78</v>
      </c>
      <c r="Q32" s="1254">
        <v>4.1399999999999997</v>
      </c>
      <c r="R32" s="1254">
        <v>4.68</v>
      </c>
      <c r="S32" s="1254">
        <v>5.4</v>
      </c>
      <c r="T32" s="1254">
        <v>5.85</v>
      </c>
      <c r="U32" s="1254">
        <v>3.33</v>
      </c>
      <c r="V32" s="1254">
        <v>3.78</v>
      </c>
      <c r="W32" s="1254">
        <v>4.1399999999999997</v>
      </c>
      <c r="X32" s="1254">
        <v>1.53</v>
      </c>
      <c r="Y32" s="1254">
        <v>1.17</v>
      </c>
      <c r="Z32" s="1254">
        <v>1.71</v>
      </c>
    </row>
    <row r="33" spans="2:26">
      <c r="B33" s="1254"/>
      <c r="C33" s="1255">
        <v>39751</v>
      </c>
      <c r="D33" s="1254">
        <v>6.03</v>
      </c>
      <c r="E33" s="1254">
        <v>6.66</v>
      </c>
      <c r="F33" s="1254">
        <v>6.75</v>
      </c>
      <c r="G33" s="1254">
        <v>7.02</v>
      </c>
      <c r="H33" s="1254">
        <v>7.2</v>
      </c>
      <c r="I33" s="1254">
        <v>4.05</v>
      </c>
      <c r="J33" s="1254">
        <v>4.59</v>
      </c>
      <c r="L33" s="1254"/>
      <c r="M33" s="1255">
        <v>39340</v>
      </c>
      <c r="N33" s="1254">
        <v>0.81</v>
      </c>
      <c r="O33" s="1254">
        <v>2.88</v>
      </c>
      <c r="P33" s="1254">
        <v>3.42</v>
      </c>
      <c r="Q33" s="1254">
        <v>3.87</v>
      </c>
      <c r="R33" s="1254">
        <v>4.5</v>
      </c>
      <c r="S33" s="1254">
        <v>5.22</v>
      </c>
      <c r="T33" s="1254">
        <v>5.76</v>
      </c>
      <c r="U33" s="1254">
        <v>2.88</v>
      </c>
      <c r="V33" s="1254">
        <v>3.42</v>
      </c>
      <c r="W33" s="1254">
        <v>3.87</v>
      </c>
      <c r="X33" s="1254">
        <v>1.53</v>
      </c>
      <c r="Y33" s="1254">
        <v>1.17</v>
      </c>
      <c r="Z33" s="1254">
        <v>1.71</v>
      </c>
    </row>
    <row r="34" spans="2:26">
      <c r="B34" s="1254"/>
      <c r="C34" s="1257">
        <v>39748</v>
      </c>
      <c r="D34" s="1254">
        <v>6.12</v>
      </c>
      <c r="E34" s="1254">
        <v>6.93</v>
      </c>
      <c r="F34" s="1254">
        <v>7.02</v>
      </c>
      <c r="G34" s="1254">
        <v>7.29</v>
      </c>
      <c r="H34" s="1254">
        <v>7.47</v>
      </c>
      <c r="I34" s="1254">
        <v>4.05</v>
      </c>
      <c r="J34" s="1254">
        <v>4.59</v>
      </c>
      <c r="L34" s="1254"/>
      <c r="M34" s="1255">
        <v>39316</v>
      </c>
      <c r="N34" s="1254">
        <v>0.81</v>
      </c>
      <c r="O34" s="1254">
        <v>2.61</v>
      </c>
      <c r="P34" s="1254">
        <v>3.15</v>
      </c>
      <c r="Q34" s="1254">
        <v>3.6</v>
      </c>
      <c r="R34" s="1254">
        <v>4.2300000000000004</v>
      </c>
      <c r="S34" s="1254">
        <v>4.95</v>
      </c>
      <c r="T34" s="1254">
        <v>5.49</v>
      </c>
      <c r="U34" s="1254">
        <v>2.61</v>
      </c>
      <c r="V34" s="1254">
        <v>3.15</v>
      </c>
      <c r="W34" s="1254">
        <v>3.6</v>
      </c>
      <c r="X34" s="1254">
        <v>1.53</v>
      </c>
      <c r="Y34" s="1254">
        <v>1.17</v>
      </c>
      <c r="Z34" s="1254">
        <v>1.71</v>
      </c>
    </row>
    <row r="35" spans="2:26">
      <c r="B35" s="1254"/>
      <c r="C35" s="1255">
        <v>39730</v>
      </c>
      <c r="D35" s="1254">
        <v>6.12</v>
      </c>
      <c r="E35" s="1254">
        <v>6.93</v>
      </c>
      <c r="F35" s="1254">
        <v>7.02</v>
      </c>
      <c r="G35" s="1254">
        <v>7.29</v>
      </c>
      <c r="H35" s="1254">
        <v>7.47</v>
      </c>
      <c r="I35" s="1254">
        <v>4.32</v>
      </c>
      <c r="J35" s="1254">
        <v>4.8600000000000003</v>
      </c>
      <c r="L35" s="1254"/>
      <c r="M35" s="1255">
        <v>39284</v>
      </c>
      <c r="N35" s="1254">
        <v>0.81</v>
      </c>
      <c r="O35" s="1254">
        <v>2.34</v>
      </c>
      <c r="P35" s="1254">
        <v>2.88</v>
      </c>
      <c r="Q35" s="1254">
        <v>3.33</v>
      </c>
      <c r="R35" s="1254">
        <v>3.96</v>
      </c>
      <c r="S35" s="1254">
        <v>4.68</v>
      </c>
      <c r="T35" s="1254">
        <v>5.22</v>
      </c>
      <c r="U35" s="1254">
        <v>2.34</v>
      </c>
      <c r="V35" s="1254">
        <v>2.88</v>
      </c>
      <c r="W35" s="1254">
        <v>3.33</v>
      </c>
      <c r="X35" s="1254">
        <v>1.53</v>
      </c>
      <c r="Y35" s="1254">
        <v>1.17</v>
      </c>
      <c r="Z35" s="1254">
        <v>1.71</v>
      </c>
    </row>
    <row r="36" spans="2:26">
      <c r="B36" s="1254"/>
      <c r="C36" s="1255">
        <v>39707</v>
      </c>
      <c r="D36" s="1254">
        <v>6.21</v>
      </c>
      <c r="E36" s="1254">
        <v>7.2</v>
      </c>
      <c r="F36" s="1254">
        <v>7.29</v>
      </c>
      <c r="G36" s="1254">
        <v>7.56</v>
      </c>
      <c r="H36" s="1254">
        <v>7.74</v>
      </c>
      <c r="I36" s="1254">
        <v>4.59</v>
      </c>
      <c r="J36" s="1254">
        <v>5.13</v>
      </c>
      <c r="L36" s="1254"/>
      <c r="M36" s="1255">
        <v>39221</v>
      </c>
      <c r="N36" s="1254">
        <v>0.72</v>
      </c>
      <c r="O36" s="1254">
        <v>2.0699999999999998</v>
      </c>
      <c r="P36" s="1254">
        <v>2.61</v>
      </c>
      <c r="Q36" s="1254">
        <v>3.06</v>
      </c>
      <c r="R36" s="1254">
        <v>3.69</v>
      </c>
      <c r="S36" s="1254">
        <v>4.41</v>
      </c>
      <c r="T36" s="1254">
        <v>4.95</v>
      </c>
      <c r="U36" s="1254">
        <v>2.0699999999999998</v>
      </c>
      <c r="V36" s="1254">
        <v>2.61</v>
      </c>
      <c r="W36" s="1254">
        <v>3.06</v>
      </c>
      <c r="X36" s="1254">
        <v>1.44</v>
      </c>
      <c r="Y36" s="1254">
        <v>1.08</v>
      </c>
      <c r="Z36" s="1254">
        <v>1.62</v>
      </c>
    </row>
    <row r="37" spans="2:26">
      <c r="B37" s="1254"/>
      <c r="C37" s="1255">
        <v>39437</v>
      </c>
      <c r="D37" s="1254">
        <v>6.57</v>
      </c>
      <c r="E37" s="1254">
        <v>7.47</v>
      </c>
      <c r="F37" s="1254">
        <v>7.56</v>
      </c>
      <c r="G37" s="1254">
        <v>7.74</v>
      </c>
      <c r="H37" s="1254">
        <v>7.83</v>
      </c>
      <c r="I37" s="1254">
        <v>4.7699999999999996</v>
      </c>
      <c r="J37" s="1254">
        <v>5.22</v>
      </c>
      <c r="L37" s="1254"/>
      <c r="M37" s="1255">
        <v>39159</v>
      </c>
      <c r="N37" s="1254">
        <v>0.72</v>
      </c>
      <c r="O37" s="1254">
        <v>1.98</v>
      </c>
      <c r="P37" s="1254">
        <v>2.4300000000000002</v>
      </c>
      <c r="Q37" s="1254">
        <v>2.79</v>
      </c>
      <c r="R37" s="1254">
        <v>3.33</v>
      </c>
      <c r="S37" s="1254">
        <v>3.96</v>
      </c>
      <c r="T37" s="1254">
        <v>4.41</v>
      </c>
      <c r="U37" s="1254">
        <v>1.98</v>
      </c>
      <c r="V37" s="1254">
        <v>2.4300000000000002</v>
      </c>
      <c r="W37" s="1254">
        <v>2.79</v>
      </c>
      <c r="X37" s="1254">
        <v>1.44</v>
      </c>
      <c r="Y37" s="1254">
        <v>1.08</v>
      </c>
      <c r="Z37" s="1254">
        <v>1.62</v>
      </c>
    </row>
    <row r="38" spans="2:26">
      <c r="B38" s="1254"/>
      <c r="C38" s="1255">
        <v>39340</v>
      </c>
      <c r="D38" s="1254">
        <v>6.48</v>
      </c>
      <c r="E38" s="1254">
        <v>7.29</v>
      </c>
      <c r="F38" s="1254">
        <v>7.47</v>
      </c>
      <c r="G38" s="1254">
        <v>7.65</v>
      </c>
      <c r="H38" s="1254">
        <v>7.83</v>
      </c>
      <c r="I38" s="1254">
        <v>4.7699999999999996</v>
      </c>
      <c r="J38" s="1254">
        <v>5.22</v>
      </c>
      <c r="L38" s="1254"/>
      <c r="M38" s="1255">
        <v>38948</v>
      </c>
      <c r="N38" s="1254">
        <v>0.72</v>
      </c>
      <c r="O38" s="1254">
        <v>1.8</v>
      </c>
      <c r="P38" s="1254">
        <v>2.25</v>
      </c>
      <c r="Q38" s="1254">
        <v>2.52</v>
      </c>
      <c r="R38" s="1254">
        <v>3.06</v>
      </c>
      <c r="S38" s="1254">
        <v>3.69</v>
      </c>
      <c r="T38" s="1254">
        <v>4.1399999999999997</v>
      </c>
      <c r="U38" s="1254">
        <v>1.8</v>
      </c>
      <c r="V38" s="1254">
        <v>2.25</v>
      </c>
      <c r="W38" s="1254">
        <v>2.52</v>
      </c>
      <c r="X38" s="1254">
        <v>1.44</v>
      </c>
      <c r="Y38" s="1254">
        <v>1.08</v>
      </c>
      <c r="Z38" s="1254">
        <v>1.62</v>
      </c>
    </row>
    <row r="39" spans="2:26">
      <c r="B39" s="1254"/>
      <c r="C39" s="1255">
        <v>39316</v>
      </c>
      <c r="D39" s="1254">
        <v>6.21</v>
      </c>
      <c r="E39" s="1254">
        <v>7.02</v>
      </c>
      <c r="F39" s="1254">
        <v>7.2</v>
      </c>
      <c r="G39" s="1254">
        <v>7.38</v>
      </c>
      <c r="H39" s="1254">
        <v>7.56</v>
      </c>
      <c r="I39" s="1254">
        <v>4.59</v>
      </c>
      <c r="J39" s="1254">
        <v>5.04</v>
      </c>
      <c r="L39" s="1254"/>
      <c r="M39" s="1255">
        <v>38289</v>
      </c>
      <c r="N39" s="1254">
        <v>0.72</v>
      </c>
      <c r="O39" s="1254">
        <v>1.71</v>
      </c>
      <c r="P39" s="1254">
        <v>2.0699999999999998</v>
      </c>
      <c r="Q39" s="1254">
        <v>2.25</v>
      </c>
      <c r="R39" s="1254">
        <v>2.7</v>
      </c>
      <c r="S39" s="1254">
        <v>3.24</v>
      </c>
      <c r="T39" s="1254">
        <v>3.6</v>
      </c>
      <c r="U39" s="1254">
        <v>1.71</v>
      </c>
      <c r="V39" s="1254">
        <v>2.0699999999999998</v>
      </c>
      <c r="W39" s="1254">
        <v>2.25</v>
      </c>
      <c r="X39" s="1254">
        <v>1.44</v>
      </c>
      <c r="Y39" s="1254">
        <v>1.08</v>
      </c>
      <c r="Z39" s="1254">
        <v>1.62</v>
      </c>
    </row>
    <row r="40" spans="2:26">
      <c r="B40" s="1254"/>
      <c r="C40" s="1255">
        <v>39284</v>
      </c>
      <c r="D40" s="1254">
        <v>6.03</v>
      </c>
      <c r="E40" s="1254">
        <v>6.84</v>
      </c>
      <c r="F40" s="1254">
        <v>7.02</v>
      </c>
      <c r="G40" s="1254">
        <v>7.2</v>
      </c>
      <c r="H40" s="1254">
        <v>7.38</v>
      </c>
      <c r="I40" s="1254">
        <v>4.5</v>
      </c>
      <c r="J40" s="1254">
        <v>4.95</v>
      </c>
      <c r="L40" s="1254"/>
      <c r="M40" s="1255">
        <v>37308</v>
      </c>
      <c r="N40" s="1254">
        <v>0.72</v>
      </c>
      <c r="O40" s="1254">
        <v>1.71</v>
      </c>
      <c r="P40" s="1254">
        <v>1.89</v>
      </c>
      <c r="Q40" s="1254">
        <v>1.98</v>
      </c>
      <c r="R40" s="1254">
        <v>2.25</v>
      </c>
      <c r="S40" s="1254">
        <v>2.52</v>
      </c>
      <c r="T40" s="1254">
        <v>2.79</v>
      </c>
      <c r="U40" s="1254">
        <v>1.71</v>
      </c>
      <c r="V40" s="1254">
        <v>1.89</v>
      </c>
      <c r="W40" s="1254">
        <v>1.98</v>
      </c>
      <c r="X40" s="1254">
        <v>1.44</v>
      </c>
      <c r="Y40" s="1254">
        <v>1.08</v>
      </c>
      <c r="Z40" s="1254">
        <v>1.62</v>
      </c>
    </row>
    <row r="41" spans="2:26">
      <c r="B41" s="1254"/>
      <c r="C41" s="1255">
        <v>39221</v>
      </c>
      <c r="D41" s="1254">
        <v>5.85</v>
      </c>
      <c r="E41" s="1254">
        <v>6.57</v>
      </c>
      <c r="F41" s="1254">
        <v>6.75</v>
      </c>
      <c r="G41" s="1254">
        <v>6.93</v>
      </c>
      <c r="H41" s="1254">
        <v>7.2</v>
      </c>
      <c r="I41" s="1254">
        <v>4.41</v>
      </c>
      <c r="J41" s="1254">
        <v>4.8600000000000003</v>
      </c>
      <c r="L41" s="1254"/>
      <c r="M41" s="1255">
        <v>36321</v>
      </c>
      <c r="N41" s="1254">
        <v>0.99</v>
      </c>
      <c r="O41" s="1254">
        <v>1.98</v>
      </c>
      <c r="P41" s="1254">
        <v>2.16</v>
      </c>
      <c r="Q41" s="1254">
        <v>2.25</v>
      </c>
      <c r="R41" s="1254">
        <v>2.4300000000000002</v>
      </c>
      <c r="S41" s="1254">
        <v>2.7</v>
      </c>
      <c r="T41" s="1254">
        <v>2.88</v>
      </c>
      <c r="U41" s="1254">
        <v>1.98</v>
      </c>
      <c r="V41" s="1254">
        <v>2.16</v>
      </c>
      <c r="W41" s="1254">
        <v>2.25</v>
      </c>
      <c r="X41" s="1254">
        <v>1.71</v>
      </c>
      <c r="Y41" s="1254">
        <v>1.35</v>
      </c>
      <c r="Z41" s="1254">
        <v>1.89</v>
      </c>
    </row>
    <row r="42" spans="2:26">
      <c r="B42" s="1254"/>
      <c r="C42" s="1255">
        <v>39159</v>
      </c>
      <c r="D42" s="1254">
        <v>5.67</v>
      </c>
      <c r="E42" s="1254">
        <v>6.39</v>
      </c>
      <c r="F42" s="1254">
        <v>6.57</v>
      </c>
      <c r="G42" s="1254">
        <v>6.75</v>
      </c>
      <c r="H42" s="1254">
        <v>7.11</v>
      </c>
      <c r="I42" s="1254">
        <v>4.32</v>
      </c>
      <c r="J42" s="1254">
        <v>4.7699999999999996</v>
      </c>
      <c r="L42" s="1254"/>
      <c r="M42" s="1255">
        <v>36136</v>
      </c>
      <c r="N42" s="1254">
        <v>1.44</v>
      </c>
      <c r="O42" s="1254">
        <v>2.79</v>
      </c>
      <c r="P42" s="1254">
        <v>3.33</v>
      </c>
      <c r="Q42" s="1254">
        <v>3.78</v>
      </c>
      <c r="R42" s="1254">
        <v>3.96</v>
      </c>
      <c r="S42" s="1254">
        <v>4.1399999999999997</v>
      </c>
      <c r="T42" s="1254">
        <v>4.5</v>
      </c>
      <c r="U42" s="1254">
        <v>3.33</v>
      </c>
      <c r="V42" s="1254">
        <v>3.78</v>
      </c>
      <c r="W42" s="1254">
        <v>4.1399999999999997</v>
      </c>
      <c r="X42" s="1254">
        <v>2.16</v>
      </c>
      <c r="Y42" s="1254">
        <v>1.8</v>
      </c>
      <c r="Z42" s="1254">
        <v>2.34</v>
      </c>
    </row>
    <row r="43" spans="2:26">
      <c r="B43" s="1254"/>
      <c r="C43" s="1255">
        <v>38948</v>
      </c>
      <c r="D43" s="1254">
        <v>5.58</v>
      </c>
      <c r="E43" s="1254">
        <v>6.12</v>
      </c>
      <c r="F43" s="1254">
        <v>6.3</v>
      </c>
      <c r="G43" s="1254">
        <v>6.48</v>
      </c>
      <c r="H43" s="1254">
        <v>6.84</v>
      </c>
      <c r="I43" s="1254">
        <v>4.1399999999999997</v>
      </c>
      <c r="J43" s="1254">
        <v>4.59</v>
      </c>
      <c r="L43" s="1254"/>
      <c r="M43" s="1255">
        <v>35977</v>
      </c>
      <c r="N43" s="1254">
        <v>1.44</v>
      </c>
      <c r="O43" s="1254">
        <v>2.79</v>
      </c>
      <c r="P43" s="1254">
        <v>3.96</v>
      </c>
      <c r="Q43" s="1254">
        <v>4.7699999999999996</v>
      </c>
      <c r="R43" s="1254">
        <v>4.8600000000000003</v>
      </c>
      <c r="S43" s="1254">
        <v>4.95</v>
      </c>
      <c r="T43" s="1254">
        <v>5.22</v>
      </c>
      <c r="U43" s="1254">
        <v>3.96</v>
      </c>
      <c r="V43" s="1254">
        <v>4.7699999999999996</v>
      </c>
      <c r="W43" s="1254">
        <v>4.95</v>
      </c>
      <c r="X43" s="1254" t="s">
        <v>1147</v>
      </c>
      <c r="Y43" s="1254" t="s">
        <v>1147</v>
      </c>
      <c r="Z43" s="1254" t="s">
        <v>1147</v>
      </c>
    </row>
    <row r="44" spans="2:26">
      <c r="B44" s="1254"/>
      <c r="C44" s="1255">
        <v>38835</v>
      </c>
      <c r="D44" s="1254">
        <v>5.4</v>
      </c>
      <c r="E44" s="1254">
        <v>5.85</v>
      </c>
      <c r="F44" s="1254">
        <v>6.03</v>
      </c>
      <c r="G44" s="1254">
        <v>6.12</v>
      </c>
      <c r="H44" s="1254">
        <v>6.39</v>
      </c>
      <c r="I44" s="1254">
        <v>4.1399999999999997</v>
      </c>
      <c r="J44" s="1254">
        <v>4.59</v>
      </c>
      <c r="L44" s="1254"/>
      <c r="M44" s="1255">
        <v>35879</v>
      </c>
      <c r="N44" s="1254">
        <v>1.71</v>
      </c>
      <c r="O44" s="1254">
        <v>2.88</v>
      </c>
      <c r="P44" s="1254">
        <v>4.1399999999999997</v>
      </c>
      <c r="Q44" s="1254">
        <v>5.22</v>
      </c>
      <c r="R44" s="1254">
        <v>5.58</v>
      </c>
      <c r="S44" s="1254">
        <v>6.21</v>
      </c>
      <c r="T44" s="1254">
        <v>6.66</v>
      </c>
      <c r="U44" s="1254">
        <v>4.1399999999999997</v>
      </c>
      <c r="V44" s="1254">
        <v>5.22</v>
      </c>
      <c r="W44" s="1254">
        <v>6.21</v>
      </c>
      <c r="X44" s="1254" t="s">
        <v>1147</v>
      </c>
      <c r="Y44" s="1254" t="s">
        <v>1147</v>
      </c>
      <c r="Z44" s="1254" t="s">
        <v>1147</v>
      </c>
    </row>
    <row r="45" spans="2:26">
      <c r="B45" s="1254"/>
      <c r="C45" s="1255">
        <v>38428</v>
      </c>
      <c r="D45" s="1254">
        <v>5.22</v>
      </c>
      <c r="E45" s="1254">
        <v>5.58</v>
      </c>
      <c r="F45" s="1254">
        <v>5.76</v>
      </c>
      <c r="G45" s="1254">
        <v>5.85</v>
      </c>
      <c r="H45" s="1254">
        <v>6.12</v>
      </c>
      <c r="I45" s="1254">
        <v>3.96</v>
      </c>
      <c r="J45" s="1254">
        <v>4.41</v>
      </c>
      <c r="L45" s="1254"/>
      <c r="M45" s="1255">
        <v>35726</v>
      </c>
      <c r="N45" s="1254">
        <v>1.71</v>
      </c>
      <c r="O45" s="1254">
        <v>2.88</v>
      </c>
      <c r="P45" s="1254">
        <v>4.1399999999999997</v>
      </c>
      <c r="Q45" s="1254">
        <v>5.67</v>
      </c>
      <c r="R45" s="1254">
        <v>5.94</v>
      </c>
      <c r="S45" s="1254">
        <v>6.21</v>
      </c>
      <c r="T45" s="1254">
        <v>6.66</v>
      </c>
      <c r="U45" s="1254">
        <v>4.1399999999999997</v>
      </c>
      <c r="V45" s="1254">
        <v>5.67</v>
      </c>
      <c r="W45" s="1254">
        <v>6.21</v>
      </c>
      <c r="X45" s="1254" t="s">
        <v>1147</v>
      </c>
      <c r="Y45" s="1254" t="s">
        <v>1147</v>
      </c>
      <c r="Z45" s="1254" t="s">
        <v>1147</v>
      </c>
    </row>
    <row r="46" spans="2:26">
      <c r="B46" s="1254"/>
      <c r="C46" s="1255">
        <v>38289</v>
      </c>
      <c r="D46" s="1254">
        <v>5.22</v>
      </c>
      <c r="E46" s="1254">
        <v>5.58</v>
      </c>
      <c r="F46" s="1254">
        <v>5.76</v>
      </c>
      <c r="G46" s="1254">
        <v>5.85</v>
      </c>
      <c r="H46" s="1254">
        <v>6.12</v>
      </c>
      <c r="I46" s="1254">
        <v>3.78</v>
      </c>
      <c r="J46" s="1254">
        <v>4.2300000000000004</v>
      </c>
      <c r="L46" s="1254"/>
      <c r="M46" s="1255">
        <v>35300</v>
      </c>
      <c r="N46" s="1254">
        <v>1.98</v>
      </c>
      <c r="O46" s="1254">
        <v>3.33</v>
      </c>
      <c r="P46" s="1254">
        <v>5.4</v>
      </c>
      <c r="Q46" s="1254">
        <v>7.47</v>
      </c>
      <c r="R46" s="1254">
        <v>7.92</v>
      </c>
      <c r="S46" s="1254">
        <v>8.2799999999999994</v>
      </c>
      <c r="T46" s="1254">
        <v>9</v>
      </c>
      <c r="U46" s="1254">
        <v>5.4</v>
      </c>
      <c r="V46" s="1254">
        <v>7.47</v>
      </c>
      <c r="W46" s="1254">
        <v>8.2799999999999994</v>
      </c>
      <c r="X46" s="1254" t="s">
        <v>1147</v>
      </c>
      <c r="Y46" s="1254" t="s">
        <v>1147</v>
      </c>
      <c r="Z46" s="1254" t="s">
        <v>1147</v>
      </c>
    </row>
    <row r="47" spans="2:26">
      <c r="B47" s="1254"/>
      <c r="C47" s="1255">
        <v>37308</v>
      </c>
      <c r="D47" s="1254">
        <v>5.04</v>
      </c>
      <c r="E47" s="1254">
        <v>5.31</v>
      </c>
      <c r="F47" s="1254">
        <v>5.49</v>
      </c>
      <c r="G47" s="1254">
        <v>5.58</v>
      </c>
      <c r="H47" s="1254">
        <v>5.76</v>
      </c>
      <c r="I47" s="1254">
        <v>3.6</v>
      </c>
      <c r="J47" s="1254">
        <v>4.05</v>
      </c>
      <c r="L47" s="1254"/>
      <c r="M47" s="1255">
        <v>35186</v>
      </c>
      <c r="N47" s="1254">
        <v>2.97</v>
      </c>
      <c r="O47" s="1254">
        <v>4.8600000000000003</v>
      </c>
      <c r="P47" s="1254">
        <v>7.2</v>
      </c>
      <c r="Q47" s="1254">
        <v>9.18</v>
      </c>
      <c r="R47" s="1254">
        <v>9.9</v>
      </c>
      <c r="S47" s="1254">
        <v>10.8</v>
      </c>
      <c r="T47" s="1254">
        <v>12.06</v>
      </c>
      <c r="U47" s="1254">
        <v>7.2</v>
      </c>
      <c r="V47" s="1254">
        <v>9.18</v>
      </c>
      <c r="W47" s="1254">
        <v>10.8</v>
      </c>
      <c r="X47" s="1254" t="s">
        <v>1147</v>
      </c>
      <c r="Y47" s="1254" t="s">
        <v>1147</v>
      </c>
      <c r="Z47" s="1254" t="s">
        <v>1147</v>
      </c>
    </row>
    <row r="48" spans="2:26">
      <c r="B48" s="1254"/>
      <c r="C48" s="1255">
        <v>36321</v>
      </c>
      <c r="D48" s="1254">
        <v>5.58</v>
      </c>
      <c r="E48" s="1254">
        <v>5.85</v>
      </c>
      <c r="F48" s="1254">
        <v>5.94</v>
      </c>
      <c r="G48" s="1254">
        <v>6.03</v>
      </c>
      <c r="H48" s="1254">
        <v>6.21</v>
      </c>
      <c r="I48" s="1254">
        <v>4.1399999999999997</v>
      </c>
      <c r="J48" s="1254">
        <v>4.59</v>
      </c>
      <c r="L48" s="1254"/>
      <c r="M48" s="1255">
        <v>34161</v>
      </c>
      <c r="N48" s="1254">
        <v>3.15</v>
      </c>
      <c r="O48" s="1254">
        <v>6.66</v>
      </c>
      <c r="P48" s="1254">
        <v>9</v>
      </c>
      <c r="Q48" s="1254">
        <v>10.98</v>
      </c>
      <c r="R48" s="1254">
        <v>11.7</v>
      </c>
      <c r="S48" s="1254">
        <v>12.24</v>
      </c>
      <c r="T48" s="1254">
        <v>13.86</v>
      </c>
      <c r="U48" s="1254">
        <v>9</v>
      </c>
      <c r="V48" s="1254">
        <v>10.98</v>
      </c>
      <c r="W48" s="1254">
        <v>12.24</v>
      </c>
      <c r="X48" s="1254" t="s">
        <v>1147</v>
      </c>
      <c r="Y48" s="1254" t="s">
        <v>1147</v>
      </c>
      <c r="Z48" s="1254" t="s">
        <v>1147</v>
      </c>
    </row>
    <row r="49" spans="2:26">
      <c r="B49" s="1254"/>
      <c r="C49" s="1255">
        <v>36136</v>
      </c>
      <c r="D49" s="1254">
        <v>6.12</v>
      </c>
      <c r="E49" s="1254">
        <v>6.39</v>
      </c>
      <c r="F49" s="1254">
        <v>6.66</v>
      </c>
      <c r="G49" s="1254">
        <v>7.2</v>
      </c>
      <c r="H49" s="1254">
        <v>7.56</v>
      </c>
      <c r="I49" s="1254">
        <v>0</v>
      </c>
      <c r="J49" s="1254">
        <v>0</v>
      </c>
      <c r="L49" s="1254"/>
      <c r="M49" s="1255">
        <v>34104</v>
      </c>
      <c r="N49" s="1254">
        <v>2.16</v>
      </c>
      <c r="O49" s="1254">
        <v>4.8600000000000003</v>
      </c>
      <c r="P49" s="1254">
        <v>7.2</v>
      </c>
      <c r="Q49" s="1254">
        <v>9.18</v>
      </c>
      <c r="R49" s="1254">
        <v>9.9</v>
      </c>
      <c r="S49" s="1254">
        <v>10.8</v>
      </c>
      <c r="T49" s="1254">
        <v>12.06</v>
      </c>
      <c r="U49" s="1254">
        <v>7.2</v>
      </c>
      <c r="V49" s="1254">
        <v>9.18</v>
      </c>
      <c r="W49" s="1254">
        <v>10.8</v>
      </c>
      <c r="X49" s="1254" t="s">
        <v>1147</v>
      </c>
      <c r="Y49" s="1254" t="s">
        <v>1147</v>
      </c>
      <c r="Z49" s="1254" t="s">
        <v>1147</v>
      </c>
    </row>
    <row r="50" spans="2:26">
      <c r="B50" s="1254"/>
      <c r="C50" s="1255">
        <v>35977</v>
      </c>
      <c r="D50" s="1254">
        <v>6.57</v>
      </c>
      <c r="E50" s="1254">
        <v>6.93</v>
      </c>
      <c r="F50" s="1254">
        <v>7.11</v>
      </c>
      <c r="G50" s="1254">
        <v>7.65</v>
      </c>
      <c r="H50" s="1254">
        <v>8.01</v>
      </c>
      <c r="I50" s="1254">
        <v>0</v>
      </c>
      <c r="J50" s="1254">
        <v>0</v>
      </c>
      <c r="L50" s="1254"/>
      <c r="M50" s="1255">
        <v>33349</v>
      </c>
      <c r="N50" s="1254">
        <v>1.8</v>
      </c>
      <c r="O50" s="1254">
        <v>3.24</v>
      </c>
      <c r="P50" s="1254">
        <v>5.4</v>
      </c>
      <c r="Q50" s="1254">
        <v>7.56</v>
      </c>
      <c r="R50" s="1254">
        <v>7.92</v>
      </c>
      <c r="S50" s="1254">
        <v>8.2799999999999994</v>
      </c>
      <c r="T50" s="1254">
        <v>9</v>
      </c>
      <c r="U50" s="1254">
        <v>6.12</v>
      </c>
      <c r="V50" s="1254">
        <v>6.84</v>
      </c>
      <c r="W50" s="1254">
        <v>7.56</v>
      </c>
      <c r="X50" s="1254" t="s">
        <v>1147</v>
      </c>
      <c r="Y50" s="1254" t="s">
        <v>1147</v>
      </c>
      <c r="Z50" s="1254" t="s">
        <v>1147</v>
      </c>
    </row>
    <row r="51" spans="2:26">
      <c r="B51" s="1254"/>
      <c r="C51" s="1255">
        <v>35879</v>
      </c>
      <c r="D51" s="1254">
        <v>7.02</v>
      </c>
      <c r="E51" s="1254">
        <v>7.92</v>
      </c>
      <c r="F51" s="1254">
        <v>9</v>
      </c>
      <c r="G51" s="1254">
        <v>9.7200000000000006</v>
      </c>
      <c r="H51" s="1254">
        <v>10.35</v>
      </c>
      <c r="I51" s="1254">
        <v>0</v>
      </c>
      <c r="J51" s="1254">
        <v>0</v>
      </c>
      <c r="L51" s="1254"/>
      <c r="M51" s="1255">
        <v>33106</v>
      </c>
      <c r="N51" s="1254">
        <v>2.16</v>
      </c>
      <c r="O51" s="1254">
        <v>4.32</v>
      </c>
      <c r="P51" s="1254">
        <v>6.48</v>
      </c>
      <c r="Q51" s="1254">
        <v>8.64</v>
      </c>
      <c r="R51" s="1254">
        <v>9.36</v>
      </c>
      <c r="S51" s="1254">
        <v>10.08</v>
      </c>
      <c r="T51" s="1254">
        <v>11.52</v>
      </c>
      <c r="U51" s="1254">
        <v>7.2</v>
      </c>
      <c r="V51" s="1254">
        <v>8.64</v>
      </c>
      <c r="W51" s="1254">
        <v>10.08</v>
      </c>
      <c r="X51" s="1254" t="s">
        <v>1147</v>
      </c>
      <c r="Y51" s="1254" t="s">
        <v>1147</v>
      </c>
      <c r="Z51" s="1254" t="s">
        <v>1147</v>
      </c>
    </row>
    <row r="52" spans="2:26">
      <c r="B52" s="1254"/>
      <c r="C52" s="1255">
        <v>35726</v>
      </c>
      <c r="D52" s="1254">
        <v>7.65</v>
      </c>
      <c r="E52" s="1254">
        <v>8.64</v>
      </c>
      <c r="F52" s="1254">
        <v>9.36</v>
      </c>
      <c r="G52" s="1254">
        <v>9.9</v>
      </c>
      <c r="H52" s="1254">
        <v>10.53</v>
      </c>
      <c r="I52" s="1254">
        <v>0</v>
      </c>
      <c r="J52" s="1254">
        <v>0</v>
      </c>
      <c r="L52" s="1254"/>
      <c r="M52" s="1255">
        <v>32978</v>
      </c>
      <c r="N52" s="1254">
        <v>2.88</v>
      </c>
      <c r="O52" s="1254">
        <v>6.3</v>
      </c>
      <c r="P52" s="1254">
        <v>7.74</v>
      </c>
      <c r="Q52" s="1254">
        <v>10.08</v>
      </c>
      <c r="R52" s="1254">
        <v>10.98</v>
      </c>
      <c r="S52" s="1254">
        <v>11.88</v>
      </c>
      <c r="T52" s="1254">
        <v>13.68</v>
      </c>
      <c r="U52" s="1254" t="s">
        <v>1147</v>
      </c>
      <c r="V52" s="1254" t="s">
        <v>1147</v>
      </c>
      <c r="W52" s="1254" t="s">
        <v>1147</v>
      </c>
      <c r="X52" s="1254" t="s">
        <v>1147</v>
      </c>
      <c r="Y52" s="1254" t="s">
        <v>1147</v>
      </c>
      <c r="Z52" s="1254" t="s">
        <v>1147</v>
      </c>
    </row>
    <row r="53" spans="2:26">
      <c r="B53" s="1254"/>
      <c r="C53" s="1255">
        <v>35300</v>
      </c>
      <c r="D53" s="1254">
        <v>9.18</v>
      </c>
      <c r="E53" s="1254">
        <v>10.08</v>
      </c>
      <c r="F53" s="1254">
        <v>10.98</v>
      </c>
      <c r="G53" s="1254">
        <v>11.7</v>
      </c>
      <c r="H53" s="1254">
        <v>12.42</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35186</v>
      </c>
      <c r="D54" s="1254">
        <v>9.7200000000000006</v>
      </c>
      <c r="E54" s="1254">
        <v>10.98</v>
      </c>
      <c r="F54" s="1254">
        <v>13.14</v>
      </c>
      <c r="G54" s="1254">
        <v>14.94</v>
      </c>
      <c r="H54" s="1254">
        <v>15.12</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34881</v>
      </c>
      <c r="D55" s="1254">
        <v>10.08</v>
      </c>
      <c r="E55" s="1254">
        <v>12.06</v>
      </c>
      <c r="F55" s="1254">
        <v>13.5</v>
      </c>
      <c r="G55" s="1254">
        <v>15.12</v>
      </c>
      <c r="H55" s="1254">
        <v>15.3</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34700</v>
      </c>
      <c r="D56" s="1254">
        <v>9</v>
      </c>
      <c r="E56" s="1254">
        <v>10.98</v>
      </c>
      <c r="F56" s="1254">
        <v>12.96</v>
      </c>
      <c r="G56" s="1254">
        <v>14.58</v>
      </c>
      <c r="H56" s="1254">
        <v>14.76</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34161</v>
      </c>
      <c r="D57" s="1254">
        <v>9</v>
      </c>
      <c r="E57" s="1254">
        <v>10.98</v>
      </c>
      <c r="F57" s="1254">
        <v>12.24</v>
      </c>
      <c r="G57" s="1254">
        <v>13.86</v>
      </c>
      <c r="H57" s="1254">
        <v>14.04</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34104</v>
      </c>
      <c r="D58" s="1254">
        <v>8.82</v>
      </c>
      <c r="E58" s="1254">
        <v>9.36</v>
      </c>
      <c r="F58" s="1254">
        <v>10.8</v>
      </c>
      <c r="G58" s="1254">
        <v>12.06</v>
      </c>
      <c r="H58" s="1254">
        <v>12.24</v>
      </c>
      <c r="I58" s="1254">
        <v>0</v>
      </c>
      <c r="J58" s="1254">
        <v>0</v>
      </c>
      <c r="L58" s="1254"/>
      <c r="M58" s="1255"/>
      <c r="N58" s="1254"/>
      <c r="O58" s="1254"/>
      <c r="P58" s="1254"/>
      <c r="Q58" s="1254"/>
      <c r="R58" s="1254"/>
      <c r="S58" s="1254"/>
      <c r="T58" s="1254"/>
      <c r="U58" s="1254"/>
      <c r="V58" s="1254"/>
      <c r="W58" s="1254"/>
      <c r="X58" s="1254"/>
      <c r="Y58" s="1254"/>
      <c r="Z58" s="1254"/>
    </row>
    <row r="59" spans="2:26">
      <c r="B59" s="1254"/>
      <c r="C59" s="1255">
        <v>33349</v>
      </c>
      <c r="D59" s="1254">
        <v>8.1</v>
      </c>
      <c r="E59" s="1254">
        <v>8.64</v>
      </c>
      <c r="F59" s="1254">
        <v>9</v>
      </c>
      <c r="G59" s="1254">
        <v>9.5399999999999991</v>
      </c>
      <c r="H59" s="1254">
        <v>9.7200000000000006</v>
      </c>
      <c r="I59" s="1254">
        <v>0</v>
      </c>
      <c r="J59" s="1254">
        <v>0</v>
      </c>
    </row>
    <row r="60" spans="2:26">
      <c r="B60" s="1254"/>
      <c r="C60" s="1255">
        <v>33318</v>
      </c>
      <c r="D60" s="1254">
        <v>9</v>
      </c>
      <c r="E60" s="1254">
        <v>10.08</v>
      </c>
      <c r="F60" s="1254">
        <v>10.8</v>
      </c>
      <c r="G60" s="1254">
        <v>11.52</v>
      </c>
      <c r="H60" s="1254">
        <v>11.88</v>
      </c>
      <c r="I60" s="1254" t="s">
        <v>1147</v>
      </c>
      <c r="J60" s="1254" t="s">
        <v>1147</v>
      </c>
    </row>
    <row r="61" spans="2:26">
      <c r="B61" s="1254"/>
      <c r="C61" s="1255">
        <v>33106</v>
      </c>
      <c r="D61" s="1254">
        <v>8.64</v>
      </c>
      <c r="E61" s="1254">
        <v>9.36</v>
      </c>
      <c r="F61" s="1254">
        <v>10.08</v>
      </c>
      <c r="G61" s="1254">
        <v>10.8</v>
      </c>
      <c r="H61" s="1254">
        <v>11.16</v>
      </c>
      <c r="I61" s="1254">
        <v>0</v>
      </c>
      <c r="J61" s="1254">
        <v>0</v>
      </c>
    </row>
    <row r="62" spans="2:26">
      <c r="B62" s="1254"/>
      <c r="C62" s="1255">
        <v>32540</v>
      </c>
      <c r="D62" s="1254">
        <v>11.34</v>
      </c>
      <c r="E62" s="1254">
        <v>11.34</v>
      </c>
      <c r="F62" s="1254">
        <v>12.78</v>
      </c>
      <c r="G62" s="1254">
        <v>14.4</v>
      </c>
      <c r="H62" s="1254">
        <v>19.260000000000002</v>
      </c>
      <c r="I62" s="1254">
        <v>0</v>
      </c>
      <c r="J62" s="1254">
        <v>0</v>
      </c>
    </row>
    <row r="63" spans="2:26">
      <c r="B63" s="1254"/>
      <c r="C63" s="1255"/>
      <c r="D63" s="1254"/>
      <c r="E63" s="1254"/>
      <c r="F63" s="1254"/>
      <c r="G63" s="1254"/>
      <c r="H63" s="1254"/>
      <c r="I63" s="1254"/>
      <c r="J63" s="1254"/>
    </row>
    <row r="64" spans="2:26">
      <c r="B64" s="1258"/>
      <c r="C64" s="1259"/>
      <c r="D64" s="1258"/>
      <c r="E64" s="1258"/>
      <c r="F64" s="1258"/>
      <c r="G64" s="1258"/>
      <c r="H64" s="1258"/>
      <c r="I64" s="1258"/>
      <c r="J64" s="1258"/>
    </row>
    <row r="65" spans="2:10">
      <c r="B65" s="1258"/>
      <c r="C65" s="1259"/>
      <c r="D65" s="1258"/>
      <c r="E65" s="1258"/>
      <c r="F65" s="1258"/>
      <c r="G65" s="1258"/>
      <c r="H65" s="1258"/>
      <c r="I65" s="1258"/>
      <c r="J65" s="1258"/>
    </row>
    <row r="66" spans="2:10">
      <c r="B66" s="1258"/>
      <c r="C66" s="1259"/>
      <c r="D66" s="1258"/>
      <c r="E66" s="1258"/>
      <c r="F66" s="1258"/>
      <c r="G66" s="1258"/>
      <c r="H66" s="1258"/>
      <c r="I66" s="1258"/>
      <c r="J66" s="1258"/>
    </row>
    <row r="67" spans="2:10">
      <c r="B67" s="1205"/>
      <c r="C67" s="1205"/>
      <c r="D67" s="1205"/>
      <c r="E67" s="1205"/>
      <c r="F67" s="1205"/>
      <c r="G67" s="1205"/>
      <c r="H67" s="1205"/>
      <c r="I67" s="1205"/>
      <c r="J67" s="1205"/>
    </row>
    <row r="68" spans="2:10">
      <c r="B68" s="1205"/>
      <c r="C68" s="1205"/>
      <c r="D68" s="1205"/>
      <c r="E68" s="1205"/>
      <c r="F68" s="1205"/>
      <c r="G68" s="1205"/>
      <c r="H68" s="1205"/>
      <c r="I68" s="1205"/>
      <c r="J68" s="120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topLeftCell="G1" zoomScaleNormal="90" zoomScaleSheetLayoutView="100" workbookViewId="0">
      <pane ySplit="27" topLeftCell="A28" activePane="bottomLeft" state="frozen"/>
      <selection activeCell="F29" sqref="F29"/>
      <selection pane="bottomLeft" activeCell="W23" sqref="W23"/>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B23</f>
        <v>1429</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B24</f>
        <v>39384</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6" t="s">
        <v>2155</v>
      </c>
      <c r="D4" s="3737"/>
      <c r="E4" s="3737"/>
      <c r="F4" s="3737"/>
      <c r="G4" s="3737"/>
      <c r="H4" s="3737"/>
      <c r="I4" s="3737"/>
      <c r="J4" s="3737"/>
      <c r="K4" s="3737"/>
      <c r="L4" s="3737"/>
      <c r="M4" s="3737"/>
      <c r="N4" s="3737"/>
      <c r="O4" s="3737"/>
      <c r="P4" s="3737"/>
      <c r="Q4" s="3737"/>
      <c r="R4" s="3737"/>
      <c r="S4" s="3738"/>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69">
        <v>0</v>
      </c>
      <c r="D6" s="1869">
        <v>50</v>
      </c>
      <c r="E6" s="1869">
        <v>100</v>
      </c>
      <c r="F6" s="1869">
        <v>200</v>
      </c>
      <c r="G6" s="1869">
        <v>400</v>
      </c>
      <c r="H6" s="1869">
        <v>800</v>
      </c>
      <c r="I6" s="1869">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2">
        <v>100</v>
      </c>
      <c r="D7" s="1823">
        <v>99</v>
      </c>
      <c r="E7" s="1823">
        <v>98</v>
      </c>
      <c r="F7" s="1823">
        <v>97</v>
      </c>
      <c r="G7" s="1823">
        <v>96</v>
      </c>
      <c r="H7" s="1823">
        <v>95</v>
      </c>
      <c r="I7" s="1823">
        <v>94</v>
      </c>
      <c r="J7" s="182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2" t="s">
        <v>3025</v>
      </c>
      <c r="C8" s="3323"/>
      <c r="D8" s="3323"/>
      <c r="E8" s="3323"/>
      <c r="F8" s="3323"/>
      <c r="G8" s="3323"/>
      <c r="H8" s="3323"/>
      <c r="I8" s="3323"/>
      <c r="J8" s="3323"/>
      <c r="K8" s="3323"/>
      <c r="L8" s="3323"/>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19" t="s">
        <v>2163</v>
      </c>
      <c r="B20" s="1520" t="s">
        <v>2164</v>
      </c>
      <c r="C20" s="1005">
        <v>1</v>
      </c>
      <c r="D20" s="1006" t="s">
        <v>3082</v>
      </c>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50</v>
      </c>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1" t="s">
        <v>2165</v>
      </c>
      <c r="G22" s="1291"/>
      <c r="H22" s="1291"/>
      <c r="I22" s="1291"/>
      <c r="J22" s="1292"/>
      <c r="K22" s="37"/>
      <c r="L22" s="37"/>
      <c r="M22" s="37"/>
      <c r="N22" s="37"/>
      <c r="O22" s="37"/>
      <c r="P22" s="37"/>
      <c r="Q22" s="37"/>
      <c r="R22" s="644"/>
      <c r="S22" s="31"/>
      <c r="T22" s="31"/>
      <c r="U22" s="997"/>
      <c r="V22" s="998"/>
      <c r="W22" s="661"/>
      <c r="X22" s="661"/>
      <c r="Y22" s="661"/>
      <c r="Z22" s="661"/>
    </row>
    <row r="23" spans="1:45" ht="16.5" thickBot="1">
      <c r="A23" s="81" t="s">
        <v>2166</v>
      </c>
      <c r="B23" s="224">
        <f>IF(F23="——",IF(C23="万元",T25,S25),IF(C23="万元",T25-H23,S25-H23))</f>
        <v>1429</v>
      </c>
      <c r="C23" s="1522" t="str">
        <f>'数据-取费表'!B3</f>
        <v>万元</v>
      </c>
      <c r="D23" s="37"/>
      <c r="E23" s="37"/>
      <c r="F23" s="1523" t="s">
        <v>1183</v>
      </c>
      <c r="G23" s="1293"/>
      <c r="H23" s="575" t="e">
        <f ca="1">SUMIF(INDIRECT("'"&amp;J23&amp;"'"&amp;"!A:A"),"承租人权益价值",INDIRECT("'"&amp;J23&amp;"'"&amp;"!c:c"))</f>
        <v>#REF!</v>
      </c>
      <c r="I23" s="575" t="str">
        <f>C2</f>
        <v>万元</v>
      </c>
      <c r="J23" s="1524" t="s">
        <v>3027</v>
      </c>
      <c r="K23" s="37"/>
      <c r="L23" s="37"/>
      <c r="M23" s="37"/>
      <c r="N23" s="37"/>
      <c r="O23" s="37"/>
      <c r="P23" s="37"/>
      <c r="Q23" s="37"/>
      <c r="R23" s="644"/>
      <c r="S23" s="31"/>
      <c r="T23" s="31"/>
      <c r="U23" s="997"/>
      <c r="V23" s="998"/>
      <c r="W23" s="661"/>
      <c r="X23" s="661"/>
      <c r="Y23" s="661"/>
      <c r="Z23" s="661"/>
    </row>
    <row r="24" spans="1:45" ht="15.75">
      <c r="A24" s="1522" t="s">
        <v>2167</v>
      </c>
      <c r="B24" s="224">
        <f>ROUND(B23*10000/B25,0)</f>
        <v>39384</v>
      </c>
      <c r="C24" s="863"/>
      <c r="D24" s="37"/>
      <c r="E24" s="37"/>
      <c r="F24" s="37"/>
      <c r="G24" s="37"/>
      <c r="H24" s="37"/>
      <c r="I24" s="37"/>
      <c r="J24" s="37"/>
      <c r="K24" s="37"/>
      <c r="L24" s="37"/>
      <c r="M24" s="37"/>
      <c r="N24" s="37"/>
      <c r="O24" s="37"/>
      <c r="P24" s="37"/>
      <c r="Q24" s="37"/>
      <c r="R24" s="644"/>
      <c r="S24" s="13" t="s">
        <v>2168</v>
      </c>
      <c r="T24" s="1299" t="s">
        <v>2169</v>
      </c>
      <c r="U24" s="2212" t="s">
        <v>2170</v>
      </c>
      <c r="V24" s="2953"/>
      <c r="W24" s="2954" t="s">
        <v>2171</v>
      </c>
      <c r="X24" s="2212" t="s">
        <v>2172</v>
      </c>
      <c r="Y24" s="2953"/>
      <c r="Z24" s="2955" t="s">
        <v>2171</v>
      </c>
    </row>
    <row r="25" spans="1:45">
      <c r="A25" s="250" t="s">
        <v>2173</v>
      </c>
      <c r="B25" s="13">
        <f>SUM(B27:B10000)</f>
        <v>362.84</v>
      </c>
      <c r="C25" s="3733" t="s">
        <v>45</v>
      </c>
      <c r="D25" s="3734"/>
      <c r="E25" s="3734"/>
      <c r="F25" s="3734"/>
      <c r="G25" s="3734"/>
      <c r="H25" s="3734"/>
      <c r="I25" s="3734"/>
      <c r="J25" s="3734"/>
      <c r="K25" s="3734"/>
      <c r="L25" s="3734"/>
      <c r="M25" s="3734"/>
      <c r="N25" s="3734"/>
      <c r="O25" s="3734"/>
      <c r="P25" s="3734"/>
      <c r="Q25" s="3735"/>
      <c r="R25" s="596">
        <f>IF(C23="万元",ROUND(T25*10000/B25,0),ROUND(S25/B25,0))</f>
        <v>39384</v>
      </c>
      <c r="S25" s="13">
        <f>SUM(S27:S10000)</f>
        <v>14291542</v>
      </c>
      <c r="T25" s="13">
        <f>SUM(T27:T10000)</f>
        <v>1429</v>
      </c>
      <c r="U25" s="17">
        <f>SUM(U27:U10000)</f>
        <v>0</v>
      </c>
      <c r="V25" s="17">
        <f>SUM(V27:V10000)</f>
        <v>0</v>
      </c>
      <c r="W25" s="2957"/>
      <c r="X25" s="17">
        <f>SUM(X27:X10000)</f>
        <v>0</v>
      </c>
      <c r="Y25" s="17">
        <f>SUM(Y27:Y10000)</f>
        <v>0</v>
      </c>
      <c r="Z25" s="1525"/>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181.42</v>
      </c>
      <c r="C27" s="899">
        <v>1</v>
      </c>
      <c r="D27" s="600"/>
      <c r="E27" s="899">
        <v>1</v>
      </c>
      <c r="F27" s="600"/>
      <c r="G27" s="899">
        <v>1</v>
      </c>
      <c r="H27" s="600"/>
      <c r="I27" s="899">
        <v>1</v>
      </c>
      <c r="J27" s="600"/>
      <c r="K27" s="899">
        <v>1</v>
      </c>
      <c r="L27" s="600"/>
      <c r="M27" s="899">
        <v>1</v>
      </c>
      <c r="N27" s="600"/>
      <c r="O27" s="899">
        <v>1</v>
      </c>
      <c r="P27" s="600">
        <v>1</v>
      </c>
      <c r="Q27" s="899">
        <v>1</v>
      </c>
      <c r="R27" s="905">
        <f>'比较法-商业'!C49</f>
        <v>52517</v>
      </c>
      <c r="S27" s="599">
        <f>ROUND(R27*B27,0)</f>
        <v>9527634</v>
      </c>
      <c r="T27" s="599">
        <f>ROUND(R27*B27/10000,0)</f>
        <v>953</v>
      </c>
      <c r="U27" s="2956">
        <f>ROUND(W27*B27,0)</f>
        <v>0</v>
      </c>
      <c r="V27" s="2956">
        <f>ROUND(W27*B27/10000,0)</f>
        <v>0</v>
      </c>
      <c r="W27" s="995"/>
      <c r="X27" s="2956">
        <f>ROUND(Z27*B27,0)</f>
        <v>0</v>
      </c>
      <c r="Y27" s="2956">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t="s">
        <v>3081</v>
      </c>
      <c r="B28" s="20">
        <f>B27</f>
        <v>181.42</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3083</v>
      </c>
      <c r="Q28" s="13">
        <f t="shared" ref="Q28:Q91" si="21">(SUMIF($20:$20,P28,$21:$21)-SUMIF($20:$20,$P$27,$21:$21)+100)/100</f>
        <v>0.5</v>
      </c>
      <c r="R28" s="596">
        <f>IF(B28="",0,ROUND($R$27*C28*E28*G28*I28*K28*M28*O28*Q28,0))</f>
        <v>26259</v>
      </c>
      <c r="S28" s="250">
        <f>ROUND(R28*B28,0)</f>
        <v>4763908</v>
      </c>
      <c r="T28" s="899">
        <f>ROUND(R28*B28/10000,0)</f>
        <v>476</v>
      </c>
      <c r="U28" s="2956">
        <f t="shared" ref="U28:U91" si="22">ROUND(W28*B28,0)</f>
        <v>0</v>
      </c>
      <c r="V28" s="2956">
        <f t="shared" ref="V28:V91" si="23">ROUND(W28*B28/10000,0)</f>
        <v>0</v>
      </c>
      <c r="W28" s="996"/>
      <c r="X28" s="2956">
        <f t="shared" ref="X28:X91" si="24">ROUND(Z28*B28,0)</f>
        <v>0</v>
      </c>
      <c r="Y28" s="2956">
        <f t="shared" ref="Y28:Y91" si="25">ROUND(Z28*B28/10000,0)</f>
        <v>0</v>
      </c>
      <c r="Z28" s="996"/>
    </row>
    <row r="29" spans="1:45">
      <c r="A29" s="20"/>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899">
        <f t="shared" ref="T29:T92" si="28">ROUND(R29*B29/10000,0)</f>
        <v>0</v>
      </c>
      <c r="U29" s="2956">
        <f t="shared" si="22"/>
        <v>0</v>
      </c>
      <c r="V29" s="2956">
        <f t="shared" si="23"/>
        <v>0</v>
      </c>
      <c r="W29" s="996"/>
      <c r="X29" s="2956">
        <f t="shared" si="24"/>
        <v>0</v>
      </c>
      <c r="Y29" s="2956">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6">
        <f t="shared" si="22"/>
        <v>0</v>
      </c>
      <c r="V30" s="2956">
        <f t="shared" si="23"/>
        <v>0</v>
      </c>
      <c r="W30" s="996"/>
      <c r="X30" s="2956">
        <f t="shared" si="24"/>
        <v>0</v>
      </c>
      <c r="Y30" s="2956">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6">
        <f t="shared" si="22"/>
        <v>0</v>
      </c>
      <c r="V31" s="2956">
        <f t="shared" si="23"/>
        <v>0</v>
      </c>
      <c r="W31" s="996"/>
      <c r="X31" s="2956">
        <f t="shared" si="24"/>
        <v>0</v>
      </c>
      <c r="Y31" s="2956">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6">
        <f t="shared" si="22"/>
        <v>0</v>
      </c>
      <c r="V32" s="2956">
        <f t="shared" si="23"/>
        <v>0</v>
      </c>
      <c r="W32" s="996"/>
      <c r="X32" s="2956">
        <f t="shared" si="24"/>
        <v>0</v>
      </c>
      <c r="Y32" s="2956">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6">
        <f t="shared" si="22"/>
        <v>0</v>
      </c>
      <c r="V33" s="2956">
        <f t="shared" si="23"/>
        <v>0</v>
      </c>
      <c r="W33" s="996"/>
      <c r="X33" s="2956">
        <f t="shared" si="24"/>
        <v>0</v>
      </c>
      <c r="Y33" s="2956">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6">
        <f t="shared" si="22"/>
        <v>0</v>
      </c>
      <c r="V34" s="2956">
        <f t="shared" si="23"/>
        <v>0</v>
      </c>
      <c r="W34" s="996"/>
      <c r="X34" s="2956">
        <f t="shared" si="24"/>
        <v>0</v>
      </c>
      <c r="Y34" s="2956">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6">
        <f t="shared" si="22"/>
        <v>0</v>
      </c>
      <c r="V35" s="2956">
        <f t="shared" si="23"/>
        <v>0</v>
      </c>
      <c r="W35" s="996"/>
      <c r="X35" s="2956">
        <f t="shared" si="24"/>
        <v>0</v>
      </c>
      <c r="Y35" s="2956">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6">
        <f t="shared" si="22"/>
        <v>0</v>
      </c>
      <c r="V36" s="2956">
        <f t="shared" si="23"/>
        <v>0</v>
      </c>
      <c r="W36" s="996"/>
      <c r="X36" s="2956">
        <f t="shared" si="24"/>
        <v>0</v>
      </c>
      <c r="Y36" s="2956">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6">
        <f t="shared" si="22"/>
        <v>0</v>
      </c>
      <c r="V37" s="2956">
        <f t="shared" si="23"/>
        <v>0</v>
      </c>
      <c r="W37" s="996"/>
      <c r="X37" s="2956">
        <f t="shared" si="24"/>
        <v>0</v>
      </c>
      <c r="Y37" s="2956">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6">
        <f t="shared" si="22"/>
        <v>0</v>
      </c>
      <c r="V38" s="2956">
        <f t="shared" si="23"/>
        <v>0</v>
      </c>
      <c r="W38" s="996"/>
      <c r="X38" s="2956">
        <f t="shared" si="24"/>
        <v>0</v>
      </c>
      <c r="Y38" s="2956">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6">
        <f t="shared" si="22"/>
        <v>0</v>
      </c>
      <c r="V39" s="2956">
        <f t="shared" si="23"/>
        <v>0</v>
      </c>
      <c r="W39" s="996"/>
      <c r="X39" s="2956">
        <f t="shared" si="24"/>
        <v>0</v>
      </c>
      <c r="Y39" s="2956">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6">
        <f t="shared" si="22"/>
        <v>0</v>
      </c>
      <c r="V40" s="2956">
        <f t="shared" si="23"/>
        <v>0</v>
      </c>
      <c r="W40" s="996"/>
      <c r="X40" s="2956">
        <f t="shared" si="24"/>
        <v>0</v>
      </c>
      <c r="Y40" s="2956">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6">
        <f t="shared" si="22"/>
        <v>0</v>
      </c>
      <c r="V41" s="2956">
        <f t="shared" si="23"/>
        <v>0</v>
      </c>
      <c r="W41" s="996"/>
      <c r="X41" s="2956">
        <f t="shared" si="24"/>
        <v>0</v>
      </c>
      <c r="Y41" s="2956">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6">
        <f t="shared" si="22"/>
        <v>0</v>
      </c>
      <c r="V42" s="2956">
        <f t="shared" si="23"/>
        <v>0</v>
      </c>
      <c r="W42" s="996"/>
      <c r="X42" s="2956">
        <f t="shared" si="24"/>
        <v>0</v>
      </c>
      <c r="Y42" s="2956">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6">
        <f t="shared" si="22"/>
        <v>0</v>
      </c>
      <c r="V43" s="2956">
        <f t="shared" si="23"/>
        <v>0</v>
      </c>
      <c r="W43" s="996"/>
      <c r="X43" s="2956">
        <f t="shared" si="24"/>
        <v>0</v>
      </c>
      <c r="Y43" s="2956">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6">
        <f t="shared" si="22"/>
        <v>0</v>
      </c>
      <c r="V44" s="2956">
        <f t="shared" si="23"/>
        <v>0</v>
      </c>
      <c r="W44" s="996"/>
      <c r="X44" s="2956">
        <f t="shared" si="24"/>
        <v>0</v>
      </c>
      <c r="Y44" s="2956">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6">
        <f t="shared" si="22"/>
        <v>0</v>
      </c>
      <c r="V45" s="2956">
        <f t="shared" si="23"/>
        <v>0</v>
      </c>
      <c r="W45" s="996"/>
      <c r="X45" s="2956">
        <f t="shared" si="24"/>
        <v>0</v>
      </c>
      <c r="Y45" s="2956">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6">
        <f t="shared" si="22"/>
        <v>0</v>
      </c>
      <c r="V46" s="2956">
        <f t="shared" si="23"/>
        <v>0</v>
      </c>
      <c r="W46" s="996"/>
      <c r="X46" s="2956">
        <f t="shared" si="24"/>
        <v>0</v>
      </c>
      <c r="Y46" s="2956">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6">
        <f t="shared" si="22"/>
        <v>0</v>
      </c>
      <c r="V47" s="2956">
        <f t="shared" si="23"/>
        <v>0</v>
      </c>
      <c r="W47" s="996"/>
      <c r="X47" s="2956">
        <f t="shared" si="24"/>
        <v>0</v>
      </c>
      <c r="Y47" s="2956">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6">
        <f t="shared" si="22"/>
        <v>0</v>
      </c>
      <c r="V48" s="2956">
        <f t="shared" si="23"/>
        <v>0</v>
      </c>
      <c r="W48" s="996"/>
      <c r="X48" s="2956">
        <f t="shared" si="24"/>
        <v>0</v>
      </c>
      <c r="Y48" s="2956">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6">
        <f t="shared" si="22"/>
        <v>0</v>
      </c>
      <c r="V49" s="2956">
        <f t="shared" si="23"/>
        <v>0</v>
      </c>
      <c r="W49" s="996"/>
      <c r="X49" s="2956">
        <f t="shared" si="24"/>
        <v>0</v>
      </c>
      <c r="Y49" s="2956">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6">
        <f t="shared" si="22"/>
        <v>0</v>
      </c>
      <c r="V50" s="2956">
        <f t="shared" si="23"/>
        <v>0</v>
      </c>
      <c r="W50" s="996"/>
      <c r="X50" s="2956">
        <f t="shared" si="24"/>
        <v>0</v>
      </c>
      <c r="Y50" s="2956">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6">
        <f t="shared" si="22"/>
        <v>0</v>
      </c>
      <c r="V51" s="2956">
        <f t="shared" si="23"/>
        <v>0</v>
      </c>
      <c r="W51" s="996"/>
      <c r="X51" s="2956">
        <f t="shared" si="24"/>
        <v>0</v>
      </c>
      <c r="Y51" s="2956">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6">
        <f t="shared" si="22"/>
        <v>0</v>
      </c>
      <c r="V52" s="2956">
        <f t="shared" si="23"/>
        <v>0</v>
      </c>
      <c r="W52" s="996"/>
      <c r="X52" s="2956">
        <f t="shared" si="24"/>
        <v>0</v>
      </c>
      <c r="Y52" s="2956">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6">
        <f t="shared" si="22"/>
        <v>0</v>
      </c>
      <c r="V53" s="2956">
        <f t="shared" si="23"/>
        <v>0</v>
      </c>
      <c r="W53" s="996"/>
      <c r="X53" s="2956">
        <f t="shared" si="24"/>
        <v>0</v>
      </c>
      <c r="Y53" s="2956">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6">
        <f t="shared" si="22"/>
        <v>0</v>
      </c>
      <c r="V54" s="2956">
        <f t="shared" si="23"/>
        <v>0</v>
      </c>
      <c r="W54" s="996"/>
      <c r="X54" s="2956">
        <f t="shared" si="24"/>
        <v>0</v>
      </c>
      <c r="Y54" s="2956">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6">
        <f t="shared" si="22"/>
        <v>0</v>
      </c>
      <c r="V55" s="2956">
        <f t="shared" si="23"/>
        <v>0</v>
      </c>
      <c r="W55" s="996"/>
      <c r="X55" s="2956">
        <f t="shared" si="24"/>
        <v>0</v>
      </c>
      <c r="Y55" s="2956">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6">
        <f t="shared" si="22"/>
        <v>0</v>
      </c>
      <c r="V56" s="2956">
        <f t="shared" si="23"/>
        <v>0</v>
      </c>
      <c r="W56" s="996"/>
      <c r="X56" s="2956">
        <f t="shared" si="24"/>
        <v>0</v>
      </c>
      <c r="Y56" s="2956">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6">
        <f t="shared" si="22"/>
        <v>0</v>
      </c>
      <c r="V57" s="2956">
        <f t="shared" si="23"/>
        <v>0</v>
      </c>
      <c r="W57" s="996"/>
      <c r="X57" s="2956">
        <f t="shared" si="24"/>
        <v>0</v>
      </c>
      <c r="Y57" s="2956">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6">
        <f t="shared" si="22"/>
        <v>0</v>
      </c>
      <c r="V58" s="2956">
        <f t="shared" si="23"/>
        <v>0</v>
      </c>
      <c r="W58" s="996"/>
      <c r="X58" s="2956">
        <f t="shared" si="24"/>
        <v>0</v>
      </c>
      <c r="Y58" s="2956">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6">
        <f t="shared" si="22"/>
        <v>0</v>
      </c>
      <c r="V59" s="2956">
        <f t="shared" si="23"/>
        <v>0</v>
      </c>
      <c r="W59" s="996"/>
      <c r="X59" s="2956">
        <f t="shared" si="24"/>
        <v>0</v>
      </c>
      <c r="Y59" s="2956">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6">
        <f t="shared" si="22"/>
        <v>0</v>
      </c>
      <c r="V60" s="2956">
        <f t="shared" si="23"/>
        <v>0</v>
      </c>
      <c r="W60" s="996"/>
      <c r="X60" s="2956">
        <f t="shared" si="24"/>
        <v>0</v>
      </c>
      <c r="Y60" s="2956">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6">
        <f t="shared" si="22"/>
        <v>0</v>
      </c>
      <c r="V61" s="2956">
        <f t="shared" si="23"/>
        <v>0</v>
      </c>
      <c r="W61" s="996"/>
      <c r="X61" s="2956">
        <f t="shared" si="24"/>
        <v>0</v>
      </c>
      <c r="Y61" s="2956">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6">
        <f t="shared" si="22"/>
        <v>0</v>
      </c>
      <c r="V62" s="2956">
        <f t="shared" si="23"/>
        <v>0</v>
      </c>
      <c r="W62" s="996"/>
      <c r="X62" s="2956">
        <f t="shared" si="24"/>
        <v>0</v>
      </c>
      <c r="Y62" s="2956">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6">
        <f t="shared" si="22"/>
        <v>0</v>
      </c>
      <c r="V63" s="2956">
        <f t="shared" si="23"/>
        <v>0</v>
      </c>
      <c r="W63" s="996"/>
      <c r="X63" s="2956">
        <f t="shared" si="24"/>
        <v>0</v>
      </c>
      <c r="Y63" s="2956">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6">
        <f t="shared" si="22"/>
        <v>0</v>
      </c>
      <c r="V64" s="2956">
        <f t="shared" si="23"/>
        <v>0</v>
      </c>
      <c r="W64" s="996"/>
      <c r="X64" s="2956">
        <f t="shared" si="24"/>
        <v>0</v>
      </c>
      <c r="Y64" s="2956">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6">
        <f t="shared" si="22"/>
        <v>0</v>
      </c>
      <c r="V65" s="2956">
        <f t="shared" si="23"/>
        <v>0</v>
      </c>
      <c r="W65" s="996"/>
      <c r="X65" s="2956">
        <f t="shared" si="24"/>
        <v>0</v>
      </c>
      <c r="Y65" s="2956">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6">
        <f t="shared" si="22"/>
        <v>0</v>
      </c>
      <c r="V66" s="2956">
        <f t="shared" si="23"/>
        <v>0</v>
      </c>
      <c r="W66" s="996"/>
      <c r="X66" s="2956">
        <f t="shared" si="24"/>
        <v>0</v>
      </c>
      <c r="Y66" s="2956">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6">
        <f t="shared" si="22"/>
        <v>0</v>
      </c>
      <c r="V67" s="2956">
        <f t="shared" si="23"/>
        <v>0</v>
      </c>
      <c r="W67" s="996"/>
      <c r="X67" s="2956">
        <f t="shared" si="24"/>
        <v>0</v>
      </c>
      <c r="Y67" s="2956">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6">
        <f t="shared" si="22"/>
        <v>0</v>
      </c>
      <c r="V68" s="2956">
        <f t="shared" si="23"/>
        <v>0</v>
      </c>
      <c r="W68" s="996"/>
      <c r="X68" s="2956">
        <f t="shared" si="24"/>
        <v>0</v>
      </c>
      <c r="Y68" s="2956">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6">
        <f t="shared" si="22"/>
        <v>0</v>
      </c>
      <c r="V69" s="2956">
        <f t="shared" si="23"/>
        <v>0</v>
      </c>
      <c r="W69" s="996"/>
      <c r="X69" s="2956">
        <f t="shared" si="24"/>
        <v>0</v>
      </c>
      <c r="Y69" s="2956">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6">
        <f t="shared" si="22"/>
        <v>0</v>
      </c>
      <c r="V70" s="2956">
        <f t="shared" si="23"/>
        <v>0</v>
      </c>
      <c r="W70" s="996"/>
      <c r="X70" s="2956">
        <f t="shared" si="24"/>
        <v>0</v>
      </c>
      <c r="Y70" s="2956">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6">
        <f t="shared" si="22"/>
        <v>0</v>
      </c>
      <c r="V71" s="2956">
        <f t="shared" si="23"/>
        <v>0</v>
      </c>
      <c r="W71" s="996"/>
      <c r="X71" s="2956">
        <f t="shared" si="24"/>
        <v>0</v>
      </c>
      <c r="Y71" s="2956">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6">
        <f t="shared" si="22"/>
        <v>0</v>
      </c>
      <c r="V72" s="2956">
        <f t="shared" si="23"/>
        <v>0</v>
      </c>
      <c r="W72" s="996"/>
      <c r="X72" s="2956">
        <f t="shared" si="24"/>
        <v>0</v>
      </c>
      <c r="Y72" s="2956">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6">
        <f t="shared" si="22"/>
        <v>0</v>
      </c>
      <c r="V73" s="2956">
        <f t="shared" si="23"/>
        <v>0</v>
      </c>
      <c r="W73" s="996"/>
      <c r="X73" s="2956">
        <f t="shared" si="24"/>
        <v>0</v>
      </c>
      <c r="Y73" s="2956">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6">
        <f t="shared" si="22"/>
        <v>0</v>
      </c>
      <c r="V74" s="2956">
        <f t="shared" si="23"/>
        <v>0</v>
      </c>
      <c r="W74" s="996"/>
      <c r="X74" s="2956">
        <f t="shared" si="24"/>
        <v>0</v>
      </c>
      <c r="Y74" s="2956">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6">
        <f t="shared" si="22"/>
        <v>0</v>
      </c>
      <c r="V75" s="2956">
        <f t="shared" si="23"/>
        <v>0</v>
      </c>
      <c r="W75" s="996"/>
      <c r="X75" s="2956">
        <f t="shared" si="24"/>
        <v>0</v>
      </c>
      <c r="Y75" s="2956">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6">
        <f t="shared" si="22"/>
        <v>0</v>
      </c>
      <c r="V76" s="2956">
        <f t="shared" si="23"/>
        <v>0</v>
      </c>
      <c r="W76" s="996"/>
      <c r="X76" s="2956">
        <f t="shared" si="24"/>
        <v>0</v>
      </c>
      <c r="Y76" s="2956">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6">
        <f t="shared" si="22"/>
        <v>0</v>
      </c>
      <c r="V77" s="2956">
        <f t="shared" si="23"/>
        <v>0</v>
      </c>
      <c r="W77" s="996"/>
      <c r="X77" s="2956">
        <f t="shared" si="24"/>
        <v>0</v>
      </c>
      <c r="Y77" s="2956">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6">
        <f t="shared" si="22"/>
        <v>0</v>
      </c>
      <c r="V78" s="2956">
        <f t="shared" si="23"/>
        <v>0</v>
      </c>
      <c r="W78" s="996"/>
      <c r="X78" s="2956">
        <f t="shared" si="24"/>
        <v>0</v>
      </c>
      <c r="Y78" s="2956">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6">
        <f t="shared" si="22"/>
        <v>0</v>
      </c>
      <c r="V79" s="2956">
        <f t="shared" si="23"/>
        <v>0</v>
      </c>
      <c r="W79" s="996"/>
      <c r="X79" s="2956">
        <f t="shared" si="24"/>
        <v>0</v>
      </c>
      <c r="Y79" s="2956">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6">
        <f t="shared" si="22"/>
        <v>0</v>
      </c>
      <c r="V80" s="2956">
        <f t="shared" si="23"/>
        <v>0</v>
      </c>
      <c r="W80" s="996"/>
      <c r="X80" s="2956">
        <f t="shared" si="24"/>
        <v>0</v>
      </c>
      <c r="Y80" s="2956">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6">
        <f t="shared" si="22"/>
        <v>0</v>
      </c>
      <c r="V81" s="2956">
        <f t="shared" si="23"/>
        <v>0</v>
      </c>
      <c r="W81" s="996"/>
      <c r="X81" s="2956">
        <f t="shared" si="24"/>
        <v>0</v>
      </c>
      <c r="Y81" s="2956">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6">
        <f t="shared" si="22"/>
        <v>0</v>
      </c>
      <c r="V82" s="2956">
        <f t="shared" si="23"/>
        <v>0</v>
      </c>
      <c r="W82" s="996"/>
      <c r="X82" s="2956">
        <f t="shared" si="24"/>
        <v>0</v>
      </c>
      <c r="Y82" s="2956">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6">
        <f t="shared" si="22"/>
        <v>0</v>
      </c>
      <c r="V83" s="2956">
        <f t="shared" si="23"/>
        <v>0</v>
      </c>
      <c r="W83" s="996"/>
      <c r="X83" s="2956">
        <f t="shared" si="24"/>
        <v>0</v>
      </c>
      <c r="Y83" s="2956">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6">
        <f t="shared" si="22"/>
        <v>0</v>
      </c>
      <c r="V84" s="2956">
        <f t="shared" si="23"/>
        <v>0</v>
      </c>
      <c r="W84" s="996"/>
      <c r="X84" s="2956">
        <f t="shared" si="24"/>
        <v>0</v>
      </c>
      <c r="Y84" s="2956">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6">
        <f t="shared" si="22"/>
        <v>0</v>
      </c>
      <c r="V85" s="2956">
        <f t="shared" si="23"/>
        <v>0</v>
      </c>
      <c r="W85" s="996"/>
      <c r="X85" s="2956">
        <f t="shared" si="24"/>
        <v>0</v>
      </c>
      <c r="Y85" s="2956">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6">
        <f t="shared" si="22"/>
        <v>0</v>
      </c>
      <c r="V86" s="2956">
        <f t="shared" si="23"/>
        <v>0</v>
      </c>
      <c r="W86" s="996"/>
      <c r="X86" s="2956">
        <f t="shared" si="24"/>
        <v>0</v>
      </c>
      <c r="Y86" s="2956">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6">
        <f t="shared" si="22"/>
        <v>0</v>
      </c>
      <c r="V87" s="2956">
        <f t="shared" si="23"/>
        <v>0</v>
      </c>
      <c r="W87" s="996"/>
      <c r="X87" s="2956">
        <f t="shared" si="24"/>
        <v>0</v>
      </c>
      <c r="Y87" s="2956">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6">
        <f t="shared" si="22"/>
        <v>0</v>
      </c>
      <c r="V88" s="2956">
        <f t="shared" si="23"/>
        <v>0</v>
      </c>
      <c r="W88" s="996"/>
      <c r="X88" s="2956">
        <f t="shared" si="24"/>
        <v>0</v>
      </c>
      <c r="Y88" s="2956">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6">
        <f t="shared" si="22"/>
        <v>0</v>
      </c>
      <c r="V89" s="2956">
        <f t="shared" si="23"/>
        <v>0</v>
      </c>
      <c r="W89" s="996"/>
      <c r="X89" s="2956">
        <f t="shared" si="24"/>
        <v>0</v>
      </c>
      <c r="Y89" s="2956">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6">
        <f t="shared" si="22"/>
        <v>0</v>
      </c>
      <c r="V90" s="2956">
        <f t="shared" si="23"/>
        <v>0</v>
      </c>
      <c r="W90" s="996"/>
      <c r="X90" s="2956">
        <f t="shared" si="24"/>
        <v>0</v>
      </c>
      <c r="Y90" s="2956">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6">
        <f t="shared" si="22"/>
        <v>0</v>
      </c>
      <c r="V91" s="2956">
        <f t="shared" si="23"/>
        <v>0</v>
      </c>
      <c r="W91" s="996"/>
      <c r="X91" s="2956">
        <f t="shared" si="24"/>
        <v>0</v>
      </c>
      <c r="Y91" s="2956">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6">
        <f t="shared" ref="U92:U155" si="37">ROUND(W92*B92,0)</f>
        <v>0</v>
      </c>
      <c r="V92" s="2956">
        <f t="shared" ref="V92:V155" si="38">ROUND(W92*B92/10000,0)</f>
        <v>0</v>
      </c>
      <c r="W92" s="996"/>
      <c r="X92" s="2956">
        <f t="shared" ref="X92:X155" si="39">ROUND(Z92*B92,0)</f>
        <v>0</v>
      </c>
      <c r="Y92" s="2956">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6">
        <f t="shared" si="37"/>
        <v>0</v>
      </c>
      <c r="V93" s="2956">
        <f t="shared" si="38"/>
        <v>0</v>
      </c>
      <c r="W93" s="996"/>
      <c r="X93" s="2956">
        <f t="shared" si="39"/>
        <v>0</v>
      </c>
      <c r="Y93" s="2956">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6">
        <f t="shared" si="37"/>
        <v>0</v>
      </c>
      <c r="V94" s="2956">
        <f t="shared" si="38"/>
        <v>0</v>
      </c>
      <c r="W94" s="996"/>
      <c r="X94" s="2956">
        <f t="shared" si="39"/>
        <v>0</v>
      </c>
      <c r="Y94" s="2956">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6">
        <f t="shared" si="37"/>
        <v>0</v>
      </c>
      <c r="V95" s="2956">
        <f t="shared" si="38"/>
        <v>0</v>
      </c>
      <c r="W95" s="996"/>
      <c r="X95" s="2956">
        <f t="shared" si="39"/>
        <v>0</v>
      </c>
      <c r="Y95" s="2956">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6">
        <f t="shared" si="37"/>
        <v>0</v>
      </c>
      <c r="V96" s="2956">
        <f t="shared" si="38"/>
        <v>0</v>
      </c>
      <c r="W96" s="996"/>
      <c r="X96" s="2956">
        <f t="shared" si="39"/>
        <v>0</v>
      </c>
      <c r="Y96" s="2956">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6">
        <f t="shared" si="37"/>
        <v>0</v>
      </c>
      <c r="V97" s="2956">
        <f t="shared" si="38"/>
        <v>0</v>
      </c>
      <c r="W97" s="996"/>
      <c r="X97" s="2956">
        <f t="shared" si="39"/>
        <v>0</v>
      </c>
      <c r="Y97" s="2956">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6">
        <f t="shared" si="37"/>
        <v>0</v>
      </c>
      <c r="V98" s="2956">
        <f t="shared" si="38"/>
        <v>0</v>
      </c>
      <c r="W98" s="996"/>
      <c r="X98" s="2956">
        <f t="shared" si="39"/>
        <v>0</v>
      </c>
      <c r="Y98" s="2956">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6">
        <f t="shared" si="37"/>
        <v>0</v>
      </c>
      <c r="V99" s="2956">
        <f t="shared" si="38"/>
        <v>0</v>
      </c>
      <c r="W99" s="996"/>
      <c r="X99" s="2956">
        <f t="shared" si="39"/>
        <v>0</v>
      </c>
      <c r="Y99" s="2956">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6">
        <f t="shared" si="37"/>
        <v>0</v>
      </c>
      <c r="V100" s="2956">
        <f t="shared" si="38"/>
        <v>0</v>
      </c>
      <c r="W100" s="996"/>
      <c r="X100" s="2956">
        <f t="shared" si="39"/>
        <v>0</v>
      </c>
      <c r="Y100" s="2956">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6">
        <f t="shared" si="37"/>
        <v>0</v>
      </c>
      <c r="V101" s="2956">
        <f t="shared" si="38"/>
        <v>0</v>
      </c>
      <c r="W101" s="996"/>
      <c r="X101" s="2956">
        <f t="shared" si="39"/>
        <v>0</v>
      </c>
      <c r="Y101" s="2956">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6">
        <f t="shared" si="37"/>
        <v>0</v>
      </c>
      <c r="V102" s="2956">
        <f t="shared" si="38"/>
        <v>0</v>
      </c>
      <c r="W102" s="996"/>
      <c r="X102" s="2956">
        <f t="shared" si="39"/>
        <v>0</v>
      </c>
      <c r="Y102" s="2956">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6">
        <f t="shared" si="37"/>
        <v>0</v>
      </c>
      <c r="V103" s="2956">
        <f t="shared" si="38"/>
        <v>0</v>
      </c>
      <c r="W103" s="996"/>
      <c r="X103" s="2956">
        <f t="shared" si="39"/>
        <v>0</v>
      </c>
      <c r="Y103" s="2956">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6">
        <f t="shared" si="37"/>
        <v>0</v>
      </c>
      <c r="V104" s="2956">
        <f t="shared" si="38"/>
        <v>0</v>
      </c>
      <c r="W104" s="996"/>
      <c r="X104" s="2956">
        <f t="shared" si="39"/>
        <v>0</v>
      </c>
      <c r="Y104" s="2956">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6">
        <f t="shared" si="37"/>
        <v>0</v>
      </c>
      <c r="V105" s="2956">
        <f t="shared" si="38"/>
        <v>0</v>
      </c>
      <c r="W105" s="996"/>
      <c r="X105" s="2956">
        <f t="shared" si="39"/>
        <v>0</v>
      </c>
      <c r="Y105" s="2956">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6">
        <f t="shared" si="37"/>
        <v>0</v>
      </c>
      <c r="V106" s="2956">
        <f t="shared" si="38"/>
        <v>0</v>
      </c>
      <c r="W106" s="996"/>
      <c r="X106" s="2956">
        <f t="shared" si="39"/>
        <v>0</v>
      </c>
      <c r="Y106" s="2956">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6">
        <f t="shared" si="37"/>
        <v>0</v>
      </c>
      <c r="V107" s="2956">
        <f t="shared" si="38"/>
        <v>0</v>
      </c>
      <c r="W107" s="996"/>
      <c r="X107" s="2956">
        <f t="shared" si="39"/>
        <v>0</v>
      </c>
      <c r="Y107" s="2956">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6">
        <f t="shared" si="37"/>
        <v>0</v>
      </c>
      <c r="V108" s="2956">
        <f t="shared" si="38"/>
        <v>0</v>
      </c>
      <c r="W108" s="996"/>
      <c r="X108" s="2956">
        <f t="shared" si="39"/>
        <v>0</v>
      </c>
      <c r="Y108" s="2956">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6">
        <f t="shared" si="37"/>
        <v>0</v>
      </c>
      <c r="V109" s="2956">
        <f t="shared" si="38"/>
        <v>0</v>
      </c>
      <c r="W109" s="996"/>
      <c r="X109" s="2956">
        <f t="shared" si="39"/>
        <v>0</v>
      </c>
      <c r="Y109" s="2956">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6">
        <f t="shared" si="37"/>
        <v>0</v>
      </c>
      <c r="V110" s="2956">
        <f t="shared" si="38"/>
        <v>0</v>
      </c>
      <c r="W110" s="996"/>
      <c r="X110" s="2956">
        <f t="shared" si="39"/>
        <v>0</v>
      </c>
      <c r="Y110" s="2956">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6">
        <f t="shared" si="37"/>
        <v>0</v>
      </c>
      <c r="V111" s="2956">
        <f t="shared" si="38"/>
        <v>0</v>
      </c>
      <c r="W111" s="996"/>
      <c r="X111" s="2956">
        <f t="shared" si="39"/>
        <v>0</v>
      </c>
      <c r="Y111" s="2956">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6">
        <f t="shared" si="37"/>
        <v>0</v>
      </c>
      <c r="V112" s="2956">
        <f t="shared" si="38"/>
        <v>0</v>
      </c>
      <c r="W112" s="996"/>
      <c r="X112" s="2956">
        <f t="shared" si="39"/>
        <v>0</v>
      </c>
      <c r="Y112" s="2956">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6">
        <f t="shared" si="37"/>
        <v>0</v>
      </c>
      <c r="V113" s="2956">
        <f t="shared" si="38"/>
        <v>0</v>
      </c>
      <c r="W113" s="996"/>
      <c r="X113" s="2956">
        <f t="shared" si="39"/>
        <v>0</v>
      </c>
      <c r="Y113" s="2956">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6">
        <f t="shared" si="37"/>
        <v>0</v>
      </c>
      <c r="V114" s="2956">
        <f t="shared" si="38"/>
        <v>0</v>
      </c>
      <c r="W114" s="996"/>
      <c r="X114" s="2956">
        <f t="shared" si="39"/>
        <v>0</v>
      </c>
      <c r="Y114" s="2956">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6">
        <f t="shared" si="37"/>
        <v>0</v>
      </c>
      <c r="V115" s="2956">
        <f t="shared" si="38"/>
        <v>0</v>
      </c>
      <c r="W115" s="996"/>
      <c r="X115" s="2956">
        <f t="shared" si="39"/>
        <v>0</v>
      </c>
      <c r="Y115" s="2956">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6">
        <f t="shared" si="37"/>
        <v>0</v>
      </c>
      <c r="V116" s="2956">
        <f t="shared" si="38"/>
        <v>0</v>
      </c>
      <c r="W116" s="996"/>
      <c r="X116" s="2956">
        <f t="shared" si="39"/>
        <v>0</v>
      </c>
      <c r="Y116" s="2956">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6">
        <f t="shared" si="37"/>
        <v>0</v>
      </c>
      <c r="V117" s="2956">
        <f t="shared" si="38"/>
        <v>0</v>
      </c>
      <c r="W117" s="996"/>
      <c r="X117" s="2956">
        <f t="shared" si="39"/>
        <v>0</v>
      </c>
      <c r="Y117" s="2956">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6">
        <f t="shared" si="37"/>
        <v>0</v>
      </c>
      <c r="V118" s="2956">
        <f t="shared" si="38"/>
        <v>0</v>
      </c>
      <c r="W118" s="996"/>
      <c r="X118" s="2956">
        <f t="shared" si="39"/>
        <v>0</v>
      </c>
      <c r="Y118" s="2956">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6">
        <f t="shared" si="37"/>
        <v>0</v>
      </c>
      <c r="V119" s="2956">
        <f t="shared" si="38"/>
        <v>0</v>
      </c>
      <c r="W119" s="996"/>
      <c r="X119" s="2956">
        <f t="shared" si="39"/>
        <v>0</v>
      </c>
      <c r="Y119" s="2956">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6">
        <f t="shared" si="37"/>
        <v>0</v>
      </c>
      <c r="V120" s="2956">
        <f t="shared" si="38"/>
        <v>0</v>
      </c>
      <c r="W120" s="996"/>
      <c r="X120" s="2956">
        <f t="shared" si="39"/>
        <v>0</v>
      </c>
      <c r="Y120" s="2956">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6">
        <f t="shared" si="37"/>
        <v>0</v>
      </c>
      <c r="V121" s="2956">
        <f t="shared" si="38"/>
        <v>0</v>
      </c>
      <c r="W121" s="996"/>
      <c r="X121" s="2956">
        <f t="shared" si="39"/>
        <v>0</v>
      </c>
      <c r="Y121" s="2956">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6">
        <f t="shared" si="37"/>
        <v>0</v>
      </c>
      <c r="V122" s="2956">
        <f t="shared" si="38"/>
        <v>0</v>
      </c>
      <c r="W122" s="996"/>
      <c r="X122" s="2956">
        <f t="shared" si="39"/>
        <v>0</v>
      </c>
      <c r="Y122" s="2956">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6">
        <f t="shared" si="37"/>
        <v>0</v>
      </c>
      <c r="V123" s="2956">
        <f t="shared" si="38"/>
        <v>0</v>
      </c>
      <c r="W123" s="996"/>
      <c r="X123" s="2956">
        <f t="shared" si="39"/>
        <v>0</v>
      </c>
      <c r="Y123" s="2956">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6">
        <f t="shared" si="37"/>
        <v>0</v>
      </c>
      <c r="V124" s="2956">
        <f t="shared" si="38"/>
        <v>0</v>
      </c>
      <c r="W124" s="996"/>
      <c r="X124" s="2956">
        <f t="shared" si="39"/>
        <v>0</v>
      </c>
      <c r="Y124" s="2956">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6">
        <f t="shared" si="37"/>
        <v>0</v>
      </c>
      <c r="V125" s="2956">
        <f t="shared" si="38"/>
        <v>0</v>
      </c>
      <c r="W125" s="996"/>
      <c r="X125" s="2956">
        <f t="shared" si="39"/>
        <v>0</v>
      </c>
      <c r="Y125" s="2956">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6">
        <f t="shared" si="37"/>
        <v>0</v>
      </c>
      <c r="V126" s="2956">
        <f t="shared" si="38"/>
        <v>0</v>
      </c>
      <c r="W126" s="996"/>
      <c r="X126" s="2956">
        <f t="shared" si="39"/>
        <v>0</v>
      </c>
      <c r="Y126" s="2956">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6">
        <f t="shared" si="37"/>
        <v>0</v>
      </c>
      <c r="V127" s="2956">
        <f t="shared" si="38"/>
        <v>0</v>
      </c>
      <c r="W127" s="996"/>
      <c r="X127" s="2956">
        <f t="shared" si="39"/>
        <v>0</v>
      </c>
      <c r="Y127" s="2956">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6">
        <f t="shared" si="37"/>
        <v>0</v>
      </c>
      <c r="V128" s="2956">
        <f t="shared" si="38"/>
        <v>0</v>
      </c>
      <c r="W128" s="996"/>
      <c r="X128" s="2956">
        <f t="shared" si="39"/>
        <v>0</v>
      </c>
      <c r="Y128" s="2956">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6">
        <f t="shared" si="37"/>
        <v>0</v>
      </c>
      <c r="V129" s="2956">
        <f t="shared" si="38"/>
        <v>0</v>
      </c>
      <c r="W129" s="996"/>
      <c r="X129" s="2956">
        <f t="shared" si="39"/>
        <v>0</v>
      </c>
      <c r="Y129" s="2956">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6">
        <f t="shared" si="37"/>
        <v>0</v>
      </c>
      <c r="V130" s="2956">
        <f t="shared" si="38"/>
        <v>0</v>
      </c>
      <c r="W130" s="996"/>
      <c r="X130" s="2956">
        <f t="shared" si="39"/>
        <v>0</v>
      </c>
      <c r="Y130" s="2956">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6">
        <f t="shared" si="37"/>
        <v>0</v>
      </c>
      <c r="V131" s="2956">
        <f t="shared" si="38"/>
        <v>0</v>
      </c>
      <c r="W131" s="996"/>
      <c r="X131" s="2956">
        <f t="shared" si="39"/>
        <v>0</v>
      </c>
      <c r="Y131" s="2956">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6">
        <f t="shared" si="37"/>
        <v>0</v>
      </c>
      <c r="V132" s="2956">
        <f t="shared" si="38"/>
        <v>0</v>
      </c>
      <c r="W132" s="996"/>
      <c r="X132" s="2956">
        <f t="shared" si="39"/>
        <v>0</v>
      </c>
      <c r="Y132" s="2956">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6">
        <f t="shared" si="37"/>
        <v>0</v>
      </c>
      <c r="V133" s="2956">
        <f t="shared" si="38"/>
        <v>0</v>
      </c>
      <c r="W133" s="996"/>
      <c r="X133" s="2956">
        <f t="shared" si="39"/>
        <v>0</v>
      </c>
      <c r="Y133" s="2956">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6">
        <f t="shared" si="37"/>
        <v>0</v>
      </c>
      <c r="V134" s="2956">
        <f t="shared" si="38"/>
        <v>0</v>
      </c>
      <c r="W134" s="996"/>
      <c r="X134" s="2956">
        <f t="shared" si="39"/>
        <v>0</v>
      </c>
      <c r="Y134" s="2956">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6">
        <f t="shared" si="37"/>
        <v>0</v>
      </c>
      <c r="V135" s="2956">
        <f t="shared" si="38"/>
        <v>0</v>
      </c>
      <c r="W135" s="996"/>
      <c r="X135" s="2956">
        <f t="shared" si="39"/>
        <v>0</v>
      </c>
      <c r="Y135" s="2956">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6">
        <f t="shared" si="37"/>
        <v>0</v>
      </c>
      <c r="V136" s="2956">
        <f t="shared" si="38"/>
        <v>0</v>
      </c>
      <c r="W136" s="996"/>
      <c r="X136" s="2956">
        <f t="shared" si="39"/>
        <v>0</v>
      </c>
      <c r="Y136" s="2956">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6">
        <f t="shared" si="37"/>
        <v>0</v>
      </c>
      <c r="V137" s="2956">
        <f t="shared" si="38"/>
        <v>0</v>
      </c>
      <c r="W137" s="996"/>
      <c r="X137" s="2956">
        <f t="shared" si="39"/>
        <v>0</v>
      </c>
      <c r="Y137" s="2956">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6">
        <f t="shared" si="37"/>
        <v>0</v>
      </c>
      <c r="V138" s="2956">
        <f t="shared" si="38"/>
        <v>0</v>
      </c>
      <c r="W138" s="996"/>
      <c r="X138" s="2956">
        <f t="shared" si="39"/>
        <v>0</v>
      </c>
      <c r="Y138" s="2956">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6">
        <f t="shared" si="37"/>
        <v>0</v>
      </c>
      <c r="V139" s="2956">
        <f t="shared" si="38"/>
        <v>0</v>
      </c>
      <c r="W139" s="996"/>
      <c r="X139" s="2956">
        <f t="shared" si="39"/>
        <v>0</v>
      </c>
      <c r="Y139" s="2956">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6">
        <f t="shared" si="37"/>
        <v>0</v>
      </c>
      <c r="V140" s="2956">
        <f t="shared" si="38"/>
        <v>0</v>
      </c>
      <c r="W140" s="996"/>
      <c r="X140" s="2956">
        <f t="shared" si="39"/>
        <v>0</v>
      </c>
      <c r="Y140" s="2956">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6">
        <f t="shared" si="37"/>
        <v>0</v>
      </c>
      <c r="V141" s="2956">
        <f t="shared" si="38"/>
        <v>0</v>
      </c>
      <c r="W141" s="996"/>
      <c r="X141" s="2956">
        <f t="shared" si="39"/>
        <v>0</v>
      </c>
      <c r="Y141" s="2956">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6">
        <f t="shared" si="37"/>
        <v>0</v>
      </c>
      <c r="V142" s="2956">
        <f t="shared" si="38"/>
        <v>0</v>
      </c>
      <c r="W142" s="996"/>
      <c r="X142" s="2956">
        <f t="shared" si="39"/>
        <v>0</v>
      </c>
      <c r="Y142" s="2956">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6">
        <f t="shared" si="37"/>
        <v>0</v>
      </c>
      <c r="V143" s="2956">
        <f t="shared" si="38"/>
        <v>0</v>
      </c>
      <c r="W143" s="996"/>
      <c r="X143" s="2956">
        <f t="shared" si="39"/>
        <v>0</v>
      </c>
      <c r="Y143" s="2956">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6">
        <f t="shared" si="37"/>
        <v>0</v>
      </c>
      <c r="V144" s="2956">
        <f t="shared" si="38"/>
        <v>0</v>
      </c>
      <c r="W144" s="996"/>
      <c r="X144" s="2956">
        <f t="shared" si="39"/>
        <v>0</v>
      </c>
      <c r="Y144" s="2956">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6">
        <f t="shared" si="37"/>
        <v>0</v>
      </c>
      <c r="V145" s="2956">
        <f t="shared" si="38"/>
        <v>0</v>
      </c>
      <c r="W145" s="996"/>
      <c r="X145" s="2956">
        <f t="shared" si="39"/>
        <v>0</v>
      </c>
      <c r="Y145" s="2956">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6">
        <f t="shared" si="37"/>
        <v>0</v>
      </c>
      <c r="V146" s="2956">
        <f t="shared" si="38"/>
        <v>0</v>
      </c>
      <c r="W146" s="996"/>
      <c r="X146" s="2956">
        <f t="shared" si="39"/>
        <v>0</v>
      </c>
      <c r="Y146" s="2956">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6">
        <f t="shared" si="37"/>
        <v>0</v>
      </c>
      <c r="V147" s="2956">
        <f t="shared" si="38"/>
        <v>0</v>
      </c>
      <c r="W147" s="996"/>
      <c r="X147" s="2956">
        <f t="shared" si="39"/>
        <v>0</v>
      </c>
      <c r="Y147" s="2956">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6">
        <f t="shared" si="37"/>
        <v>0</v>
      </c>
      <c r="V148" s="2956">
        <f t="shared" si="38"/>
        <v>0</v>
      </c>
      <c r="W148" s="996"/>
      <c r="X148" s="2956">
        <f t="shared" si="39"/>
        <v>0</v>
      </c>
      <c r="Y148" s="2956">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6">
        <f t="shared" si="37"/>
        <v>0</v>
      </c>
      <c r="V149" s="2956">
        <f t="shared" si="38"/>
        <v>0</v>
      </c>
      <c r="W149" s="996"/>
      <c r="X149" s="2956">
        <f t="shared" si="39"/>
        <v>0</v>
      </c>
      <c r="Y149" s="2956">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6">
        <f t="shared" si="37"/>
        <v>0</v>
      </c>
      <c r="V150" s="2956">
        <f t="shared" si="38"/>
        <v>0</v>
      </c>
      <c r="W150" s="996"/>
      <c r="X150" s="2956">
        <f t="shared" si="39"/>
        <v>0</v>
      </c>
      <c r="Y150" s="2956">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6">
        <f t="shared" si="37"/>
        <v>0</v>
      </c>
      <c r="V151" s="2956">
        <f t="shared" si="38"/>
        <v>0</v>
      </c>
      <c r="W151" s="996"/>
      <c r="X151" s="2956">
        <f t="shared" si="39"/>
        <v>0</v>
      </c>
      <c r="Y151" s="2956">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6">
        <f t="shared" si="37"/>
        <v>0</v>
      </c>
      <c r="V152" s="2956">
        <f t="shared" si="38"/>
        <v>0</v>
      </c>
      <c r="W152" s="996"/>
      <c r="X152" s="2956">
        <f t="shared" si="39"/>
        <v>0</v>
      </c>
      <c r="Y152" s="2956">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6">
        <f t="shared" si="37"/>
        <v>0</v>
      </c>
      <c r="V153" s="2956">
        <f t="shared" si="38"/>
        <v>0</v>
      </c>
      <c r="W153" s="996"/>
      <c r="X153" s="2956">
        <f t="shared" si="39"/>
        <v>0</v>
      </c>
      <c r="Y153" s="2956">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6">
        <f t="shared" si="37"/>
        <v>0</v>
      </c>
      <c r="V154" s="2956">
        <f t="shared" si="38"/>
        <v>0</v>
      </c>
      <c r="W154" s="996"/>
      <c r="X154" s="2956">
        <f t="shared" si="39"/>
        <v>0</v>
      </c>
      <c r="Y154" s="2956">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6">
        <f t="shared" si="37"/>
        <v>0</v>
      </c>
      <c r="V155" s="2956">
        <f t="shared" si="38"/>
        <v>0</v>
      </c>
      <c r="W155" s="996"/>
      <c r="X155" s="2956">
        <f t="shared" si="39"/>
        <v>0</v>
      </c>
      <c r="Y155" s="2956">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6">
        <f t="shared" ref="U156:U219" si="52">ROUND(W156*B156,0)</f>
        <v>0</v>
      </c>
      <c r="V156" s="2956">
        <f t="shared" ref="V156:V219" si="53">ROUND(W156*B156/10000,0)</f>
        <v>0</v>
      </c>
      <c r="W156" s="996"/>
      <c r="X156" s="2956">
        <f t="shared" ref="X156:X219" si="54">ROUND(Z156*B156,0)</f>
        <v>0</v>
      </c>
      <c r="Y156" s="2956">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6">
        <f t="shared" si="52"/>
        <v>0</v>
      </c>
      <c r="V157" s="2956">
        <f t="shared" si="53"/>
        <v>0</v>
      </c>
      <c r="W157" s="996"/>
      <c r="X157" s="2956">
        <f t="shared" si="54"/>
        <v>0</v>
      </c>
      <c r="Y157" s="2956">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6">
        <f t="shared" si="52"/>
        <v>0</v>
      </c>
      <c r="V158" s="2956">
        <f t="shared" si="53"/>
        <v>0</v>
      </c>
      <c r="W158" s="996"/>
      <c r="X158" s="2956">
        <f t="shared" si="54"/>
        <v>0</v>
      </c>
      <c r="Y158" s="2956">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6">
        <f t="shared" si="52"/>
        <v>0</v>
      </c>
      <c r="V159" s="2956">
        <f t="shared" si="53"/>
        <v>0</v>
      </c>
      <c r="W159" s="996"/>
      <c r="X159" s="2956">
        <f t="shared" si="54"/>
        <v>0</v>
      </c>
      <c r="Y159" s="2956">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6">
        <f t="shared" si="52"/>
        <v>0</v>
      </c>
      <c r="V160" s="2956">
        <f t="shared" si="53"/>
        <v>0</v>
      </c>
      <c r="W160" s="996"/>
      <c r="X160" s="2956">
        <f t="shared" si="54"/>
        <v>0</v>
      </c>
      <c r="Y160" s="2956">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6">
        <f t="shared" si="52"/>
        <v>0</v>
      </c>
      <c r="V161" s="2956">
        <f t="shared" si="53"/>
        <v>0</v>
      </c>
      <c r="W161" s="996"/>
      <c r="X161" s="2956">
        <f t="shared" si="54"/>
        <v>0</v>
      </c>
      <c r="Y161" s="2956">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6">
        <f t="shared" si="52"/>
        <v>0</v>
      </c>
      <c r="V162" s="2956">
        <f t="shared" si="53"/>
        <v>0</v>
      </c>
      <c r="W162" s="996"/>
      <c r="X162" s="2956">
        <f t="shared" si="54"/>
        <v>0</v>
      </c>
      <c r="Y162" s="2956">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6">
        <f t="shared" si="52"/>
        <v>0</v>
      </c>
      <c r="V163" s="2956">
        <f t="shared" si="53"/>
        <v>0</v>
      </c>
      <c r="W163" s="996"/>
      <c r="X163" s="2956">
        <f t="shared" si="54"/>
        <v>0</v>
      </c>
      <c r="Y163" s="2956">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6">
        <f t="shared" si="52"/>
        <v>0</v>
      </c>
      <c r="V164" s="2956">
        <f t="shared" si="53"/>
        <v>0</v>
      </c>
      <c r="W164" s="996"/>
      <c r="X164" s="2956">
        <f t="shared" si="54"/>
        <v>0</v>
      </c>
      <c r="Y164" s="2956">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6">
        <f t="shared" si="52"/>
        <v>0</v>
      </c>
      <c r="V165" s="2956">
        <f t="shared" si="53"/>
        <v>0</v>
      </c>
      <c r="W165" s="996"/>
      <c r="X165" s="2956">
        <f t="shared" si="54"/>
        <v>0</v>
      </c>
      <c r="Y165" s="2956">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6">
        <f t="shared" si="52"/>
        <v>0</v>
      </c>
      <c r="V166" s="2956">
        <f t="shared" si="53"/>
        <v>0</v>
      </c>
      <c r="W166" s="996"/>
      <c r="X166" s="2956">
        <f t="shared" si="54"/>
        <v>0</v>
      </c>
      <c r="Y166" s="2956">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6">
        <f t="shared" si="52"/>
        <v>0</v>
      </c>
      <c r="V167" s="2956">
        <f t="shared" si="53"/>
        <v>0</v>
      </c>
      <c r="W167" s="996"/>
      <c r="X167" s="2956">
        <f t="shared" si="54"/>
        <v>0</v>
      </c>
      <c r="Y167" s="2956">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6">
        <f t="shared" si="52"/>
        <v>0</v>
      </c>
      <c r="V168" s="2956">
        <f t="shared" si="53"/>
        <v>0</v>
      </c>
      <c r="W168" s="996"/>
      <c r="X168" s="2956">
        <f t="shared" si="54"/>
        <v>0</v>
      </c>
      <c r="Y168" s="2956">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6">
        <f t="shared" si="52"/>
        <v>0</v>
      </c>
      <c r="V169" s="2956">
        <f t="shared" si="53"/>
        <v>0</v>
      </c>
      <c r="W169" s="996"/>
      <c r="X169" s="2956">
        <f t="shared" si="54"/>
        <v>0</v>
      </c>
      <c r="Y169" s="2956">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6">
        <f t="shared" si="52"/>
        <v>0</v>
      </c>
      <c r="V170" s="2956">
        <f t="shared" si="53"/>
        <v>0</v>
      </c>
      <c r="W170" s="996"/>
      <c r="X170" s="2956">
        <f t="shared" si="54"/>
        <v>0</v>
      </c>
      <c r="Y170" s="2956">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6">
        <f t="shared" si="52"/>
        <v>0</v>
      </c>
      <c r="V171" s="2956">
        <f t="shared" si="53"/>
        <v>0</v>
      </c>
      <c r="W171" s="996"/>
      <c r="X171" s="2956">
        <f t="shared" si="54"/>
        <v>0</v>
      </c>
      <c r="Y171" s="2956">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6">
        <f t="shared" si="52"/>
        <v>0</v>
      </c>
      <c r="V172" s="2956">
        <f t="shared" si="53"/>
        <v>0</v>
      </c>
      <c r="W172" s="996"/>
      <c r="X172" s="2956">
        <f t="shared" si="54"/>
        <v>0</v>
      </c>
      <c r="Y172" s="2956">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6">
        <f t="shared" si="52"/>
        <v>0</v>
      </c>
      <c r="V173" s="2956">
        <f t="shared" si="53"/>
        <v>0</v>
      </c>
      <c r="W173" s="996"/>
      <c r="X173" s="2956">
        <f t="shared" si="54"/>
        <v>0</v>
      </c>
      <c r="Y173" s="2956">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6">
        <f t="shared" si="52"/>
        <v>0</v>
      </c>
      <c r="V174" s="2956">
        <f t="shared" si="53"/>
        <v>0</v>
      </c>
      <c r="W174" s="996"/>
      <c r="X174" s="2956">
        <f t="shared" si="54"/>
        <v>0</v>
      </c>
      <c r="Y174" s="2956">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6">
        <f t="shared" si="52"/>
        <v>0</v>
      </c>
      <c r="V175" s="2956">
        <f t="shared" si="53"/>
        <v>0</v>
      </c>
      <c r="W175" s="996"/>
      <c r="X175" s="2956">
        <f t="shared" si="54"/>
        <v>0</v>
      </c>
      <c r="Y175" s="2956">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6">
        <f t="shared" si="52"/>
        <v>0</v>
      </c>
      <c r="V176" s="2956">
        <f t="shared" si="53"/>
        <v>0</v>
      </c>
      <c r="W176" s="996"/>
      <c r="X176" s="2956">
        <f t="shared" si="54"/>
        <v>0</v>
      </c>
      <c r="Y176" s="2956">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6">
        <f t="shared" si="52"/>
        <v>0</v>
      </c>
      <c r="V177" s="2956">
        <f t="shared" si="53"/>
        <v>0</v>
      </c>
      <c r="W177" s="996"/>
      <c r="X177" s="2956">
        <f t="shared" si="54"/>
        <v>0</v>
      </c>
      <c r="Y177" s="2956">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6">
        <f t="shared" si="52"/>
        <v>0</v>
      </c>
      <c r="V178" s="2956">
        <f t="shared" si="53"/>
        <v>0</v>
      </c>
      <c r="W178" s="996"/>
      <c r="X178" s="2956">
        <f t="shared" si="54"/>
        <v>0</v>
      </c>
      <c r="Y178" s="2956">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6">
        <f t="shared" si="52"/>
        <v>0</v>
      </c>
      <c r="V179" s="2956">
        <f t="shared" si="53"/>
        <v>0</v>
      </c>
      <c r="W179" s="996"/>
      <c r="X179" s="2956">
        <f t="shared" si="54"/>
        <v>0</v>
      </c>
      <c r="Y179" s="2956">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6">
        <f t="shared" si="52"/>
        <v>0</v>
      </c>
      <c r="V180" s="2956">
        <f t="shared" si="53"/>
        <v>0</v>
      </c>
      <c r="W180" s="996"/>
      <c r="X180" s="2956">
        <f t="shared" si="54"/>
        <v>0</v>
      </c>
      <c r="Y180" s="2956">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6">
        <f t="shared" si="52"/>
        <v>0</v>
      </c>
      <c r="V181" s="2956">
        <f t="shared" si="53"/>
        <v>0</v>
      </c>
      <c r="W181" s="996"/>
      <c r="X181" s="2956">
        <f t="shared" si="54"/>
        <v>0</v>
      </c>
      <c r="Y181" s="2956">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6">
        <f t="shared" si="52"/>
        <v>0</v>
      </c>
      <c r="V182" s="2956">
        <f t="shared" si="53"/>
        <v>0</v>
      </c>
      <c r="W182" s="996"/>
      <c r="X182" s="2956">
        <f t="shared" si="54"/>
        <v>0</v>
      </c>
      <c r="Y182" s="2956">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6">
        <f t="shared" si="52"/>
        <v>0</v>
      </c>
      <c r="V183" s="2956">
        <f t="shared" si="53"/>
        <v>0</v>
      </c>
      <c r="W183" s="996"/>
      <c r="X183" s="2956">
        <f t="shared" si="54"/>
        <v>0</v>
      </c>
      <c r="Y183" s="2956">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6">
        <f t="shared" si="52"/>
        <v>0</v>
      </c>
      <c r="V184" s="2956">
        <f t="shared" si="53"/>
        <v>0</v>
      </c>
      <c r="W184" s="996"/>
      <c r="X184" s="2956">
        <f t="shared" si="54"/>
        <v>0</v>
      </c>
      <c r="Y184" s="2956">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6">
        <f t="shared" si="52"/>
        <v>0</v>
      </c>
      <c r="V185" s="2956">
        <f t="shared" si="53"/>
        <v>0</v>
      </c>
      <c r="W185" s="996"/>
      <c r="X185" s="2956">
        <f t="shared" si="54"/>
        <v>0</v>
      </c>
      <c r="Y185" s="2956">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6">
        <f t="shared" si="52"/>
        <v>0</v>
      </c>
      <c r="V186" s="2956">
        <f t="shared" si="53"/>
        <v>0</v>
      </c>
      <c r="W186" s="996"/>
      <c r="X186" s="2956">
        <f t="shared" si="54"/>
        <v>0</v>
      </c>
      <c r="Y186" s="2956">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6">
        <f t="shared" si="52"/>
        <v>0</v>
      </c>
      <c r="V187" s="2956">
        <f t="shared" si="53"/>
        <v>0</v>
      </c>
      <c r="W187" s="996"/>
      <c r="X187" s="2956">
        <f t="shared" si="54"/>
        <v>0</v>
      </c>
      <c r="Y187" s="2956">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6">
        <f t="shared" si="52"/>
        <v>0</v>
      </c>
      <c r="V188" s="2956">
        <f t="shared" si="53"/>
        <v>0</v>
      </c>
      <c r="W188" s="996"/>
      <c r="X188" s="2956">
        <f t="shared" si="54"/>
        <v>0</v>
      </c>
      <c r="Y188" s="2956">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6">
        <f t="shared" si="52"/>
        <v>0</v>
      </c>
      <c r="V189" s="2956">
        <f t="shared" si="53"/>
        <v>0</v>
      </c>
      <c r="W189" s="996"/>
      <c r="X189" s="2956">
        <f t="shared" si="54"/>
        <v>0</v>
      </c>
      <c r="Y189" s="2956">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6">
        <f t="shared" si="52"/>
        <v>0</v>
      </c>
      <c r="V190" s="2956">
        <f t="shared" si="53"/>
        <v>0</v>
      </c>
      <c r="W190" s="996"/>
      <c r="X190" s="2956">
        <f t="shared" si="54"/>
        <v>0</v>
      </c>
      <c r="Y190" s="2956">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6">
        <f t="shared" si="52"/>
        <v>0</v>
      </c>
      <c r="V191" s="2956">
        <f t="shared" si="53"/>
        <v>0</v>
      </c>
      <c r="W191" s="996"/>
      <c r="X191" s="2956">
        <f t="shared" si="54"/>
        <v>0</v>
      </c>
      <c r="Y191" s="2956">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6">
        <f t="shared" si="52"/>
        <v>0</v>
      </c>
      <c r="V192" s="2956">
        <f t="shared" si="53"/>
        <v>0</v>
      </c>
      <c r="W192" s="996"/>
      <c r="X192" s="2956">
        <f t="shared" si="54"/>
        <v>0</v>
      </c>
      <c r="Y192" s="2956">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6">
        <f t="shared" si="52"/>
        <v>0</v>
      </c>
      <c r="V193" s="2956">
        <f t="shared" si="53"/>
        <v>0</v>
      </c>
      <c r="W193" s="996"/>
      <c r="X193" s="2956">
        <f t="shared" si="54"/>
        <v>0</v>
      </c>
      <c r="Y193" s="2956">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6">
        <f t="shared" si="52"/>
        <v>0</v>
      </c>
      <c r="V194" s="2956">
        <f t="shared" si="53"/>
        <v>0</v>
      </c>
      <c r="W194" s="996"/>
      <c r="X194" s="2956">
        <f t="shared" si="54"/>
        <v>0</v>
      </c>
      <c r="Y194" s="2956">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6">
        <f t="shared" si="52"/>
        <v>0</v>
      </c>
      <c r="V195" s="2956">
        <f t="shared" si="53"/>
        <v>0</v>
      </c>
      <c r="W195" s="996"/>
      <c r="X195" s="2956">
        <f t="shared" si="54"/>
        <v>0</v>
      </c>
      <c r="Y195" s="2956">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6">
        <f t="shared" si="52"/>
        <v>0</v>
      </c>
      <c r="V196" s="2956">
        <f t="shared" si="53"/>
        <v>0</v>
      </c>
      <c r="W196" s="996"/>
      <c r="X196" s="2956">
        <f t="shared" si="54"/>
        <v>0</v>
      </c>
      <c r="Y196" s="2956">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6">
        <f t="shared" si="52"/>
        <v>0</v>
      </c>
      <c r="V197" s="2956">
        <f t="shared" si="53"/>
        <v>0</v>
      </c>
      <c r="W197" s="996"/>
      <c r="X197" s="2956">
        <f t="shared" si="54"/>
        <v>0</v>
      </c>
      <c r="Y197" s="2956">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6">
        <f t="shared" si="52"/>
        <v>0</v>
      </c>
      <c r="V198" s="2956">
        <f t="shared" si="53"/>
        <v>0</v>
      </c>
      <c r="W198" s="996"/>
      <c r="X198" s="2956">
        <f t="shared" si="54"/>
        <v>0</v>
      </c>
      <c r="Y198" s="2956">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6">
        <f t="shared" si="52"/>
        <v>0</v>
      </c>
      <c r="V199" s="2956">
        <f t="shared" si="53"/>
        <v>0</v>
      </c>
      <c r="W199" s="996"/>
      <c r="X199" s="2956">
        <f t="shared" si="54"/>
        <v>0</v>
      </c>
      <c r="Y199" s="2956">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6">
        <f t="shared" si="52"/>
        <v>0</v>
      </c>
      <c r="V200" s="2956">
        <f t="shared" si="53"/>
        <v>0</v>
      </c>
      <c r="W200" s="996"/>
      <c r="X200" s="2956">
        <f t="shared" si="54"/>
        <v>0</v>
      </c>
      <c r="Y200" s="2956">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6">
        <f t="shared" si="52"/>
        <v>0</v>
      </c>
      <c r="V201" s="2956">
        <f t="shared" si="53"/>
        <v>0</v>
      </c>
      <c r="W201" s="996"/>
      <c r="X201" s="2956">
        <f t="shared" si="54"/>
        <v>0</v>
      </c>
      <c r="Y201" s="2956">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6">
        <f t="shared" si="52"/>
        <v>0</v>
      </c>
      <c r="V202" s="2956">
        <f t="shared" si="53"/>
        <v>0</v>
      </c>
      <c r="W202" s="996"/>
      <c r="X202" s="2956">
        <f t="shared" si="54"/>
        <v>0</v>
      </c>
      <c r="Y202" s="2956">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6">
        <f t="shared" si="52"/>
        <v>0</v>
      </c>
      <c r="V203" s="2956">
        <f t="shared" si="53"/>
        <v>0</v>
      </c>
      <c r="W203" s="996"/>
      <c r="X203" s="2956">
        <f t="shared" si="54"/>
        <v>0</v>
      </c>
      <c r="Y203" s="2956">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6">
        <f t="shared" si="52"/>
        <v>0</v>
      </c>
      <c r="V204" s="2956">
        <f t="shared" si="53"/>
        <v>0</v>
      </c>
      <c r="W204" s="996"/>
      <c r="X204" s="2956">
        <f t="shared" si="54"/>
        <v>0</v>
      </c>
      <c r="Y204" s="2956">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6">
        <f t="shared" si="52"/>
        <v>0</v>
      </c>
      <c r="V205" s="2956">
        <f t="shared" si="53"/>
        <v>0</v>
      </c>
      <c r="W205" s="996"/>
      <c r="X205" s="2956">
        <f t="shared" si="54"/>
        <v>0</v>
      </c>
      <c r="Y205" s="2956">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6">
        <f t="shared" si="52"/>
        <v>0</v>
      </c>
      <c r="V206" s="2956">
        <f t="shared" si="53"/>
        <v>0</v>
      </c>
      <c r="W206" s="996"/>
      <c r="X206" s="2956">
        <f t="shared" si="54"/>
        <v>0</v>
      </c>
      <c r="Y206" s="2956">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6">
        <f t="shared" si="52"/>
        <v>0</v>
      </c>
      <c r="V207" s="2956">
        <f t="shared" si="53"/>
        <v>0</v>
      </c>
      <c r="W207" s="996"/>
      <c r="X207" s="2956">
        <f t="shared" si="54"/>
        <v>0</v>
      </c>
      <c r="Y207" s="2956">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6">
        <f t="shared" si="52"/>
        <v>0</v>
      </c>
      <c r="V208" s="2956">
        <f t="shared" si="53"/>
        <v>0</v>
      </c>
      <c r="W208" s="996"/>
      <c r="X208" s="2956">
        <f t="shared" si="54"/>
        <v>0</v>
      </c>
      <c r="Y208" s="2956">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6">
        <f t="shared" si="52"/>
        <v>0</v>
      </c>
      <c r="V209" s="2956">
        <f t="shared" si="53"/>
        <v>0</v>
      </c>
      <c r="W209" s="996"/>
      <c r="X209" s="2956">
        <f t="shared" si="54"/>
        <v>0</v>
      </c>
      <c r="Y209" s="2956">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6">
        <f t="shared" si="52"/>
        <v>0</v>
      </c>
      <c r="V210" s="2956">
        <f t="shared" si="53"/>
        <v>0</v>
      </c>
      <c r="W210" s="996"/>
      <c r="X210" s="2956">
        <f t="shared" si="54"/>
        <v>0</v>
      </c>
      <c r="Y210" s="2956">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6">
        <f t="shared" si="52"/>
        <v>0</v>
      </c>
      <c r="V211" s="2956">
        <f t="shared" si="53"/>
        <v>0</v>
      </c>
      <c r="W211" s="996"/>
      <c r="X211" s="2956">
        <f t="shared" si="54"/>
        <v>0</v>
      </c>
      <c r="Y211" s="2956">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6">
        <f t="shared" si="52"/>
        <v>0</v>
      </c>
      <c r="V212" s="2956">
        <f t="shared" si="53"/>
        <v>0</v>
      </c>
      <c r="W212" s="996"/>
      <c r="X212" s="2956">
        <f t="shared" si="54"/>
        <v>0</v>
      </c>
      <c r="Y212" s="2956">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6">
        <f t="shared" si="52"/>
        <v>0</v>
      </c>
      <c r="V213" s="2956">
        <f t="shared" si="53"/>
        <v>0</v>
      </c>
      <c r="W213" s="996"/>
      <c r="X213" s="2956">
        <f t="shared" si="54"/>
        <v>0</v>
      </c>
      <c r="Y213" s="2956">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6">
        <f t="shared" si="52"/>
        <v>0</v>
      </c>
      <c r="V214" s="2956">
        <f t="shared" si="53"/>
        <v>0</v>
      </c>
      <c r="W214" s="996"/>
      <c r="X214" s="2956">
        <f t="shared" si="54"/>
        <v>0</v>
      </c>
      <c r="Y214" s="2956">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6">
        <f t="shared" si="52"/>
        <v>0</v>
      </c>
      <c r="V215" s="2956">
        <f t="shared" si="53"/>
        <v>0</v>
      </c>
      <c r="W215" s="996"/>
      <c r="X215" s="2956">
        <f t="shared" si="54"/>
        <v>0</v>
      </c>
      <c r="Y215" s="2956">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6">
        <f t="shared" si="52"/>
        <v>0</v>
      </c>
      <c r="V216" s="2956">
        <f t="shared" si="53"/>
        <v>0</v>
      </c>
      <c r="W216" s="996"/>
      <c r="X216" s="2956">
        <f t="shared" si="54"/>
        <v>0</v>
      </c>
      <c r="Y216" s="2956">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6">
        <f t="shared" si="52"/>
        <v>0</v>
      </c>
      <c r="V217" s="2956">
        <f t="shared" si="53"/>
        <v>0</v>
      </c>
      <c r="W217" s="996"/>
      <c r="X217" s="2956">
        <f t="shared" si="54"/>
        <v>0</v>
      </c>
      <c r="Y217" s="2956">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6">
        <f t="shared" si="52"/>
        <v>0</v>
      </c>
      <c r="V218" s="2956">
        <f t="shared" si="53"/>
        <v>0</v>
      </c>
      <c r="W218" s="996"/>
      <c r="X218" s="2956">
        <f t="shared" si="54"/>
        <v>0</v>
      </c>
      <c r="Y218" s="2956">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6">
        <f t="shared" si="52"/>
        <v>0</v>
      </c>
      <c r="V219" s="2956">
        <f t="shared" si="53"/>
        <v>0</v>
      </c>
      <c r="W219" s="996"/>
      <c r="X219" s="2956">
        <f t="shared" si="54"/>
        <v>0</v>
      </c>
      <c r="Y219" s="2956">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6">
        <f t="shared" ref="U220:U283" si="67">ROUND(W220*B220,0)</f>
        <v>0</v>
      </c>
      <c r="V220" s="2956">
        <f t="shared" ref="V220:V283" si="68">ROUND(W220*B220/10000,0)</f>
        <v>0</v>
      </c>
      <c r="W220" s="996"/>
      <c r="X220" s="2956">
        <f t="shared" ref="X220:X283" si="69">ROUND(Z220*B220,0)</f>
        <v>0</v>
      </c>
      <c r="Y220" s="2956">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6">
        <f t="shared" si="67"/>
        <v>0</v>
      </c>
      <c r="V221" s="2956">
        <f t="shared" si="68"/>
        <v>0</v>
      </c>
      <c r="W221" s="996"/>
      <c r="X221" s="2956">
        <f t="shared" si="69"/>
        <v>0</v>
      </c>
      <c r="Y221" s="2956">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6">
        <f t="shared" si="67"/>
        <v>0</v>
      </c>
      <c r="V222" s="2956">
        <f t="shared" si="68"/>
        <v>0</v>
      </c>
      <c r="W222" s="996"/>
      <c r="X222" s="2956">
        <f t="shared" si="69"/>
        <v>0</v>
      </c>
      <c r="Y222" s="2956">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6">
        <f t="shared" si="67"/>
        <v>0</v>
      </c>
      <c r="V223" s="2956">
        <f t="shared" si="68"/>
        <v>0</v>
      </c>
      <c r="W223" s="996"/>
      <c r="X223" s="2956">
        <f t="shared" si="69"/>
        <v>0</v>
      </c>
      <c r="Y223" s="2956">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6">
        <f t="shared" si="67"/>
        <v>0</v>
      </c>
      <c r="V224" s="2956">
        <f t="shared" si="68"/>
        <v>0</v>
      </c>
      <c r="W224" s="996"/>
      <c r="X224" s="2956">
        <f t="shared" si="69"/>
        <v>0</v>
      </c>
      <c r="Y224" s="2956">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6">
        <f t="shared" si="67"/>
        <v>0</v>
      </c>
      <c r="V225" s="2956">
        <f t="shared" si="68"/>
        <v>0</v>
      </c>
      <c r="W225" s="996"/>
      <c r="X225" s="2956">
        <f t="shared" si="69"/>
        <v>0</v>
      </c>
      <c r="Y225" s="2956">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6">
        <f t="shared" si="67"/>
        <v>0</v>
      </c>
      <c r="V226" s="2956">
        <f t="shared" si="68"/>
        <v>0</v>
      </c>
      <c r="W226" s="996"/>
      <c r="X226" s="2956">
        <f t="shared" si="69"/>
        <v>0</v>
      </c>
      <c r="Y226" s="2956">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6">
        <f t="shared" si="67"/>
        <v>0</v>
      </c>
      <c r="V227" s="2956">
        <f t="shared" si="68"/>
        <v>0</v>
      </c>
      <c r="W227" s="996"/>
      <c r="X227" s="2956">
        <f t="shared" si="69"/>
        <v>0</v>
      </c>
      <c r="Y227" s="2956">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6">
        <f t="shared" si="67"/>
        <v>0</v>
      </c>
      <c r="V228" s="2956">
        <f t="shared" si="68"/>
        <v>0</v>
      </c>
      <c r="W228" s="996"/>
      <c r="X228" s="2956">
        <f t="shared" si="69"/>
        <v>0</v>
      </c>
      <c r="Y228" s="2956">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6">
        <f t="shared" si="67"/>
        <v>0</v>
      </c>
      <c r="V229" s="2956">
        <f t="shared" si="68"/>
        <v>0</v>
      </c>
      <c r="W229" s="996"/>
      <c r="X229" s="2956">
        <f t="shared" si="69"/>
        <v>0</v>
      </c>
      <c r="Y229" s="2956">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6">
        <f t="shared" si="67"/>
        <v>0</v>
      </c>
      <c r="V230" s="2956">
        <f t="shared" si="68"/>
        <v>0</v>
      </c>
      <c r="W230" s="996"/>
      <c r="X230" s="2956">
        <f t="shared" si="69"/>
        <v>0</v>
      </c>
      <c r="Y230" s="2956">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6">
        <f t="shared" si="67"/>
        <v>0</v>
      </c>
      <c r="V231" s="2956">
        <f t="shared" si="68"/>
        <v>0</v>
      </c>
      <c r="W231" s="996"/>
      <c r="X231" s="2956">
        <f t="shared" si="69"/>
        <v>0</v>
      </c>
      <c r="Y231" s="2956">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6">
        <f t="shared" si="67"/>
        <v>0</v>
      </c>
      <c r="V232" s="2956">
        <f t="shared" si="68"/>
        <v>0</v>
      </c>
      <c r="W232" s="996"/>
      <c r="X232" s="2956">
        <f t="shared" si="69"/>
        <v>0</v>
      </c>
      <c r="Y232" s="2956">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6">
        <f t="shared" si="67"/>
        <v>0</v>
      </c>
      <c r="V233" s="2956">
        <f t="shared" si="68"/>
        <v>0</v>
      </c>
      <c r="W233" s="996"/>
      <c r="X233" s="2956">
        <f t="shared" si="69"/>
        <v>0</v>
      </c>
      <c r="Y233" s="2956">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6">
        <f t="shared" si="67"/>
        <v>0</v>
      </c>
      <c r="V234" s="2956">
        <f t="shared" si="68"/>
        <v>0</v>
      </c>
      <c r="W234" s="996"/>
      <c r="X234" s="2956">
        <f t="shared" si="69"/>
        <v>0</v>
      </c>
      <c r="Y234" s="2956">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6">
        <f t="shared" si="67"/>
        <v>0</v>
      </c>
      <c r="V235" s="2956">
        <f t="shared" si="68"/>
        <v>0</v>
      </c>
      <c r="W235" s="996"/>
      <c r="X235" s="2956">
        <f t="shared" si="69"/>
        <v>0</v>
      </c>
      <c r="Y235" s="2956">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6">
        <f t="shared" si="67"/>
        <v>0</v>
      </c>
      <c r="V236" s="2956">
        <f t="shared" si="68"/>
        <v>0</v>
      </c>
      <c r="W236" s="996"/>
      <c r="X236" s="2956">
        <f t="shared" si="69"/>
        <v>0</v>
      </c>
      <c r="Y236" s="2956">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6">
        <f t="shared" si="67"/>
        <v>0</v>
      </c>
      <c r="V237" s="2956">
        <f t="shared" si="68"/>
        <v>0</v>
      </c>
      <c r="W237" s="996"/>
      <c r="X237" s="2956">
        <f t="shared" si="69"/>
        <v>0</v>
      </c>
      <c r="Y237" s="2956">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6">
        <f t="shared" si="67"/>
        <v>0</v>
      </c>
      <c r="V238" s="2956">
        <f t="shared" si="68"/>
        <v>0</v>
      </c>
      <c r="W238" s="996"/>
      <c r="X238" s="2956">
        <f t="shared" si="69"/>
        <v>0</v>
      </c>
      <c r="Y238" s="2956">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6">
        <f t="shared" si="67"/>
        <v>0</v>
      </c>
      <c r="V239" s="2956">
        <f t="shared" si="68"/>
        <v>0</v>
      </c>
      <c r="W239" s="996"/>
      <c r="X239" s="2956">
        <f t="shared" si="69"/>
        <v>0</v>
      </c>
      <c r="Y239" s="2956">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6">
        <f t="shared" si="67"/>
        <v>0</v>
      </c>
      <c r="V240" s="2956">
        <f t="shared" si="68"/>
        <v>0</v>
      </c>
      <c r="W240" s="996"/>
      <c r="X240" s="2956">
        <f t="shared" si="69"/>
        <v>0</v>
      </c>
      <c r="Y240" s="2956">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6">
        <f t="shared" si="67"/>
        <v>0</v>
      </c>
      <c r="V241" s="2956">
        <f t="shared" si="68"/>
        <v>0</v>
      </c>
      <c r="W241" s="996"/>
      <c r="X241" s="2956">
        <f t="shared" si="69"/>
        <v>0</v>
      </c>
      <c r="Y241" s="2956">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6">
        <f t="shared" si="67"/>
        <v>0</v>
      </c>
      <c r="V242" s="2956">
        <f t="shared" si="68"/>
        <v>0</v>
      </c>
      <c r="W242" s="996"/>
      <c r="X242" s="2956">
        <f t="shared" si="69"/>
        <v>0</v>
      </c>
      <c r="Y242" s="2956">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6">
        <f t="shared" si="67"/>
        <v>0</v>
      </c>
      <c r="V243" s="2956">
        <f t="shared" si="68"/>
        <v>0</v>
      </c>
      <c r="W243" s="996"/>
      <c r="X243" s="2956">
        <f t="shared" si="69"/>
        <v>0</v>
      </c>
      <c r="Y243" s="2956">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6">
        <f t="shared" si="67"/>
        <v>0</v>
      </c>
      <c r="V244" s="2956">
        <f t="shared" si="68"/>
        <v>0</v>
      </c>
      <c r="W244" s="996"/>
      <c r="X244" s="2956">
        <f t="shared" si="69"/>
        <v>0</v>
      </c>
      <c r="Y244" s="2956">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6">
        <f t="shared" si="67"/>
        <v>0</v>
      </c>
      <c r="V245" s="2956">
        <f t="shared" si="68"/>
        <v>0</v>
      </c>
      <c r="W245" s="996"/>
      <c r="X245" s="2956">
        <f t="shared" si="69"/>
        <v>0</v>
      </c>
      <c r="Y245" s="2956">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6">
        <f t="shared" si="67"/>
        <v>0</v>
      </c>
      <c r="V246" s="2956">
        <f t="shared" si="68"/>
        <v>0</v>
      </c>
      <c r="W246" s="996"/>
      <c r="X246" s="2956">
        <f t="shared" si="69"/>
        <v>0</v>
      </c>
      <c r="Y246" s="2956">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6">
        <f t="shared" si="67"/>
        <v>0</v>
      </c>
      <c r="V247" s="2956">
        <f t="shared" si="68"/>
        <v>0</v>
      </c>
      <c r="W247" s="996"/>
      <c r="X247" s="2956">
        <f t="shared" si="69"/>
        <v>0</v>
      </c>
      <c r="Y247" s="2956">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6">
        <f t="shared" si="67"/>
        <v>0</v>
      </c>
      <c r="V248" s="2956">
        <f t="shared" si="68"/>
        <v>0</v>
      </c>
      <c r="W248" s="996"/>
      <c r="X248" s="2956">
        <f t="shared" si="69"/>
        <v>0</v>
      </c>
      <c r="Y248" s="2956">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6">
        <f t="shared" si="67"/>
        <v>0</v>
      </c>
      <c r="V249" s="2956">
        <f t="shared" si="68"/>
        <v>0</v>
      </c>
      <c r="W249" s="996"/>
      <c r="X249" s="2956">
        <f t="shared" si="69"/>
        <v>0</v>
      </c>
      <c r="Y249" s="2956">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6">
        <f t="shared" si="67"/>
        <v>0</v>
      </c>
      <c r="V250" s="2956">
        <f t="shared" si="68"/>
        <v>0</v>
      </c>
      <c r="W250" s="996"/>
      <c r="X250" s="2956">
        <f t="shared" si="69"/>
        <v>0</v>
      </c>
      <c r="Y250" s="2956">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6">
        <f t="shared" si="67"/>
        <v>0</v>
      </c>
      <c r="V251" s="2956">
        <f t="shared" si="68"/>
        <v>0</v>
      </c>
      <c r="W251" s="996"/>
      <c r="X251" s="2956">
        <f t="shared" si="69"/>
        <v>0</v>
      </c>
      <c r="Y251" s="2956">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6">
        <f t="shared" si="67"/>
        <v>0</v>
      </c>
      <c r="V252" s="2956">
        <f t="shared" si="68"/>
        <v>0</v>
      </c>
      <c r="W252" s="996"/>
      <c r="X252" s="2956">
        <f t="shared" si="69"/>
        <v>0</v>
      </c>
      <c r="Y252" s="2956">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6">
        <f t="shared" si="67"/>
        <v>0</v>
      </c>
      <c r="V253" s="2956">
        <f t="shared" si="68"/>
        <v>0</v>
      </c>
      <c r="W253" s="996"/>
      <c r="X253" s="2956">
        <f t="shared" si="69"/>
        <v>0</v>
      </c>
      <c r="Y253" s="2956">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6">
        <f t="shared" si="67"/>
        <v>0</v>
      </c>
      <c r="V254" s="2956">
        <f t="shared" si="68"/>
        <v>0</v>
      </c>
      <c r="W254" s="996"/>
      <c r="X254" s="2956">
        <f t="shared" si="69"/>
        <v>0</v>
      </c>
      <c r="Y254" s="2956">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6">
        <f t="shared" si="67"/>
        <v>0</v>
      </c>
      <c r="V255" s="2956">
        <f t="shared" si="68"/>
        <v>0</v>
      </c>
      <c r="W255" s="996"/>
      <c r="X255" s="2956">
        <f t="shared" si="69"/>
        <v>0</v>
      </c>
      <c r="Y255" s="2956">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6">
        <f t="shared" si="67"/>
        <v>0</v>
      </c>
      <c r="V256" s="2956">
        <f t="shared" si="68"/>
        <v>0</v>
      </c>
      <c r="W256" s="996"/>
      <c r="X256" s="2956">
        <f t="shared" si="69"/>
        <v>0</v>
      </c>
      <c r="Y256" s="2956">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6">
        <f t="shared" si="67"/>
        <v>0</v>
      </c>
      <c r="V257" s="2956">
        <f t="shared" si="68"/>
        <v>0</v>
      </c>
      <c r="W257" s="996"/>
      <c r="X257" s="2956">
        <f t="shared" si="69"/>
        <v>0</v>
      </c>
      <c r="Y257" s="2956">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6">
        <f t="shared" si="67"/>
        <v>0</v>
      </c>
      <c r="V258" s="2956">
        <f t="shared" si="68"/>
        <v>0</v>
      </c>
      <c r="W258" s="996"/>
      <c r="X258" s="2956">
        <f t="shared" si="69"/>
        <v>0</v>
      </c>
      <c r="Y258" s="2956">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6">
        <f t="shared" si="67"/>
        <v>0</v>
      </c>
      <c r="V259" s="2956">
        <f t="shared" si="68"/>
        <v>0</v>
      </c>
      <c r="W259" s="996"/>
      <c r="X259" s="2956">
        <f t="shared" si="69"/>
        <v>0</v>
      </c>
      <c r="Y259" s="2956">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6">
        <f t="shared" si="67"/>
        <v>0</v>
      </c>
      <c r="V260" s="2956">
        <f t="shared" si="68"/>
        <v>0</v>
      </c>
      <c r="W260" s="996"/>
      <c r="X260" s="2956">
        <f t="shared" si="69"/>
        <v>0</v>
      </c>
      <c r="Y260" s="2956">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6">
        <f t="shared" si="67"/>
        <v>0</v>
      </c>
      <c r="V261" s="2956">
        <f t="shared" si="68"/>
        <v>0</v>
      </c>
      <c r="W261" s="996"/>
      <c r="X261" s="2956">
        <f t="shared" si="69"/>
        <v>0</v>
      </c>
      <c r="Y261" s="2956">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6">
        <f t="shared" si="67"/>
        <v>0</v>
      </c>
      <c r="V262" s="2956">
        <f t="shared" si="68"/>
        <v>0</v>
      </c>
      <c r="W262" s="996"/>
      <c r="X262" s="2956">
        <f t="shared" si="69"/>
        <v>0</v>
      </c>
      <c r="Y262" s="2956">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6">
        <f t="shared" si="67"/>
        <v>0</v>
      </c>
      <c r="V263" s="2956">
        <f t="shared" si="68"/>
        <v>0</v>
      </c>
      <c r="W263" s="996"/>
      <c r="X263" s="2956">
        <f t="shared" si="69"/>
        <v>0</v>
      </c>
      <c r="Y263" s="2956">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6">
        <f t="shared" si="67"/>
        <v>0</v>
      </c>
      <c r="V264" s="2956">
        <f t="shared" si="68"/>
        <v>0</v>
      </c>
      <c r="W264" s="996"/>
      <c r="X264" s="2956">
        <f t="shared" si="69"/>
        <v>0</v>
      </c>
      <c r="Y264" s="2956">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6">
        <f t="shared" si="67"/>
        <v>0</v>
      </c>
      <c r="V265" s="2956">
        <f t="shared" si="68"/>
        <v>0</v>
      </c>
      <c r="W265" s="996"/>
      <c r="X265" s="2956">
        <f t="shared" si="69"/>
        <v>0</v>
      </c>
      <c r="Y265" s="2956">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6">
        <f t="shared" si="67"/>
        <v>0</v>
      </c>
      <c r="V266" s="2956">
        <f t="shared" si="68"/>
        <v>0</v>
      </c>
      <c r="W266" s="996"/>
      <c r="X266" s="2956">
        <f t="shared" si="69"/>
        <v>0</v>
      </c>
      <c r="Y266" s="2956">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6">
        <f t="shared" si="67"/>
        <v>0</v>
      </c>
      <c r="V267" s="2956">
        <f t="shared" si="68"/>
        <v>0</v>
      </c>
      <c r="W267" s="996"/>
      <c r="X267" s="2956">
        <f t="shared" si="69"/>
        <v>0</v>
      </c>
      <c r="Y267" s="2956">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6">
        <f t="shared" si="67"/>
        <v>0</v>
      </c>
      <c r="V268" s="2956">
        <f t="shared" si="68"/>
        <v>0</v>
      </c>
      <c r="W268" s="996"/>
      <c r="X268" s="2956">
        <f t="shared" si="69"/>
        <v>0</v>
      </c>
      <c r="Y268" s="2956">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6">
        <f t="shared" si="67"/>
        <v>0</v>
      </c>
      <c r="V269" s="2956">
        <f t="shared" si="68"/>
        <v>0</v>
      </c>
      <c r="W269" s="996"/>
      <c r="X269" s="2956">
        <f t="shared" si="69"/>
        <v>0</v>
      </c>
      <c r="Y269" s="2956">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6">
        <f t="shared" si="67"/>
        <v>0</v>
      </c>
      <c r="V270" s="2956">
        <f t="shared" si="68"/>
        <v>0</v>
      </c>
      <c r="W270" s="996"/>
      <c r="X270" s="2956">
        <f t="shared" si="69"/>
        <v>0</v>
      </c>
      <c r="Y270" s="2956">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6">
        <f t="shared" si="67"/>
        <v>0</v>
      </c>
      <c r="V271" s="2956">
        <f t="shared" si="68"/>
        <v>0</v>
      </c>
      <c r="W271" s="996"/>
      <c r="X271" s="2956">
        <f t="shared" si="69"/>
        <v>0</v>
      </c>
      <c r="Y271" s="2956">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6">
        <f t="shared" si="67"/>
        <v>0</v>
      </c>
      <c r="V272" s="2956">
        <f t="shared" si="68"/>
        <v>0</v>
      </c>
      <c r="W272" s="996"/>
      <c r="X272" s="2956">
        <f t="shared" si="69"/>
        <v>0</v>
      </c>
      <c r="Y272" s="2956">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6">
        <f t="shared" si="67"/>
        <v>0</v>
      </c>
      <c r="V273" s="2956">
        <f t="shared" si="68"/>
        <v>0</v>
      </c>
      <c r="W273" s="996"/>
      <c r="X273" s="2956">
        <f t="shared" si="69"/>
        <v>0</v>
      </c>
      <c r="Y273" s="2956">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6">
        <f t="shared" si="67"/>
        <v>0</v>
      </c>
      <c r="V274" s="2956">
        <f t="shared" si="68"/>
        <v>0</v>
      </c>
      <c r="W274" s="996"/>
      <c r="X274" s="2956">
        <f t="shared" si="69"/>
        <v>0</v>
      </c>
      <c r="Y274" s="2956">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6">
        <f t="shared" si="67"/>
        <v>0</v>
      </c>
      <c r="V275" s="2956">
        <f t="shared" si="68"/>
        <v>0</v>
      </c>
      <c r="W275" s="996"/>
      <c r="X275" s="2956">
        <f t="shared" si="69"/>
        <v>0</v>
      </c>
      <c r="Y275" s="2956">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6">
        <f t="shared" si="67"/>
        <v>0</v>
      </c>
      <c r="V276" s="2956">
        <f t="shared" si="68"/>
        <v>0</v>
      </c>
      <c r="W276" s="996"/>
      <c r="X276" s="2956">
        <f t="shared" si="69"/>
        <v>0</v>
      </c>
      <c r="Y276" s="2956">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6">
        <f t="shared" si="67"/>
        <v>0</v>
      </c>
      <c r="V277" s="2956">
        <f t="shared" si="68"/>
        <v>0</v>
      </c>
      <c r="W277" s="996"/>
      <c r="X277" s="2956">
        <f t="shared" si="69"/>
        <v>0</v>
      </c>
      <c r="Y277" s="2956">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6">
        <f t="shared" si="67"/>
        <v>0</v>
      </c>
      <c r="V278" s="2956">
        <f t="shared" si="68"/>
        <v>0</v>
      </c>
      <c r="W278" s="996"/>
      <c r="X278" s="2956">
        <f t="shared" si="69"/>
        <v>0</v>
      </c>
      <c r="Y278" s="2956">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6">
        <f t="shared" si="67"/>
        <v>0</v>
      </c>
      <c r="V279" s="2956">
        <f t="shared" si="68"/>
        <v>0</v>
      </c>
      <c r="W279" s="996"/>
      <c r="X279" s="2956">
        <f t="shared" si="69"/>
        <v>0</v>
      </c>
      <c r="Y279" s="2956">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6">
        <f t="shared" si="67"/>
        <v>0</v>
      </c>
      <c r="V280" s="2956">
        <f t="shared" si="68"/>
        <v>0</v>
      </c>
      <c r="W280" s="996"/>
      <c r="X280" s="2956">
        <f t="shared" si="69"/>
        <v>0</v>
      </c>
      <c r="Y280" s="2956">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6">
        <f t="shared" si="67"/>
        <v>0</v>
      </c>
      <c r="V281" s="2956">
        <f t="shared" si="68"/>
        <v>0</v>
      </c>
      <c r="W281" s="996"/>
      <c r="X281" s="2956">
        <f t="shared" si="69"/>
        <v>0</v>
      </c>
      <c r="Y281" s="2956">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6">
        <f t="shared" si="67"/>
        <v>0</v>
      </c>
      <c r="V282" s="2956">
        <f t="shared" si="68"/>
        <v>0</v>
      </c>
      <c r="W282" s="996"/>
      <c r="X282" s="2956">
        <f t="shared" si="69"/>
        <v>0</v>
      </c>
      <c r="Y282" s="2956">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6">
        <f t="shared" si="67"/>
        <v>0</v>
      </c>
      <c r="V283" s="2956">
        <f t="shared" si="68"/>
        <v>0</v>
      </c>
      <c r="W283" s="996"/>
      <c r="X283" s="2956">
        <f t="shared" si="69"/>
        <v>0</v>
      </c>
      <c r="Y283" s="2956">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6">
        <f t="shared" ref="U284:U347" si="82">ROUND(W284*B284,0)</f>
        <v>0</v>
      </c>
      <c r="V284" s="2956">
        <f t="shared" ref="V284:V347" si="83">ROUND(W284*B284/10000,0)</f>
        <v>0</v>
      </c>
      <c r="W284" s="996"/>
      <c r="X284" s="2956">
        <f t="shared" ref="X284:X347" si="84">ROUND(Z284*B284,0)</f>
        <v>0</v>
      </c>
      <c r="Y284" s="2956">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6">
        <f t="shared" si="82"/>
        <v>0</v>
      </c>
      <c r="V285" s="2956">
        <f t="shared" si="83"/>
        <v>0</v>
      </c>
      <c r="W285" s="996"/>
      <c r="X285" s="2956">
        <f t="shared" si="84"/>
        <v>0</v>
      </c>
      <c r="Y285" s="2956">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6">
        <f t="shared" si="82"/>
        <v>0</v>
      </c>
      <c r="V286" s="2956">
        <f t="shared" si="83"/>
        <v>0</v>
      </c>
      <c r="W286" s="996"/>
      <c r="X286" s="2956">
        <f t="shared" si="84"/>
        <v>0</v>
      </c>
      <c r="Y286" s="2956">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6">
        <f t="shared" si="82"/>
        <v>0</v>
      </c>
      <c r="V287" s="2956">
        <f t="shared" si="83"/>
        <v>0</v>
      </c>
      <c r="W287" s="996"/>
      <c r="X287" s="2956">
        <f t="shared" si="84"/>
        <v>0</v>
      </c>
      <c r="Y287" s="2956">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6">
        <f t="shared" si="82"/>
        <v>0</v>
      </c>
      <c r="V288" s="2956">
        <f t="shared" si="83"/>
        <v>0</v>
      </c>
      <c r="W288" s="996"/>
      <c r="X288" s="2956">
        <f t="shared" si="84"/>
        <v>0</v>
      </c>
      <c r="Y288" s="2956">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6">
        <f t="shared" si="82"/>
        <v>0</v>
      </c>
      <c r="V289" s="2956">
        <f t="shared" si="83"/>
        <v>0</v>
      </c>
      <c r="W289" s="996"/>
      <c r="X289" s="2956">
        <f t="shared" si="84"/>
        <v>0</v>
      </c>
      <c r="Y289" s="2956">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6">
        <f t="shared" si="82"/>
        <v>0</v>
      </c>
      <c r="V290" s="2956">
        <f t="shared" si="83"/>
        <v>0</v>
      </c>
      <c r="W290" s="996"/>
      <c r="X290" s="2956">
        <f t="shared" si="84"/>
        <v>0</v>
      </c>
      <c r="Y290" s="2956">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6">
        <f t="shared" si="82"/>
        <v>0</v>
      </c>
      <c r="V291" s="2956">
        <f t="shared" si="83"/>
        <v>0</v>
      </c>
      <c r="W291" s="996"/>
      <c r="X291" s="2956">
        <f t="shared" si="84"/>
        <v>0</v>
      </c>
      <c r="Y291" s="2956">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6">
        <f t="shared" si="82"/>
        <v>0</v>
      </c>
      <c r="V292" s="2956">
        <f t="shared" si="83"/>
        <v>0</v>
      </c>
      <c r="W292" s="996"/>
      <c r="X292" s="2956">
        <f t="shared" si="84"/>
        <v>0</v>
      </c>
      <c r="Y292" s="2956">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6">
        <f t="shared" si="82"/>
        <v>0</v>
      </c>
      <c r="V293" s="2956">
        <f t="shared" si="83"/>
        <v>0</v>
      </c>
      <c r="W293" s="996"/>
      <c r="X293" s="2956">
        <f t="shared" si="84"/>
        <v>0</v>
      </c>
      <c r="Y293" s="2956">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6">
        <f t="shared" si="82"/>
        <v>0</v>
      </c>
      <c r="V294" s="2956">
        <f t="shared" si="83"/>
        <v>0</v>
      </c>
      <c r="W294" s="996"/>
      <c r="X294" s="2956">
        <f t="shared" si="84"/>
        <v>0</v>
      </c>
      <c r="Y294" s="2956">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6">
        <f t="shared" si="82"/>
        <v>0</v>
      </c>
      <c r="V295" s="2956">
        <f t="shared" si="83"/>
        <v>0</v>
      </c>
      <c r="W295" s="996"/>
      <c r="X295" s="2956">
        <f t="shared" si="84"/>
        <v>0</v>
      </c>
      <c r="Y295" s="2956">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6">
        <f t="shared" si="82"/>
        <v>0</v>
      </c>
      <c r="V296" s="2956">
        <f t="shared" si="83"/>
        <v>0</v>
      </c>
      <c r="W296" s="996"/>
      <c r="X296" s="2956">
        <f t="shared" si="84"/>
        <v>0</v>
      </c>
      <c r="Y296" s="2956">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6">
        <f t="shared" si="82"/>
        <v>0</v>
      </c>
      <c r="V297" s="2956">
        <f t="shared" si="83"/>
        <v>0</v>
      </c>
      <c r="W297" s="996"/>
      <c r="X297" s="2956">
        <f t="shared" si="84"/>
        <v>0</v>
      </c>
      <c r="Y297" s="2956">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6">
        <f t="shared" si="82"/>
        <v>0</v>
      </c>
      <c r="V298" s="2956">
        <f t="shared" si="83"/>
        <v>0</v>
      </c>
      <c r="W298" s="996"/>
      <c r="X298" s="2956">
        <f t="shared" si="84"/>
        <v>0</v>
      </c>
      <c r="Y298" s="2956">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6">
        <f t="shared" si="82"/>
        <v>0</v>
      </c>
      <c r="V299" s="2956">
        <f t="shared" si="83"/>
        <v>0</v>
      </c>
      <c r="W299" s="996"/>
      <c r="X299" s="2956">
        <f t="shared" si="84"/>
        <v>0</v>
      </c>
      <c r="Y299" s="2956">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6">
        <f t="shared" si="82"/>
        <v>0</v>
      </c>
      <c r="V300" s="2956">
        <f t="shared" si="83"/>
        <v>0</v>
      </c>
      <c r="W300" s="996"/>
      <c r="X300" s="2956">
        <f t="shared" si="84"/>
        <v>0</v>
      </c>
      <c r="Y300" s="2956">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6">
        <f t="shared" si="82"/>
        <v>0</v>
      </c>
      <c r="V301" s="2956">
        <f t="shared" si="83"/>
        <v>0</v>
      </c>
      <c r="W301" s="996"/>
      <c r="X301" s="2956">
        <f t="shared" si="84"/>
        <v>0</v>
      </c>
      <c r="Y301" s="2956">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6">
        <f t="shared" si="82"/>
        <v>0</v>
      </c>
      <c r="V302" s="2956">
        <f t="shared" si="83"/>
        <v>0</v>
      </c>
      <c r="W302" s="996"/>
      <c r="X302" s="2956">
        <f t="shared" si="84"/>
        <v>0</v>
      </c>
      <c r="Y302" s="2956">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6">
        <f t="shared" si="82"/>
        <v>0</v>
      </c>
      <c r="V303" s="2956">
        <f t="shared" si="83"/>
        <v>0</v>
      </c>
      <c r="W303" s="996"/>
      <c r="X303" s="2956">
        <f t="shared" si="84"/>
        <v>0</v>
      </c>
      <c r="Y303" s="2956">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6">
        <f t="shared" si="82"/>
        <v>0</v>
      </c>
      <c r="V304" s="2956">
        <f t="shared" si="83"/>
        <v>0</v>
      </c>
      <c r="W304" s="996"/>
      <c r="X304" s="2956">
        <f t="shared" si="84"/>
        <v>0</v>
      </c>
      <c r="Y304" s="2956">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6">
        <f t="shared" si="82"/>
        <v>0</v>
      </c>
      <c r="V305" s="2956">
        <f t="shared" si="83"/>
        <v>0</v>
      </c>
      <c r="W305" s="996"/>
      <c r="X305" s="2956">
        <f t="shared" si="84"/>
        <v>0</v>
      </c>
      <c r="Y305" s="2956">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6">
        <f t="shared" si="82"/>
        <v>0</v>
      </c>
      <c r="V306" s="2956">
        <f t="shared" si="83"/>
        <v>0</v>
      </c>
      <c r="W306" s="996"/>
      <c r="X306" s="2956">
        <f t="shared" si="84"/>
        <v>0</v>
      </c>
      <c r="Y306" s="2956">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6">
        <f t="shared" si="82"/>
        <v>0</v>
      </c>
      <c r="V307" s="2956">
        <f t="shared" si="83"/>
        <v>0</v>
      </c>
      <c r="W307" s="996"/>
      <c r="X307" s="2956">
        <f t="shared" si="84"/>
        <v>0</v>
      </c>
      <c r="Y307" s="2956">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6">
        <f t="shared" si="82"/>
        <v>0</v>
      </c>
      <c r="V308" s="2956">
        <f t="shared" si="83"/>
        <v>0</v>
      </c>
      <c r="W308" s="996"/>
      <c r="X308" s="2956">
        <f t="shared" si="84"/>
        <v>0</v>
      </c>
      <c r="Y308" s="2956">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6">
        <f t="shared" si="82"/>
        <v>0</v>
      </c>
      <c r="V309" s="2956">
        <f t="shared" si="83"/>
        <v>0</v>
      </c>
      <c r="W309" s="996"/>
      <c r="X309" s="2956">
        <f t="shared" si="84"/>
        <v>0</v>
      </c>
      <c r="Y309" s="2956">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6">
        <f t="shared" si="82"/>
        <v>0</v>
      </c>
      <c r="V310" s="2956">
        <f t="shared" si="83"/>
        <v>0</v>
      </c>
      <c r="W310" s="996"/>
      <c r="X310" s="2956">
        <f t="shared" si="84"/>
        <v>0</v>
      </c>
      <c r="Y310" s="2956">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6">
        <f t="shared" si="82"/>
        <v>0</v>
      </c>
      <c r="V311" s="2956">
        <f t="shared" si="83"/>
        <v>0</v>
      </c>
      <c r="W311" s="996"/>
      <c r="X311" s="2956">
        <f t="shared" si="84"/>
        <v>0</v>
      </c>
      <c r="Y311" s="2956">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6">
        <f t="shared" si="82"/>
        <v>0</v>
      </c>
      <c r="V312" s="2956">
        <f t="shared" si="83"/>
        <v>0</v>
      </c>
      <c r="W312" s="996"/>
      <c r="X312" s="2956">
        <f t="shared" si="84"/>
        <v>0</v>
      </c>
      <c r="Y312" s="2956">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6">
        <f t="shared" si="82"/>
        <v>0</v>
      </c>
      <c r="V313" s="2956">
        <f t="shared" si="83"/>
        <v>0</v>
      </c>
      <c r="W313" s="996"/>
      <c r="X313" s="2956">
        <f t="shared" si="84"/>
        <v>0</v>
      </c>
      <c r="Y313" s="2956">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6">
        <f t="shared" si="82"/>
        <v>0</v>
      </c>
      <c r="V314" s="2956">
        <f t="shared" si="83"/>
        <v>0</v>
      </c>
      <c r="W314" s="996"/>
      <c r="X314" s="2956">
        <f t="shared" si="84"/>
        <v>0</v>
      </c>
      <c r="Y314" s="2956">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6">
        <f t="shared" si="82"/>
        <v>0</v>
      </c>
      <c r="V315" s="2956">
        <f t="shared" si="83"/>
        <v>0</v>
      </c>
      <c r="W315" s="996"/>
      <c r="X315" s="2956">
        <f t="shared" si="84"/>
        <v>0</v>
      </c>
      <c r="Y315" s="2956">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6">
        <f t="shared" si="82"/>
        <v>0</v>
      </c>
      <c r="V316" s="2956">
        <f t="shared" si="83"/>
        <v>0</v>
      </c>
      <c r="W316" s="996"/>
      <c r="X316" s="2956">
        <f t="shared" si="84"/>
        <v>0</v>
      </c>
      <c r="Y316" s="2956">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6">
        <f t="shared" si="82"/>
        <v>0</v>
      </c>
      <c r="V317" s="2956">
        <f t="shared" si="83"/>
        <v>0</v>
      </c>
      <c r="W317" s="996"/>
      <c r="X317" s="2956">
        <f t="shared" si="84"/>
        <v>0</v>
      </c>
      <c r="Y317" s="2956">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6">
        <f t="shared" si="82"/>
        <v>0</v>
      </c>
      <c r="V318" s="2956">
        <f t="shared" si="83"/>
        <v>0</v>
      </c>
      <c r="W318" s="996"/>
      <c r="X318" s="2956">
        <f t="shared" si="84"/>
        <v>0</v>
      </c>
      <c r="Y318" s="2956">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6">
        <f t="shared" si="82"/>
        <v>0</v>
      </c>
      <c r="V319" s="2956">
        <f t="shared" si="83"/>
        <v>0</v>
      </c>
      <c r="W319" s="996"/>
      <c r="X319" s="2956">
        <f t="shared" si="84"/>
        <v>0</v>
      </c>
      <c r="Y319" s="2956">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6">
        <f t="shared" si="82"/>
        <v>0</v>
      </c>
      <c r="V320" s="2956">
        <f t="shared" si="83"/>
        <v>0</v>
      </c>
      <c r="W320" s="996"/>
      <c r="X320" s="2956">
        <f t="shared" si="84"/>
        <v>0</v>
      </c>
      <c r="Y320" s="2956">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6">
        <f t="shared" si="82"/>
        <v>0</v>
      </c>
      <c r="V321" s="2956">
        <f t="shared" si="83"/>
        <v>0</v>
      </c>
      <c r="W321" s="996"/>
      <c r="X321" s="2956">
        <f t="shared" si="84"/>
        <v>0</v>
      </c>
      <c r="Y321" s="2956">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6">
        <f t="shared" si="82"/>
        <v>0</v>
      </c>
      <c r="V322" s="2956">
        <f t="shared" si="83"/>
        <v>0</v>
      </c>
      <c r="W322" s="996"/>
      <c r="X322" s="2956">
        <f t="shared" si="84"/>
        <v>0</v>
      </c>
      <c r="Y322" s="2956">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6">
        <f t="shared" si="82"/>
        <v>0</v>
      </c>
      <c r="V323" s="2956">
        <f t="shared" si="83"/>
        <v>0</v>
      </c>
      <c r="W323" s="996"/>
      <c r="X323" s="2956">
        <f t="shared" si="84"/>
        <v>0</v>
      </c>
      <c r="Y323" s="2956">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6">
        <f t="shared" si="82"/>
        <v>0</v>
      </c>
      <c r="V324" s="2956">
        <f t="shared" si="83"/>
        <v>0</v>
      </c>
      <c r="W324" s="996"/>
      <c r="X324" s="2956">
        <f t="shared" si="84"/>
        <v>0</v>
      </c>
      <c r="Y324" s="2956">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6">
        <f t="shared" si="82"/>
        <v>0</v>
      </c>
      <c r="V325" s="2956">
        <f t="shared" si="83"/>
        <v>0</v>
      </c>
      <c r="W325" s="996"/>
      <c r="X325" s="2956">
        <f t="shared" si="84"/>
        <v>0</v>
      </c>
      <c r="Y325" s="2956">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6">
        <f t="shared" si="82"/>
        <v>0</v>
      </c>
      <c r="V326" s="2956">
        <f t="shared" si="83"/>
        <v>0</v>
      </c>
      <c r="W326" s="996"/>
      <c r="X326" s="2956">
        <f t="shared" si="84"/>
        <v>0</v>
      </c>
      <c r="Y326" s="2956">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6">
        <f t="shared" si="82"/>
        <v>0</v>
      </c>
      <c r="V327" s="2956">
        <f t="shared" si="83"/>
        <v>0</v>
      </c>
      <c r="W327" s="996"/>
      <c r="X327" s="2956">
        <f t="shared" si="84"/>
        <v>0</v>
      </c>
      <c r="Y327" s="2956">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6">
        <f t="shared" si="82"/>
        <v>0</v>
      </c>
      <c r="V328" s="2956">
        <f t="shared" si="83"/>
        <v>0</v>
      </c>
      <c r="W328" s="996"/>
      <c r="X328" s="2956">
        <f t="shared" si="84"/>
        <v>0</v>
      </c>
      <c r="Y328" s="2956">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6">
        <f t="shared" si="82"/>
        <v>0</v>
      </c>
      <c r="V329" s="2956">
        <f t="shared" si="83"/>
        <v>0</v>
      </c>
      <c r="W329" s="996"/>
      <c r="X329" s="2956">
        <f t="shared" si="84"/>
        <v>0</v>
      </c>
      <c r="Y329" s="2956">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6">
        <f t="shared" si="82"/>
        <v>0</v>
      </c>
      <c r="V330" s="2956">
        <f t="shared" si="83"/>
        <v>0</v>
      </c>
      <c r="W330" s="996"/>
      <c r="X330" s="2956">
        <f t="shared" si="84"/>
        <v>0</v>
      </c>
      <c r="Y330" s="2956">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6">
        <f t="shared" si="82"/>
        <v>0</v>
      </c>
      <c r="V331" s="2956">
        <f t="shared" si="83"/>
        <v>0</v>
      </c>
      <c r="W331" s="996"/>
      <c r="X331" s="2956">
        <f t="shared" si="84"/>
        <v>0</v>
      </c>
      <c r="Y331" s="2956">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6">
        <f t="shared" si="82"/>
        <v>0</v>
      </c>
      <c r="V332" s="2956">
        <f t="shared" si="83"/>
        <v>0</v>
      </c>
      <c r="W332" s="996"/>
      <c r="X332" s="2956">
        <f t="shared" si="84"/>
        <v>0</v>
      </c>
      <c r="Y332" s="2956">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6">
        <f t="shared" si="82"/>
        <v>0</v>
      </c>
      <c r="V333" s="2956">
        <f t="shared" si="83"/>
        <v>0</v>
      </c>
      <c r="W333" s="996"/>
      <c r="X333" s="2956">
        <f t="shared" si="84"/>
        <v>0</v>
      </c>
      <c r="Y333" s="2956">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6">
        <f t="shared" si="82"/>
        <v>0</v>
      </c>
      <c r="V334" s="2956">
        <f t="shared" si="83"/>
        <v>0</v>
      </c>
      <c r="W334" s="996"/>
      <c r="X334" s="2956">
        <f t="shared" si="84"/>
        <v>0</v>
      </c>
      <c r="Y334" s="2956">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6">
        <f t="shared" si="82"/>
        <v>0</v>
      </c>
      <c r="V335" s="2956">
        <f t="shared" si="83"/>
        <v>0</v>
      </c>
      <c r="W335" s="996"/>
      <c r="X335" s="2956">
        <f t="shared" si="84"/>
        <v>0</v>
      </c>
      <c r="Y335" s="2956">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6">
        <f t="shared" si="82"/>
        <v>0</v>
      </c>
      <c r="V336" s="2956">
        <f t="shared" si="83"/>
        <v>0</v>
      </c>
      <c r="W336" s="996"/>
      <c r="X336" s="2956">
        <f t="shared" si="84"/>
        <v>0</v>
      </c>
      <c r="Y336" s="2956">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6">
        <f t="shared" si="82"/>
        <v>0</v>
      </c>
      <c r="V337" s="2956">
        <f t="shared" si="83"/>
        <v>0</v>
      </c>
      <c r="W337" s="996"/>
      <c r="X337" s="2956">
        <f t="shared" si="84"/>
        <v>0</v>
      </c>
      <c r="Y337" s="2956">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6">
        <f t="shared" si="82"/>
        <v>0</v>
      </c>
      <c r="V338" s="2956">
        <f t="shared" si="83"/>
        <v>0</v>
      </c>
      <c r="W338" s="996"/>
      <c r="X338" s="2956">
        <f t="shared" si="84"/>
        <v>0</v>
      </c>
      <c r="Y338" s="2956">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6">
        <f t="shared" si="82"/>
        <v>0</v>
      </c>
      <c r="V339" s="2956">
        <f t="shared" si="83"/>
        <v>0</v>
      </c>
      <c r="W339" s="996"/>
      <c r="X339" s="2956">
        <f t="shared" si="84"/>
        <v>0</v>
      </c>
      <c r="Y339" s="2956">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6">
        <f t="shared" si="82"/>
        <v>0</v>
      </c>
      <c r="V340" s="2956">
        <f t="shared" si="83"/>
        <v>0</v>
      </c>
      <c r="W340" s="996"/>
      <c r="X340" s="2956">
        <f t="shared" si="84"/>
        <v>0</v>
      </c>
      <c r="Y340" s="2956">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6">
        <f t="shared" si="82"/>
        <v>0</v>
      </c>
      <c r="V341" s="2956">
        <f t="shared" si="83"/>
        <v>0</v>
      </c>
      <c r="W341" s="996"/>
      <c r="X341" s="2956">
        <f t="shared" si="84"/>
        <v>0</v>
      </c>
      <c r="Y341" s="2956">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6">
        <f t="shared" si="82"/>
        <v>0</v>
      </c>
      <c r="V342" s="2956">
        <f t="shared" si="83"/>
        <v>0</v>
      </c>
      <c r="W342" s="996"/>
      <c r="X342" s="2956">
        <f t="shared" si="84"/>
        <v>0</v>
      </c>
      <c r="Y342" s="2956">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6">
        <f t="shared" si="82"/>
        <v>0</v>
      </c>
      <c r="V343" s="2956">
        <f t="shared" si="83"/>
        <v>0</v>
      </c>
      <c r="W343" s="996"/>
      <c r="X343" s="2956">
        <f t="shared" si="84"/>
        <v>0</v>
      </c>
      <c r="Y343" s="2956">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6">
        <f t="shared" si="82"/>
        <v>0</v>
      </c>
      <c r="V344" s="2956">
        <f t="shared" si="83"/>
        <v>0</v>
      </c>
      <c r="W344" s="996"/>
      <c r="X344" s="2956">
        <f t="shared" si="84"/>
        <v>0</v>
      </c>
      <c r="Y344" s="2956">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6">
        <f t="shared" si="82"/>
        <v>0</v>
      </c>
      <c r="V345" s="2956">
        <f t="shared" si="83"/>
        <v>0</v>
      </c>
      <c r="W345" s="996"/>
      <c r="X345" s="2956">
        <f t="shared" si="84"/>
        <v>0</v>
      </c>
      <c r="Y345" s="2956">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6">
        <f t="shared" si="82"/>
        <v>0</v>
      </c>
      <c r="V346" s="2956">
        <f t="shared" si="83"/>
        <v>0</v>
      </c>
      <c r="W346" s="996"/>
      <c r="X346" s="2956">
        <f t="shared" si="84"/>
        <v>0</v>
      </c>
      <c r="Y346" s="2956">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6">
        <f t="shared" si="82"/>
        <v>0</v>
      </c>
      <c r="V347" s="2956">
        <f t="shared" si="83"/>
        <v>0</v>
      </c>
      <c r="W347" s="996"/>
      <c r="X347" s="2956">
        <f t="shared" si="84"/>
        <v>0</v>
      </c>
      <c r="Y347" s="2956">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6">
        <f t="shared" ref="U348:U411" si="97">ROUND(W348*B348,0)</f>
        <v>0</v>
      </c>
      <c r="V348" s="2956">
        <f t="shared" ref="V348:V411" si="98">ROUND(W348*B348/10000,0)</f>
        <v>0</v>
      </c>
      <c r="W348" s="996"/>
      <c r="X348" s="2956">
        <f t="shared" ref="X348:X411" si="99">ROUND(Z348*B348,0)</f>
        <v>0</v>
      </c>
      <c r="Y348" s="2956">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6">
        <f t="shared" si="97"/>
        <v>0</v>
      </c>
      <c r="V349" s="2956">
        <f t="shared" si="98"/>
        <v>0</v>
      </c>
      <c r="W349" s="996"/>
      <c r="X349" s="2956">
        <f t="shared" si="99"/>
        <v>0</v>
      </c>
      <c r="Y349" s="2956">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6">
        <f t="shared" si="97"/>
        <v>0</v>
      </c>
      <c r="V350" s="2956">
        <f t="shared" si="98"/>
        <v>0</v>
      </c>
      <c r="W350" s="996"/>
      <c r="X350" s="2956">
        <f t="shared" si="99"/>
        <v>0</v>
      </c>
      <c r="Y350" s="2956">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6">
        <f t="shared" si="97"/>
        <v>0</v>
      </c>
      <c r="V351" s="2956">
        <f t="shared" si="98"/>
        <v>0</v>
      </c>
      <c r="W351" s="996"/>
      <c r="X351" s="2956">
        <f t="shared" si="99"/>
        <v>0</v>
      </c>
      <c r="Y351" s="2956">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6">
        <f t="shared" si="97"/>
        <v>0</v>
      </c>
      <c r="V352" s="2956">
        <f t="shared" si="98"/>
        <v>0</v>
      </c>
      <c r="W352" s="996"/>
      <c r="X352" s="2956">
        <f t="shared" si="99"/>
        <v>0</v>
      </c>
      <c r="Y352" s="2956">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6">
        <f t="shared" si="97"/>
        <v>0</v>
      </c>
      <c r="V353" s="2956">
        <f t="shared" si="98"/>
        <v>0</v>
      </c>
      <c r="W353" s="996"/>
      <c r="X353" s="2956">
        <f t="shared" si="99"/>
        <v>0</v>
      </c>
      <c r="Y353" s="2956">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6">
        <f t="shared" si="97"/>
        <v>0</v>
      </c>
      <c r="V354" s="2956">
        <f t="shared" si="98"/>
        <v>0</v>
      </c>
      <c r="W354" s="996"/>
      <c r="X354" s="2956">
        <f t="shared" si="99"/>
        <v>0</v>
      </c>
      <c r="Y354" s="2956">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6">
        <f t="shared" si="97"/>
        <v>0</v>
      </c>
      <c r="V355" s="2956">
        <f t="shared" si="98"/>
        <v>0</v>
      </c>
      <c r="W355" s="996"/>
      <c r="X355" s="2956">
        <f t="shared" si="99"/>
        <v>0</v>
      </c>
      <c r="Y355" s="2956">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6">
        <f t="shared" si="97"/>
        <v>0</v>
      </c>
      <c r="V356" s="2956">
        <f t="shared" si="98"/>
        <v>0</v>
      </c>
      <c r="W356" s="996"/>
      <c r="X356" s="2956">
        <f t="shared" si="99"/>
        <v>0</v>
      </c>
      <c r="Y356" s="2956">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6">
        <f t="shared" si="97"/>
        <v>0</v>
      </c>
      <c r="V357" s="2956">
        <f t="shared" si="98"/>
        <v>0</v>
      </c>
      <c r="W357" s="996"/>
      <c r="X357" s="2956">
        <f t="shared" si="99"/>
        <v>0</v>
      </c>
      <c r="Y357" s="2956">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6">
        <f t="shared" si="97"/>
        <v>0</v>
      </c>
      <c r="V358" s="2956">
        <f t="shared" si="98"/>
        <v>0</v>
      </c>
      <c r="W358" s="996"/>
      <c r="X358" s="2956">
        <f t="shared" si="99"/>
        <v>0</v>
      </c>
      <c r="Y358" s="2956">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6">
        <f t="shared" si="97"/>
        <v>0</v>
      </c>
      <c r="V359" s="2956">
        <f t="shared" si="98"/>
        <v>0</v>
      </c>
      <c r="W359" s="996"/>
      <c r="X359" s="2956">
        <f t="shared" si="99"/>
        <v>0</v>
      </c>
      <c r="Y359" s="2956">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6">
        <f t="shared" si="97"/>
        <v>0</v>
      </c>
      <c r="V360" s="2956">
        <f t="shared" si="98"/>
        <v>0</v>
      </c>
      <c r="W360" s="996"/>
      <c r="X360" s="2956">
        <f t="shared" si="99"/>
        <v>0</v>
      </c>
      <c r="Y360" s="2956">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6">
        <f t="shared" si="97"/>
        <v>0</v>
      </c>
      <c r="V361" s="2956">
        <f t="shared" si="98"/>
        <v>0</v>
      </c>
      <c r="W361" s="996"/>
      <c r="X361" s="2956">
        <f t="shared" si="99"/>
        <v>0</v>
      </c>
      <c r="Y361" s="2956">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6">
        <f t="shared" si="97"/>
        <v>0</v>
      </c>
      <c r="V362" s="2956">
        <f t="shared" si="98"/>
        <v>0</v>
      </c>
      <c r="W362" s="996"/>
      <c r="X362" s="2956">
        <f t="shared" si="99"/>
        <v>0</v>
      </c>
      <c r="Y362" s="2956">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6">
        <f t="shared" si="97"/>
        <v>0</v>
      </c>
      <c r="V363" s="2956">
        <f t="shared" si="98"/>
        <v>0</v>
      </c>
      <c r="W363" s="996"/>
      <c r="X363" s="2956">
        <f t="shared" si="99"/>
        <v>0</v>
      </c>
      <c r="Y363" s="2956">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6">
        <f t="shared" si="97"/>
        <v>0</v>
      </c>
      <c r="V364" s="2956">
        <f t="shared" si="98"/>
        <v>0</v>
      </c>
      <c r="W364" s="996"/>
      <c r="X364" s="2956">
        <f t="shared" si="99"/>
        <v>0</v>
      </c>
      <c r="Y364" s="2956">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6">
        <f t="shared" si="97"/>
        <v>0</v>
      </c>
      <c r="V365" s="2956">
        <f t="shared" si="98"/>
        <v>0</v>
      </c>
      <c r="W365" s="996"/>
      <c r="X365" s="2956">
        <f t="shared" si="99"/>
        <v>0</v>
      </c>
      <c r="Y365" s="2956">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6">
        <f t="shared" si="97"/>
        <v>0</v>
      </c>
      <c r="V366" s="2956">
        <f t="shared" si="98"/>
        <v>0</v>
      </c>
      <c r="W366" s="996"/>
      <c r="X366" s="2956">
        <f t="shared" si="99"/>
        <v>0</v>
      </c>
      <c r="Y366" s="2956">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6">
        <f t="shared" si="97"/>
        <v>0</v>
      </c>
      <c r="V367" s="2956">
        <f t="shared" si="98"/>
        <v>0</v>
      </c>
      <c r="W367" s="996"/>
      <c r="X367" s="2956">
        <f t="shared" si="99"/>
        <v>0</v>
      </c>
      <c r="Y367" s="2956">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6">
        <f t="shared" si="97"/>
        <v>0</v>
      </c>
      <c r="V368" s="2956">
        <f t="shared" si="98"/>
        <v>0</v>
      </c>
      <c r="W368" s="996"/>
      <c r="X368" s="2956">
        <f t="shared" si="99"/>
        <v>0</v>
      </c>
      <c r="Y368" s="2956">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6">
        <f t="shared" si="97"/>
        <v>0</v>
      </c>
      <c r="V369" s="2956">
        <f t="shared" si="98"/>
        <v>0</v>
      </c>
      <c r="W369" s="996"/>
      <c r="X369" s="2956">
        <f t="shared" si="99"/>
        <v>0</v>
      </c>
      <c r="Y369" s="2956">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6">
        <f t="shared" si="97"/>
        <v>0</v>
      </c>
      <c r="V370" s="2956">
        <f t="shared" si="98"/>
        <v>0</v>
      </c>
      <c r="W370" s="996"/>
      <c r="X370" s="2956">
        <f t="shared" si="99"/>
        <v>0</v>
      </c>
      <c r="Y370" s="2956">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6">
        <f t="shared" si="97"/>
        <v>0</v>
      </c>
      <c r="V371" s="2956">
        <f t="shared" si="98"/>
        <v>0</v>
      </c>
      <c r="W371" s="996"/>
      <c r="X371" s="2956">
        <f t="shared" si="99"/>
        <v>0</v>
      </c>
      <c r="Y371" s="2956">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6">
        <f t="shared" si="97"/>
        <v>0</v>
      </c>
      <c r="V372" s="2956">
        <f t="shared" si="98"/>
        <v>0</v>
      </c>
      <c r="W372" s="996"/>
      <c r="X372" s="2956">
        <f t="shared" si="99"/>
        <v>0</v>
      </c>
      <c r="Y372" s="2956">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6">
        <f t="shared" si="97"/>
        <v>0</v>
      </c>
      <c r="V373" s="2956">
        <f t="shared" si="98"/>
        <v>0</v>
      </c>
      <c r="W373" s="996"/>
      <c r="X373" s="2956">
        <f t="shared" si="99"/>
        <v>0</v>
      </c>
      <c r="Y373" s="2956">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6">
        <f t="shared" si="97"/>
        <v>0</v>
      </c>
      <c r="V374" s="2956">
        <f t="shared" si="98"/>
        <v>0</v>
      </c>
      <c r="W374" s="996"/>
      <c r="X374" s="2956">
        <f t="shared" si="99"/>
        <v>0</v>
      </c>
      <c r="Y374" s="2956">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6">
        <f t="shared" si="97"/>
        <v>0</v>
      </c>
      <c r="V375" s="2956">
        <f t="shared" si="98"/>
        <v>0</v>
      </c>
      <c r="W375" s="996"/>
      <c r="X375" s="2956">
        <f t="shared" si="99"/>
        <v>0</v>
      </c>
      <c r="Y375" s="2956">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6">
        <f t="shared" si="97"/>
        <v>0</v>
      </c>
      <c r="V376" s="2956">
        <f t="shared" si="98"/>
        <v>0</v>
      </c>
      <c r="W376" s="996"/>
      <c r="X376" s="2956">
        <f t="shared" si="99"/>
        <v>0</v>
      </c>
      <c r="Y376" s="2956">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6">
        <f t="shared" si="97"/>
        <v>0</v>
      </c>
      <c r="V377" s="2956">
        <f t="shared" si="98"/>
        <v>0</v>
      </c>
      <c r="W377" s="996"/>
      <c r="X377" s="2956">
        <f t="shared" si="99"/>
        <v>0</v>
      </c>
      <c r="Y377" s="2956">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6">
        <f t="shared" si="97"/>
        <v>0</v>
      </c>
      <c r="V378" s="2956">
        <f t="shared" si="98"/>
        <v>0</v>
      </c>
      <c r="W378" s="996"/>
      <c r="X378" s="2956">
        <f t="shared" si="99"/>
        <v>0</v>
      </c>
      <c r="Y378" s="2956">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6">
        <f t="shared" si="97"/>
        <v>0</v>
      </c>
      <c r="V379" s="2956">
        <f t="shared" si="98"/>
        <v>0</v>
      </c>
      <c r="W379" s="996"/>
      <c r="X379" s="2956">
        <f t="shared" si="99"/>
        <v>0</v>
      </c>
      <c r="Y379" s="2956">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6">
        <f t="shared" si="97"/>
        <v>0</v>
      </c>
      <c r="V380" s="2956">
        <f t="shared" si="98"/>
        <v>0</v>
      </c>
      <c r="W380" s="996"/>
      <c r="X380" s="2956">
        <f t="shared" si="99"/>
        <v>0</v>
      </c>
      <c r="Y380" s="2956">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6">
        <f t="shared" si="97"/>
        <v>0</v>
      </c>
      <c r="V381" s="2956">
        <f t="shared" si="98"/>
        <v>0</v>
      </c>
      <c r="W381" s="996"/>
      <c r="X381" s="2956">
        <f t="shared" si="99"/>
        <v>0</v>
      </c>
      <c r="Y381" s="2956">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6">
        <f t="shared" si="97"/>
        <v>0</v>
      </c>
      <c r="V382" s="2956">
        <f t="shared" si="98"/>
        <v>0</v>
      </c>
      <c r="W382" s="996"/>
      <c r="X382" s="2956">
        <f t="shared" si="99"/>
        <v>0</v>
      </c>
      <c r="Y382" s="2956">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6">
        <f t="shared" si="97"/>
        <v>0</v>
      </c>
      <c r="V383" s="2956">
        <f t="shared" si="98"/>
        <v>0</v>
      </c>
      <c r="W383" s="996"/>
      <c r="X383" s="2956">
        <f t="shared" si="99"/>
        <v>0</v>
      </c>
      <c r="Y383" s="2956">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6">
        <f t="shared" si="97"/>
        <v>0</v>
      </c>
      <c r="V384" s="2956">
        <f t="shared" si="98"/>
        <v>0</v>
      </c>
      <c r="W384" s="996"/>
      <c r="X384" s="2956">
        <f t="shared" si="99"/>
        <v>0</v>
      </c>
      <c r="Y384" s="2956">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6">
        <f t="shared" si="97"/>
        <v>0</v>
      </c>
      <c r="V385" s="2956">
        <f t="shared" si="98"/>
        <v>0</v>
      </c>
      <c r="W385" s="996"/>
      <c r="X385" s="2956">
        <f t="shared" si="99"/>
        <v>0</v>
      </c>
      <c r="Y385" s="2956">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6">
        <f t="shared" si="97"/>
        <v>0</v>
      </c>
      <c r="V386" s="2956">
        <f t="shared" si="98"/>
        <v>0</v>
      </c>
      <c r="W386" s="996"/>
      <c r="X386" s="2956">
        <f t="shared" si="99"/>
        <v>0</v>
      </c>
      <c r="Y386" s="2956">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6">
        <f t="shared" si="97"/>
        <v>0</v>
      </c>
      <c r="V387" s="2956">
        <f t="shared" si="98"/>
        <v>0</v>
      </c>
      <c r="W387" s="996"/>
      <c r="X387" s="2956">
        <f t="shared" si="99"/>
        <v>0</v>
      </c>
      <c r="Y387" s="2956">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6">
        <f t="shared" si="97"/>
        <v>0</v>
      </c>
      <c r="V388" s="2956">
        <f t="shared" si="98"/>
        <v>0</v>
      </c>
      <c r="W388" s="996"/>
      <c r="X388" s="2956">
        <f t="shared" si="99"/>
        <v>0</v>
      </c>
      <c r="Y388" s="2956">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6">
        <f t="shared" si="97"/>
        <v>0</v>
      </c>
      <c r="V389" s="2956">
        <f t="shared" si="98"/>
        <v>0</v>
      </c>
      <c r="W389" s="996"/>
      <c r="X389" s="2956">
        <f t="shared" si="99"/>
        <v>0</v>
      </c>
      <c r="Y389" s="2956">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6">
        <f t="shared" si="97"/>
        <v>0</v>
      </c>
      <c r="V390" s="2956">
        <f t="shared" si="98"/>
        <v>0</v>
      </c>
      <c r="W390" s="996"/>
      <c r="X390" s="2956">
        <f t="shared" si="99"/>
        <v>0</v>
      </c>
      <c r="Y390" s="2956">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6">
        <f t="shared" si="97"/>
        <v>0</v>
      </c>
      <c r="V391" s="2956">
        <f t="shared" si="98"/>
        <v>0</v>
      </c>
      <c r="W391" s="996"/>
      <c r="X391" s="2956">
        <f t="shared" si="99"/>
        <v>0</v>
      </c>
      <c r="Y391" s="2956">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6">
        <f t="shared" si="97"/>
        <v>0</v>
      </c>
      <c r="V392" s="2956">
        <f t="shared" si="98"/>
        <v>0</v>
      </c>
      <c r="W392" s="996"/>
      <c r="X392" s="2956">
        <f t="shared" si="99"/>
        <v>0</v>
      </c>
      <c r="Y392" s="2956">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6">
        <f t="shared" si="97"/>
        <v>0</v>
      </c>
      <c r="V393" s="2956">
        <f t="shared" si="98"/>
        <v>0</v>
      </c>
      <c r="W393" s="996"/>
      <c r="X393" s="2956">
        <f t="shared" si="99"/>
        <v>0</v>
      </c>
      <c r="Y393" s="2956">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6">
        <f t="shared" si="97"/>
        <v>0</v>
      </c>
      <c r="V394" s="2956">
        <f t="shared" si="98"/>
        <v>0</v>
      </c>
      <c r="W394" s="996"/>
      <c r="X394" s="2956">
        <f t="shared" si="99"/>
        <v>0</v>
      </c>
      <c r="Y394" s="2956">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6">
        <f t="shared" si="97"/>
        <v>0</v>
      </c>
      <c r="V395" s="2956">
        <f t="shared" si="98"/>
        <v>0</v>
      </c>
      <c r="W395" s="996"/>
      <c r="X395" s="2956">
        <f t="shared" si="99"/>
        <v>0</v>
      </c>
      <c r="Y395" s="2956">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6">
        <f t="shared" si="97"/>
        <v>0</v>
      </c>
      <c r="V396" s="2956">
        <f t="shared" si="98"/>
        <v>0</v>
      </c>
      <c r="W396" s="996"/>
      <c r="X396" s="2956">
        <f t="shared" si="99"/>
        <v>0</v>
      </c>
      <c r="Y396" s="2956">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6">
        <f t="shared" si="97"/>
        <v>0</v>
      </c>
      <c r="V397" s="2956">
        <f t="shared" si="98"/>
        <v>0</v>
      </c>
      <c r="W397" s="996"/>
      <c r="X397" s="2956">
        <f t="shared" si="99"/>
        <v>0</v>
      </c>
      <c r="Y397" s="2956">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6">
        <f t="shared" si="97"/>
        <v>0</v>
      </c>
      <c r="V398" s="2956">
        <f t="shared" si="98"/>
        <v>0</v>
      </c>
      <c r="W398" s="996"/>
      <c r="X398" s="2956">
        <f t="shared" si="99"/>
        <v>0</v>
      </c>
      <c r="Y398" s="2956">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6">
        <f t="shared" si="97"/>
        <v>0</v>
      </c>
      <c r="V399" s="2956">
        <f t="shared" si="98"/>
        <v>0</v>
      </c>
      <c r="W399" s="996"/>
      <c r="X399" s="2956">
        <f t="shared" si="99"/>
        <v>0</v>
      </c>
      <c r="Y399" s="2956">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6">
        <f t="shared" si="97"/>
        <v>0</v>
      </c>
      <c r="V400" s="2956">
        <f t="shared" si="98"/>
        <v>0</v>
      </c>
      <c r="W400" s="996"/>
      <c r="X400" s="2956">
        <f t="shared" si="99"/>
        <v>0</v>
      </c>
      <c r="Y400" s="2956">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6">
        <f t="shared" si="97"/>
        <v>0</v>
      </c>
      <c r="V401" s="2956">
        <f t="shared" si="98"/>
        <v>0</v>
      </c>
      <c r="W401" s="996"/>
      <c r="X401" s="2956">
        <f t="shared" si="99"/>
        <v>0</v>
      </c>
      <c r="Y401" s="2956">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6">
        <f t="shared" si="97"/>
        <v>0</v>
      </c>
      <c r="V402" s="2956">
        <f t="shared" si="98"/>
        <v>0</v>
      </c>
      <c r="W402" s="996"/>
      <c r="X402" s="2956">
        <f t="shared" si="99"/>
        <v>0</v>
      </c>
      <c r="Y402" s="2956">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6">
        <f t="shared" si="97"/>
        <v>0</v>
      </c>
      <c r="V403" s="2956">
        <f t="shared" si="98"/>
        <v>0</v>
      </c>
      <c r="W403" s="996"/>
      <c r="X403" s="2956">
        <f t="shared" si="99"/>
        <v>0</v>
      </c>
      <c r="Y403" s="2956">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6">
        <f t="shared" si="97"/>
        <v>0</v>
      </c>
      <c r="V404" s="2956">
        <f t="shared" si="98"/>
        <v>0</v>
      </c>
      <c r="W404" s="996"/>
      <c r="X404" s="2956">
        <f t="shared" si="99"/>
        <v>0</v>
      </c>
      <c r="Y404" s="2956">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6">
        <f t="shared" si="97"/>
        <v>0</v>
      </c>
      <c r="V405" s="2956">
        <f t="shared" si="98"/>
        <v>0</v>
      </c>
      <c r="W405" s="996"/>
      <c r="X405" s="2956">
        <f t="shared" si="99"/>
        <v>0</v>
      </c>
      <c r="Y405" s="2956">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6">
        <f t="shared" si="97"/>
        <v>0</v>
      </c>
      <c r="V406" s="2956">
        <f t="shared" si="98"/>
        <v>0</v>
      </c>
      <c r="W406" s="996"/>
      <c r="X406" s="2956">
        <f t="shared" si="99"/>
        <v>0</v>
      </c>
      <c r="Y406" s="2956">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6">
        <f t="shared" si="97"/>
        <v>0</v>
      </c>
      <c r="V407" s="2956">
        <f t="shared" si="98"/>
        <v>0</v>
      </c>
      <c r="W407" s="996"/>
      <c r="X407" s="2956">
        <f t="shared" si="99"/>
        <v>0</v>
      </c>
      <c r="Y407" s="2956">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6">
        <f t="shared" si="97"/>
        <v>0</v>
      </c>
      <c r="V408" s="2956">
        <f t="shared" si="98"/>
        <v>0</v>
      </c>
      <c r="W408" s="996"/>
      <c r="X408" s="2956">
        <f t="shared" si="99"/>
        <v>0</v>
      </c>
      <c r="Y408" s="2956">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6">
        <f t="shared" si="97"/>
        <v>0</v>
      </c>
      <c r="V409" s="2956">
        <f t="shared" si="98"/>
        <v>0</v>
      </c>
      <c r="W409" s="996"/>
      <c r="X409" s="2956">
        <f t="shared" si="99"/>
        <v>0</v>
      </c>
      <c r="Y409" s="2956">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6">
        <f t="shared" si="97"/>
        <v>0</v>
      </c>
      <c r="V410" s="2956">
        <f t="shared" si="98"/>
        <v>0</v>
      </c>
      <c r="W410" s="996"/>
      <c r="X410" s="2956">
        <f t="shared" si="99"/>
        <v>0</v>
      </c>
      <c r="Y410" s="2956">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6">
        <f t="shared" si="97"/>
        <v>0</v>
      </c>
      <c r="V411" s="2956">
        <f t="shared" si="98"/>
        <v>0</v>
      </c>
      <c r="W411" s="996"/>
      <c r="X411" s="2956">
        <f t="shared" si="99"/>
        <v>0</v>
      </c>
      <c r="Y411" s="2956">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6">
        <f t="shared" ref="U412:U475" si="112">ROUND(W412*B412,0)</f>
        <v>0</v>
      </c>
      <c r="V412" s="2956">
        <f t="shared" ref="V412:V475" si="113">ROUND(W412*B412/10000,0)</f>
        <v>0</v>
      </c>
      <c r="W412" s="996"/>
      <c r="X412" s="2956">
        <f t="shared" ref="X412:X475" si="114">ROUND(Z412*B412,0)</f>
        <v>0</v>
      </c>
      <c r="Y412" s="2956">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6">
        <f t="shared" si="112"/>
        <v>0</v>
      </c>
      <c r="V413" s="2956">
        <f t="shared" si="113"/>
        <v>0</v>
      </c>
      <c r="W413" s="996"/>
      <c r="X413" s="2956">
        <f t="shared" si="114"/>
        <v>0</v>
      </c>
      <c r="Y413" s="2956">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6">
        <f t="shared" si="112"/>
        <v>0</v>
      </c>
      <c r="V414" s="2956">
        <f t="shared" si="113"/>
        <v>0</v>
      </c>
      <c r="W414" s="996"/>
      <c r="X414" s="2956">
        <f t="shared" si="114"/>
        <v>0</v>
      </c>
      <c r="Y414" s="2956">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6">
        <f t="shared" si="112"/>
        <v>0</v>
      </c>
      <c r="V415" s="2956">
        <f t="shared" si="113"/>
        <v>0</v>
      </c>
      <c r="W415" s="996"/>
      <c r="X415" s="2956">
        <f t="shared" si="114"/>
        <v>0</v>
      </c>
      <c r="Y415" s="2956">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6">
        <f t="shared" si="112"/>
        <v>0</v>
      </c>
      <c r="V416" s="2956">
        <f t="shared" si="113"/>
        <v>0</v>
      </c>
      <c r="W416" s="996"/>
      <c r="X416" s="2956">
        <f t="shared" si="114"/>
        <v>0</v>
      </c>
      <c r="Y416" s="2956">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6">
        <f t="shared" si="112"/>
        <v>0</v>
      </c>
      <c r="V417" s="2956">
        <f t="shared" si="113"/>
        <v>0</v>
      </c>
      <c r="W417" s="996"/>
      <c r="X417" s="2956">
        <f t="shared" si="114"/>
        <v>0</v>
      </c>
      <c r="Y417" s="2956">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6">
        <f t="shared" si="112"/>
        <v>0</v>
      </c>
      <c r="V418" s="2956">
        <f t="shared" si="113"/>
        <v>0</v>
      </c>
      <c r="W418" s="996"/>
      <c r="X418" s="2956">
        <f t="shared" si="114"/>
        <v>0</v>
      </c>
      <c r="Y418" s="2956">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6">
        <f t="shared" si="112"/>
        <v>0</v>
      </c>
      <c r="V419" s="2956">
        <f t="shared" si="113"/>
        <v>0</v>
      </c>
      <c r="W419" s="996"/>
      <c r="X419" s="2956">
        <f t="shared" si="114"/>
        <v>0</v>
      </c>
      <c r="Y419" s="2956">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6">
        <f t="shared" si="112"/>
        <v>0</v>
      </c>
      <c r="V420" s="2956">
        <f t="shared" si="113"/>
        <v>0</v>
      </c>
      <c r="W420" s="996"/>
      <c r="X420" s="2956">
        <f t="shared" si="114"/>
        <v>0</v>
      </c>
      <c r="Y420" s="2956">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6">
        <f t="shared" si="112"/>
        <v>0</v>
      </c>
      <c r="V421" s="2956">
        <f t="shared" si="113"/>
        <v>0</v>
      </c>
      <c r="W421" s="996"/>
      <c r="X421" s="2956">
        <f t="shared" si="114"/>
        <v>0</v>
      </c>
      <c r="Y421" s="2956">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6">
        <f t="shared" si="112"/>
        <v>0</v>
      </c>
      <c r="V422" s="2956">
        <f t="shared" si="113"/>
        <v>0</v>
      </c>
      <c r="W422" s="996"/>
      <c r="X422" s="2956">
        <f t="shared" si="114"/>
        <v>0</v>
      </c>
      <c r="Y422" s="2956">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6">
        <f t="shared" si="112"/>
        <v>0</v>
      </c>
      <c r="V423" s="2956">
        <f t="shared" si="113"/>
        <v>0</v>
      </c>
      <c r="W423" s="996"/>
      <c r="X423" s="2956">
        <f t="shared" si="114"/>
        <v>0</v>
      </c>
      <c r="Y423" s="2956">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6">
        <f t="shared" si="112"/>
        <v>0</v>
      </c>
      <c r="V424" s="2956">
        <f t="shared" si="113"/>
        <v>0</v>
      </c>
      <c r="W424" s="996"/>
      <c r="X424" s="2956">
        <f t="shared" si="114"/>
        <v>0</v>
      </c>
      <c r="Y424" s="2956">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6">
        <f t="shared" si="112"/>
        <v>0</v>
      </c>
      <c r="V425" s="2956">
        <f t="shared" si="113"/>
        <v>0</v>
      </c>
      <c r="W425" s="996"/>
      <c r="X425" s="2956">
        <f t="shared" si="114"/>
        <v>0</v>
      </c>
      <c r="Y425" s="2956">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6">
        <f t="shared" si="112"/>
        <v>0</v>
      </c>
      <c r="V426" s="2956">
        <f t="shared" si="113"/>
        <v>0</v>
      </c>
      <c r="W426" s="996"/>
      <c r="X426" s="2956">
        <f t="shared" si="114"/>
        <v>0</v>
      </c>
      <c r="Y426" s="2956">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6">
        <f t="shared" si="112"/>
        <v>0</v>
      </c>
      <c r="V427" s="2956">
        <f t="shared" si="113"/>
        <v>0</v>
      </c>
      <c r="W427" s="996"/>
      <c r="X427" s="2956">
        <f t="shared" si="114"/>
        <v>0</v>
      </c>
      <c r="Y427" s="2956">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6">
        <f t="shared" si="112"/>
        <v>0</v>
      </c>
      <c r="V428" s="2956">
        <f t="shared" si="113"/>
        <v>0</v>
      </c>
      <c r="W428" s="996"/>
      <c r="X428" s="2956">
        <f t="shared" si="114"/>
        <v>0</v>
      </c>
      <c r="Y428" s="2956">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6">
        <f t="shared" si="112"/>
        <v>0</v>
      </c>
      <c r="V429" s="2956">
        <f t="shared" si="113"/>
        <v>0</v>
      </c>
      <c r="W429" s="996"/>
      <c r="X429" s="2956">
        <f t="shared" si="114"/>
        <v>0</v>
      </c>
      <c r="Y429" s="2956">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6">
        <f t="shared" si="112"/>
        <v>0</v>
      </c>
      <c r="V430" s="2956">
        <f t="shared" si="113"/>
        <v>0</v>
      </c>
      <c r="W430" s="996"/>
      <c r="X430" s="2956">
        <f t="shared" si="114"/>
        <v>0</v>
      </c>
      <c r="Y430" s="2956">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6">
        <f t="shared" si="112"/>
        <v>0</v>
      </c>
      <c r="V431" s="2956">
        <f t="shared" si="113"/>
        <v>0</v>
      </c>
      <c r="W431" s="996"/>
      <c r="X431" s="2956">
        <f t="shared" si="114"/>
        <v>0</v>
      </c>
      <c r="Y431" s="2956">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6">
        <f t="shared" si="112"/>
        <v>0</v>
      </c>
      <c r="V432" s="2956">
        <f t="shared" si="113"/>
        <v>0</v>
      </c>
      <c r="W432" s="996"/>
      <c r="X432" s="2956">
        <f t="shared" si="114"/>
        <v>0</v>
      </c>
      <c r="Y432" s="2956">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6">
        <f t="shared" si="112"/>
        <v>0</v>
      </c>
      <c r="V433" s="2956">
        <f t="shared" si="113"/>
        <v>0</v>
      </c>
      <c r="W433" s="996"/>
      <c r="X433" s="2956">
        <f t="shared" si="114"/>
        <v>0</v>
      </c>
      <c r="Y433" s="2956">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6">
        <f t="shared" si="112"/>
        <v>0</v>
      </c>
      <c r="V434" s="2956">
        <f t="shared" si="113"/>
        <v>0</v>
      </c>
      <c r="W434" s="996"/>
      <c r="X434" s="2956">
        <f t="shared" si="114"/>
        <v>0</v>
      </c>
      <c r="Y434" s="2956">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6">
        <f t="shared" si="112"/>
        <v>0</v>
      </c>
      <c r="V435" s="2956">
        <f t="shared" si="113"/>
        <v>0</v>
      </c>
      <c r="W435" s="996"/>
      <c r="X435" s="2956">
        <f t="shared" si="114"/>
        <v>0</v>
      </c>
      <c r="Y435" s="2956">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6">
        <f t="shared" si="112"/>
        <v>0</v>
      </c>
      <c r="V436" s="2956">
        <f t="shared" si="113"/>
        <v>0</v>
      </c>
      <c r="W436" s="996"/>
      <c r="X436" s="2956">
        <f t="shared" si="114"/>
        <v>0</v>
      </c>
      <c r="Y436" s="2956">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6">
        <f t="shared" si="112"/>
        <v>0</v>
      </c>
      <c r="V437" s="2956">
        <f t="shared" si="113"/>
        <v>0</v>
      </c>
      <c r="W437" s="996"/>
      <c r="X437" s="2956">
        <f t="shared" si="114"/>
        <v>0</v>
      </c>
      <c r="Y437" s="2956">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6">
        <f t="shared" si="112"/>
        <v>0</v>
      </c>
      <c r="V438" s="2956">
        <f t="shared" si="113"/>
        <v>0</v>
      </c>
      <c r="W438" s="996"/>
      <c r="X438" s="2956">
        <f t="shared" si="114"/>
        <v>0</v>
      </c>
      <c r="Y438" s="2956">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6">
        <f t="shared" si="112"/>
        <v>0</v>
      </c>
      <c r="V439" s="2956">
        <f t="shared" si="113"/>
        <v>0</v>
      </c>
      <c r="W439" s="996"/>
      <c r="X439" s="2956">
        <f t="shared" si="114"/>
        <v>0</v>
      </c>
      <c r="Y439" s="2956">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6">
        <f t="shared" si="112"/>
        <v>0</v>
      </c>
      <c r="V440" s="2956">
        <f t="shared" si="113"/>
        <v>0</v>
      </c>
      <c r="W440" s="996"/>
      <c r="X440" s="2956">
        <f t="shared" si="114"/>
        <v>0</v>
      </c>
      <c r="Y440" s="2956">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6">
        <f t="shared" si="112"/>
        <v>0</v>
      </c>
      <c r="V441" s="2956">
        <f t="shared" si="113"/>
        <v>0</v>
      </c>
      <c r="W441" s="996"/>
      <c r="X441" s="2956">
        <f t="shared" si="114"/>
        <v>0</v>
      </c>
      <c r="Y441" s="2956">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6">
        <f t="shared" si="112"/>
        <v>0</v>
      </c>
      <c r="V442" s="2956">
        <f t="shared" si="113"/>
        <v>0</v>
      </c>
      <c r="W442" s="996"/>
      <c r="X442" s="2956">
        <f t="shared" si="114"/>
        <v>0</v>
      </c>
      <c r="Y442" s="2956">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6">
        <f t="shared" si="112"/>
        <v>0</v>
      </c>
      <c r="V443" s="2956">
        <f t="shared" si="113"/>
        <v>0</v>
      </c>
      <c r="W443" s="996"/>
      <c r="X443" s="2956">
        <f t="shared" si="114"/>
        <v>0</v>
      </c>
      <c r="Y443" s="2956">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6">
        <f t="shared" si="112"/>
        <v>0</v>
      </c>
      <c r="V444" s="2956">
        <f t="shared" si="113"/>
        <v>0</v>
      </c>
      <c r="W444" s="996"/>
      <c r="X444" s="2956">
        <f t="shared" si="114"/>
        <v>0</v>
      </c>
      <c r="Y444" s="2956">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6">
        <f t="shared" si="112"/>
        <v>0</v>
      </c>
      <c r="V445" s="2956">
        <f t="shared" si="113"/>
        <v>0</v>
      </c>
      <c r="W445" s="996"/>
      <c r="X445" s="2956">
        <f t="shared" si="114"/>
        <v>0</v>
      </c>
      <c r="Y445" s="2956">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6">
        <f t="shared" si="112"/>
        <v>0</v>
      </c>
      <c r="V446" s="2956">
        <f t="shared" si="113"/>
        <v>0</v>
      </c>
      <c r="W446" s="996"/>
      <c r="X446" s="2956">
        <f t="shared" si="114"/>
        <v>0</v>
      </c>
      <c r="Y446" s="2956">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6">
        <f t="shared" si="112"/>
        <v>0</v>
      </c>
      <c r="V447" s="2956">
        <f t="shared" si="113"/>
        <v>0</v>
      </c>
      <c r="W447" s="996"/>
      <c r="X447" s="2956">
        <f t="shared" si="114"/>
        <v>0</v>
      </c>
      <c r="Y447" s="2956">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6">
        <f t="shared" si="112"/>
        <v>0</v>
      </c>
      <c r="V448" s="2956">
        <f t="shared" si="113"/>
        <v>0</v>
      </c>
      <c r="W448" s="996"/>
      <c r="X448" s="2956">
        <f t="shared" si="114"/>
        <v>0</v>
      </c>
      <c r="Y448" s="2956">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6">
        <f t="shared" si="112"/>
        <v>0</v>
      </c>
      <c r="V449" s="2956">
        <f t="shared" si="113"/>
        <v>0</v>
      </c>
      <c r="W449" s="996"/>
      <c r="X449" s="2956">
        <f t="shared" si="114"/>
        <v>0</v>
      </c>
      <c r="Y449" s="2956">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6">
        <f t="shared" si="112"/>
        <v>0</v>
      </c>
      <c r="V450" s="2956">
        <f t="shared" si="113"/>
        <v>0</v>
      </c>
      <c r="W450" s="996"/>
      <c r="X450" s="2956">
        <f t="shared" si="114"/>
        <v>0</v>
      </c>
      <c r="Y450" s="2956">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6">
        <f t="shared" si="112"/>
        <v>0</v>
      </c>
      <c r="V451" s="2956">
        <f t="shared" si="113"/>
        <v>0</v>
      </c>
      <c r="W451" s="996"/>
      <c r="X451" s="2956">
        <f t="shared" si="114"/>
        <v>0</v>
      </c>
      <c r="Y451" s="2956">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6">
        <f t="shared" si="112"/>
        <v>0</v>
      </c>
      <c r="V452" s="2956">
        <f t="shared" si="113"/>
        <v>0</v>
      </c>
      <c r="W452" s="996"/>
      <c r="X452" s="2956">
        <f t="shared" si="114"/>
        <v>0</v>
      </c>
      <c r="Y452" s="2956">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6">
        <f t="shared" si="112"/>
        <v>0</v>
      </c>
      <c r="V453" s="2956">
        <f t="shared" si="113"/>
        <v>0</v>
      </c>
      <c r="W453" s="996"/>
      <c r="X453" s="2956">
        <f t="shared" si="114"/>
        <v>0</v>
      </c>
      <c r="Y453" s="2956">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6">
        <f t="shared" si="112"/>
        <v>0</v>
      </c>
      <c r="V454" s="2956">
        <f t="shared" si="113"/>
        <v>0</v>
      </c>
      <c r="W454" s="996"/>
      <c r="X454" s="2956">
        <f t="shared" si="114"/>
        <v>0</v>
      </c>
      <c r="Y454" s="2956">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6">
        <f t="shared" si="112"/>
        <v>0</v>
      </c>
      <c r="V455" s="2956">
        <f t="shared" si="113"/>
        <v>0</v>
      </c>
      <c r="W455" s="996"/>
      <c r="X455" s="2956">
        <f t="shared" si="114"/>
        <v>0</v>
      </c>
      <c r="Y455" s="2956">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6">
        <f t="shared" si="112"/>
        <v>0</v>
      </c>
      <c r="V456" s="2956">
        <f t="shared" si="113"/>
        <v>0</v>
      </c>
      <c r="W456" s="996"/>
      <c r="X456" s="2956">
        <f t="shared" si="114"/>
        <v>0</v>
      </c>
      <c r="Y456" s="2956">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6">
        <f t="shared" si="112"/>
        <v>0</v>
      </c>
      <c r="V457" s="2956">
        <f t="shared" si="113"/>
        <v>0</v>
      </c>
      <c r="W457" s="996"/>
      <c r="X457" s="2956">
        <f t="shared" si="114"/>
        <v>0</v>
      </c>
      <c r="Y457" s="2956">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6">
        <f t="shared" si="112"/>
        <v>0</v>
      </c>
      <c r="V458" s="2956">
        <f t="shared" si="113"/>
        <v>0</v>
      </c>
      <c r="W458" s="996"/>
      <c r="X458" s="2956">
        <f t="shared" si="114"/>
        <v>0</v>
      </c>
      <c r="Y458" s="2956">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6">
        <f t="shared" si="112"/>
        <v>0</v>
      </c>
      <c r="V459" s="2956">
        <f t="shared" si="113"/>
        <v>0</v>
      </c>
      <c r="W459" s="996"/>
      <c r="X459" s="2956">
        <f t="shared" si="114"/>
        <v>0</v>
      </c>
      <c r="Y459" s="2956">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6">
        <f t="shared" si="112"/>
        <v>0</v>
      </c>
      <c r="V460" s="2956">
        <f t="shared" si="113"/>
        <v>0</v>
      </c>
      <c r="W460" s="996"/>
      <c r="X460" s="2956">
        <f t="shared" si="114"/>
        <v>0</v>
      </c>
      <c r="Y460" s="2956">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6">
        <f t="shared" si="112"/>
        <v>0</v>
      </c>
      <c r="V461" s="2956">
        <f t="shared" si="113"/>
        <v>0</v>
      </c>
      <c r="W461" s="996"/>
      <c r="X461" s="2956">
        <f t="shared" si="114"/>
        <v>0</v>
      </c>
      <c r="Y461" s="2956">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6">
        <f t="shared" si="112"/>
        <v>0</v>
      </c>
      <c r="V462" s="2956">
        <f t="shared" si="113"/>
        <v>0</v>
      </c>
      <c r="W462" s="996"/>
      <c r="X462" s="2956">
        <f t="shared" si="114"/>
        <v>0</v>
      </c>
      <c r="Y462" s="2956">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6">
        <f t="shared" si="112"/>
        <v>0</v>
      </c>
      <c r="V463" s="2956">
        <f t="shared" si="113"/>
        <v>0</v>
      </c>
      <c r="W463" s="996"/>
      <c r="X463" s="2956">
        <f t="shared" si="114"/>
        <v>0</v>
      </c>
      <c r="Y463" s="2956">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6">
        <f t="shared" si="112"/>
        <v>0</v>
      </c>
      <c r="V464" s="2956">
        <f t="shared" si="113"/>
        <v>0</v>
      </c>
      <c r="W464" s="996"/>
      <c r="X464" s="2956">
        <f t="shared" si="114"/>
        <v>0</v>
      </c>
      <c r="Y464" s="2956">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6">
        <f t="shared" si="112"/>
        <v>0</v>
      </c>
      <c r="V465" s="2956">
        <f t="shared" si="113"/>
        <v>0</v>
      </c>
      <c r="W465" s="996"/>
      <c r="X465" s="2956">
        <f t="shared" si="114"/>
        <v>0</v>
      </c>
      <c r="Y465" s="2956">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6">
        <f t="shared" si="112"/>
        <v>0</v>
      </c>
      <c r="V466" s="2956">
        <f t="shared" si="113"/>
        <v>0</v>
      </c>
      <c r="W466" s="996"/>
      <c r="X466" s="2956">
        <f t="shared" si="114"/>
        <v>0</v>
      </c>
      <c r="Y466" s="2956">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6">
        <f t="shared" si="112"/>
        <v>0</v>
      </c>
      <c r="V467" s="2956">
        <f t="shared" si="113"/>
        <v>0</v>
      </c>
      <c r="W467" s="996"/>
      <c r="X467" s="2956">
        <f t="shared" si="114"/>
        <v>0</v>
      </c>
      <c r="Y467" s="2956">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6">
        <f t="shared" si="112"/>
        <v>0</v>
      </c>
      <c r="V468" s="2956">
        <f t="shared" si="113"/>
        <v>0</v>
      </c>
      <c r="W468" s="996"/>
      <c r="X468" s="2956">
        <f t="shared" si="114"/>
        <v>0</v>
      </c>
      <c r="Y468" s="2956">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6">
        <f t="shared" si="112"/>
        <v>0</v>
      </c>
      <c r="V469" s="2956">
        <f t="shared" si="113"/>
        <v>0</v>
      </c>
      <c r="W469" s="996"/>
      <c r="X469" s="2956">
        <f t="shared" si="114"/>
        <v>0</v>
      </c>
      <c r="Y469" s="2956">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6">
        <f t="shared" si="112"/>
        <v>0</v>
      </c>
      <c r="V470" s="2956">
        <f t="shared" si="113"/>
        <v>0</v>
      </c>
      <c r="W470" s="996"/>
      <c r="X470" s="2956">
        <f t="shared" si="114"/>
        <v>0</v>
      </c>
      <c r="Y470" s="2956">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6">
        <f t="shared" si="112"/>
        <v>0</v>
      </c>
      <c r="V471" s="2956">
        <f t="shared" si="113"/>
        <v>0</v>
      </c>
      <c r="W471" s="996"/>
      <c r="X471" s="2956">
        <f t="shared" si="114"/>
        <v>0</v>
      </c>
      <c r="Y471" s="2956">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6">
        <f t="shared" si="112"/>
        <v>0</v>
      </c>
      <c r="V472" s="2956">
        <f t="shared" si="113"/>
        <v>0</v>
      </c>
      <c r="W472" s="996"/>
      <c r="X472" s="2956">
        <f t="shared" si="114"/>
        <v>0</v>
      </c>
      <c r="Y472" s="2956">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6">
        <f t="shared" si="112"/>
        <v>0</v>
      </c>
      <c r="V473" s="2956">
        <f t="shared" si="113"/>
        <v>0</v>
      </c>
      <c r="W473" s="996"/>
      <c r="X473" s="2956">
        <f t="shared" si="114"/>
        <v>0</v>
      </c>
      <c r="Y473" s="2956">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6">
        <f t="shared" si="112"/>
        <v>0</v>
      </c>
      <c r="V474" s="2956">
        <f t="shared" si="113"/>
        <v>0</v>
      </c>
      <c r="W474" s="996"/>
      <c r="X474" s="2956">
        <f t="shared" si="114"/>
        <v>0</v>
      </c>
      <c r="Y474" s="2956">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6">
        <f t="shared" si="112"/>
        <v>0</v>
      </c>
      <c r="V475" s="2956">
        <f t="shared" si="113"/>
        <v>0</v>
      </c>
      <c r="W475" s="996"/>
      <c r="X475" s="2956">
        <f t="shared" si="114"/>
        <v>0</v>
      </c>
      <c r="Y475" s="2956">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6">
        <f t="shared" ref="U476:U527" si="127">ROUND(W476*B476,0)</f>
        <v>0</v>
      </c>
      <c r="V476" s="2956">
        <f t="shared" ref="V476:V527" si="128">ROUND(W476*B476/10000,0)</f>
        <v>0</v>
      </c>
      <c r="W476" s="996"/>
      <c r="X476" s="2956">
        <f t="shared" ref="X476:X527" si="129">ROUND(Z476*B476,0)</f>
        <v>0</v>
      </c>
      <c r="Y476" s="2956">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6">
        <f t="shared" si="127"/>
        <v>0</v>
      </c>
      <c r="V477" s="2956">
        <f t="shared" si="128"/>
        <v>0</v>
      </c>
      <c r="W477" s="996"/>
      <c r="X477" s="2956">
        <f t="shared" si="129"/>
        <v>0</v>
      </c>
      <c r="Y477" s="2956">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6">
        <f t="shared" si="127"/>
        <v>0</v>
      </c>
      <c r="V478" s="2956">
        <f t="shared" si="128"/>
        <v>0</v>
      </c>
      <c r="W478" s="996"/>
      <c r="X478" s="2956">
        <f t="shared" si="129"/>
        <v>0</v>
      </c>
      <c r="Y478" s="2956">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6">
        <f t="shared" si="127"/>
        <v>0</v>
      </c>
      <c r="V479" s="2956">
        <f t="shared" si="128"/>
        <v>0</v>
      </c>
      <c r="W479" s="996"/>
      <c r="X479" s="2956">
        <f t="shared" si="129"/>
        <v>0</v>
      </c>
      <c r="Y479" s="2956">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6">
        <f t="shared" si="127"/>
        <v>0</v>
      </c>
      <c r="V480" s="2956">
        <f t="shared" si="128"/>
        <v>0</v>
      </c>
      <c r="W480" s="996"/>
      <c r="X480" s="2956">
        <f t="shared" si="129"/>
        <v>0</v>
      </c>
      <c r="Y480" s="2956">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6">
        <f t="shared" si="127"/>
        <v>0</v>
      </c>
      <c r="V481" s="2956">
        <f t="shared" si="128"/>
        <v>0</v>
      </c>
      <c r="W481" s="996"/>
      <c r="X481" s="2956">
        <f t="shared" si="129"/>
        <v>0</v>
      </c>
      <c r="Y481" s="2956">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6">
        <f t="shared" si="127"/>
        <v>0</v>
      </c>
      <c r="V482" s="2956">
        <f t="shared" si="128"/>
        <v>0</v>
      </c>
      <c r="W482" s="996"/>
      <c r="X482" s="2956">
        <f t="shared" si="129"/>
        <v>0</v>
      </c>
      <c r="Y482" s="2956">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6">
        <f t="shared" si="127"/>
        <v>0</v>
      </c>
      <c r="V483" s="2956">
        <f t="shared" si="128"/>
        <v>0</v>
      </c>
      <c r="W483" s="996"/>
      <c r="X483" s="2956">
        <f t="shared" si="129"/>
        <v>0</v>
      </c>
      <c r="Y483" s="2956">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6">
        <f t="shared" si="127"/>
        <v>0</v>
      </c>
      <c r="V484" s="2956">
        <f t="shared" si="128"/>
        <v>0</v>
      </c>
      <c r="W484" s="996"/>
      <c r="X484" s="2956">
        <f t="shared" si="129"/>
        <v>0</v>
      </c>
      <c r="Y484" s="2956">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6">
        <f t="shared" si="127"/>
        <v>0</v>
      </c>
      <c r="V485" s="2956">
        <f t="shared" si="128"/>
        <v>0</v>
      </c>
      <c r="W485" s="996"/>
      <c r="X485" s="2956">
        <f t="shared" si="129"/>
        <v>0</v>
      </c>
      <c r="Y485" s="2956">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6">
        <f t="shared" si="127"/>
        <v>0</v>
      </c>
      <c r="V486" s="2956">
        <f t="shared" si="128"/>
        <v>0</v>
      </c>
      <c r="W486" s="996"/>
      <c r="X486" s="2956">
        <f t="shared" si="129"/>
        <v>0</v>
      </c>
      <c r="Y486" s="2956">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6">
        <f t="shared" si="127"/>
        <v>0</v>
      </c>
      <c r="V487" s="2956">
        <f t="shared" si="128"/>
        <v>0</v>
      </c>
      <c r="W487" s="996"/>
      <c r="X487" s="2956">
        <f t="shared" si="129"/>
        <v>0</v>
      </c>
      <c r="Y487" s="2956">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6">
        <f t="shared" si="127"/>
        <v>0</v>
      </c>
      <c r="V488" s="2956">
        <f t="shared" si="128"/>
        <v>0</v>
      </c>
      <c r="W488" s="996"/>
      <c r="X488" s="2956">
        <f t="shared" si="129"/>
        <v>0</v>
      </c>
      <c r="Y488" s="2956">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6">
        <f t="shared" si="127"/>
        <v>0</v>
      </c>
      <c r="V489" s="2956">
        <f t="shared" si="128"/>
        <v>0</v>
      </c>
      <c r="W489" s="996"/>
      <c r="X489" s="2956">
        <f t="shared" si="129"/>
        <v>0</v>
      </c>
      <c r="Y489" s="2956">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6">
        <f t="shared" si="127"/>
        <v>0</v>
      </c>
      <c r="V490" s="2956">
        <f t="shared" si="128"/>
        <v>0</v>
      </c>
      <c r="W490" s="996"/>
      <c r="X490" s="2956">
        <f t="shared" si="129"/>
        <v>0</v>
      </c>
      <c r="Y490" s="2956">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6">
        <f t="shared" si="127"/>
        <v>0</v>
      </c>
      <c r="V491" s="2956">
        <f t="shared" si="128"/>
        <v>0</v>
      </c>
      <c r="W491" s="996"/>
      <c r="X491" s="2956">
        <f t="shared" si="129"/>
        <v>0</v>
      </c>
      <c r="Y491" s="2956">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6">
        <f t="shared" si="127"/>
        <v>0</v>
      </c>
      <c r="V492" s="2956">
        <f t="shared" si="128"/>
        <v>0</v>
      </c>
      <c r="W492" s="996"/>
      <c r="X492" s="2956">
        <f t="shared" si="129"/>
        <v>0</v>
      </c>
      <c r="Y492" s="2956">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6">
        <f t="shared" si="127"/>
        <v>0</v>
      </c>
      <c r="V493" s="2956">
        <f t="shared" si="128"/>
        <v>0</v>
      </c>
      <c r="W493" s="996"/>
      <c r="X493" s="2956">
        <f t="shared" si="129"/>
        <v>0</v>
      </c>
      <c r="Y493" s="2956">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6">
        <f t="shared" si="127"/>
        <v>0</v>
      </c>
      <c r="V494" s="2956">
        <f t="shared" si="128"/>
        <v>0</v>
      </c>
      <c r="W494" s="996"/>
      <c r="X494" s="2956">
        <f t="shared" si="129"/>
        <v>0</v>
      </c>
      <c r="Y494" s="2956">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6">
        <f t="shared" si="127"/>
        <v>0</v>
      </c>
      <c r="V495" s="2956">
        <f t="shared" si="128"/>
        <v>0</v>
      </c>
      <c r="W495" s="996"/>
      <c r="X495" s="2956">
        <f t="shared" si="129"/>
        <v>0</v>
      </c>
      <c r="Y495" s="2956">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6">
        <f t="shared" si="127"/>
        <v>0</v>
      </c>
      <c r="V496" s="2956">
        <f t="shared" si="128"/>
        <v>0</v>
      </c>
      <c r="W496" s="996"/>
      <c r="X496" s="2956">
        <f t="shared" si="129"/>
        <v>0</v>
      </c>
      <c r="Y496" s="2956">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6">
        <f t="shared" si="127"/>
        <v>0</v>
      </c>
      <c r="V497" s="2956">
        <f t="shared" si="128"/>
        <v>0</v>
      </c>
      <c r="W497" s="996"/>
      <c r="X497" s="2956">
        <f t="shared" si="129"/>
        <v>0</v>
      </c>
      <c r="Y497" s="2956">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6">
        <f t="shared" si="127"/>
        <v>0</v>
      </c>
      <c r="V498" s="2956">
        <f t="shared" si="128"/>
        <v>0</v>
      </c>
      <c r="W498" s="996"/>
      <c r="X498" s="2956">
        <f t="shared" si="129"/>
        <v>0</v>
      </c>
      <c r="Y498" s="2956">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6">
        <f t="shared" si="127"/>
        <v>0</v>
      </c>
      <c r="V499" s="2956">
        <f t="shared" si="128"/>
        <v>0</v>
      </c>
      <c r="W499" s="996"/>
      <c r="X499" s="2956">
        <f t="shared" si="129"/>
        <v>0</v>
      </c>
      <c r="Y499" s="2956">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6">
        <f t="shared" si="127"/>
        <v>0</v>
      </c>
      <c r="V500" s="2956">
        <f t="shared" si="128"/>
        <v>0</v>
      </c>
      <c r="W500" s="996"/>
      <c r="X500" s="2956">
        <f t="shared" si="129"/>
        <v>0</v>
      </c>
      <c r="Y500" s="2956">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6">
        <f t="shared" si="127"/>
        <v>0</v>
      </c>
      <c r="V501" s="2956">
        <f t="shared" si="128"/>
        <v>0</v>
      </c>
      <c r="W501" s="996"/>
      <c r="X501" s="2956">
        <f t="shared" si="129"/>
        <v>0</v>
      </c>
      <c r="Y501" s="2956">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6">
        <f t="shared" si="127"/>
        <v>0</v>
      </c>
      <c r="V502" s="2956">
        <f t="shared" si="128"/>
        <v>0</v>
      </c>
      <c r="W502" s="996"/>
      <c r="X502" s="2956">
        <f t="shared" si="129"/>
        <v>0</v>
      </c>
      <c r="Y502" s="2956">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6">
        <f t="shared" si="127"/>
        <v>0</v>
      </c>
      <c r="V503" s="2956">
        <f t="shared" si="128"/>
        <v>0</v>
      </c>
      <c r="W503" s="996"/>
      <c r="X503" s="2956">
        <f t="shared" si="129"/>
        <v>0</v>
      </c>
      <c r="Y503" s="2956">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6">
        <f t="shared" si="127"/>
        <v>0</v>
      </c>
      <c r="V504" s="2956">
        <f t="shared" si="128"/>
        <v>0</v>
      </c>
      <c r="W504" s="996"/>
      <c r="X504" s="2956">
        <f t="shared" si="129"/>
        <v>0</v>
      </c>
      <c r="Y504" s="2956">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6">
        <f t="shared" si="127"/>
        <v>0</v>
      </c>
      <c r="V505" s="2956">
        <f t="shared" si="128"/>
        <v>0</v>
      </c>
      <c r="W505" s="996"/>
      <c r="X505" s="2956">
        <f t="shared" si="129"/>
        <v>0</v>
      </c>
      <c r="Y505" s="2956">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6">
        <f t="shared" si="127"/>
        <v>0</v>
      </c>
      <c r="V506" s="2956">
        <f t="shared" si="128"/>
        <v>0</v>
      </c>
      <c r="W506" s="996"/>
      <c r="X506" s="2956">
        <f t="shared" si="129"/>
        <v>0</v>
      </c>
      <c r="Y506" s="2956">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6">
        <f t="shared" si="127"/>
        <v>0</v>
      </c>
      <c r="V507" s="2956">
        <f t="shared" si="128"/>
        <v>0</v>
      </c>
      <c r="W507" s="996"/>
      <c r="X507" s="2956">
        <f t="shared" si="129"/>
        <v>0</v>
      </c>
      <c r="Y507" s="2956">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6">
        <f t="shared" si="127"/>
        <v>0</v>
      </c>
      <c r="V508" s="2956">
        <f t="shared" si="128"/>
        <v>0</v>
      </c>
      <c r="W508" s="996"/>
      <c r="X508" s="2956">
        <f t="shared" si="129"/>
        <v>0</v>
      </c>
      <c r="Y508" s="2956">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6">
        <f t="shared" si="127"/>
        <v>0</v>
      </c>
      <c r="V509" s="2956">
        <f t="shared" si="128"/>
        <v>0</v>
      </c>
      <c r="W509" s="996"/>
      <c r="X509" s="2956">
        <f t="shared" si="129"/>
        <v>0</v>
      </c>
      <c r="Y509" s="2956">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6">
        <f t="shared" si="127"/>
        <v>0</v>
      </c>
      <c r="V510" s="2956">
        <f t="shared" si="128"/>
        <v>0</v>
      </c>
      <c r="W510" s="996"/>
      <c r="X510" s="2956">
        <f t="shared" si="129"/>
        <v>0</v>
      </c>
      <c r="Y510" s="2956">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6">
        <f t="shared" si="127"/>
        <v>0</v>
      </c>
      <c r="V511" s="2956">
        <f t="shared" si="128"/>
        <v>0</v>
      </c>
      <c r="W511" s="996"/>
      <c r="X511" s="2956">
        <f t="shared" si="129"/>
        <v>0</v>
      </c>
      <c r="Y511" s="2956">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6">
        <f t="shared" si="127"/>
        <v>0</v>
      </c>
      <c r="V512" s="2956">
        <f t="shared" si="128"/>
        <v>0</v>
      </c>
      <c r="W512" s="996"/>
      <c r="X512" s="2956">
        <f t="shared" si="129"/>
        <v>0</v>
      </c>
      <c r="Y512" s="2956">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6">
        <f t="shared" si="127"/>
        <v>0</v>
      </c>
      <c r="V513" s="2956">
        <f t="shared" si="128"/>
        <v>0</v>
      </c>
      <c r="W513" s="996"/>
      <c r="X513" s="2956">
        <f t="shared" si="129"/>
        <v>0</v>
      </c>
      <c r="Y513" s="2956">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6">
        <f t="shared" si="127"/>
        <v>0</v>
      </c>
      <c r="V514" s="2956">
        <f t="shared" si="128"/>
        <v>0</v>
      </c>
      <c r="W514" s="996"/>
      <c r="X514" s="2956">
        <f t="shared" si="129"/>
        <v>0</v>
      </c>
      <c r="Y514" s="2956">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6">
        <f t="shared" si="127"/>
        <v>0</v>
      </c>
      <c r="V515" s="2956">
        <f t="shared" si="128"/>
        <v>0</v>
      </c>
      <c r="W515" s="996"/>
      <c r="X515" s="2956">
        <f t="shared" si="129"/>
        <v>0</v>
      </c>
      <c r="Y515" s="2956">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6">
        <f t="shared" si="127"/>
        <v>0</v>
      </c>
      <c r="V516" s="2956">
        <f t="shared" si="128"/>
        <v>0</v>
      </c>
      <c r="W516" s="996"/>
      <c r="X516" s="2956">
        <f t="shared" si="129"/>
        <v>0</v>
      </c>
      <c r="Y516" s="2956">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6">
        <f t="shared" si="127"/>
        <v>0</v>
      </c>
      <c r="V517" s="2956">
        <f t="shared" si="128"/>
        <v>0</v>
      </c>
      <c r="W517" s="996"/>
      <c r="X517" s="2956">
        <f t="shared" si="129"/>
        <v>0</v>
      </c>
      <c r="Y517" s="2956">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6">
        <f t="shared" si="127"/>
        <v>0</v>
      </c>
      <c r="V518" s="2956">
        <f t="shared" si="128"/>
        <v>0</v>
      </c>
      <c r="W518" s="996"/>
      <c r="X518" s="2956">
        <f t="shared" si="129"/>
        <v>0</v>
      </c>
      <c r="Y518" s="2956">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6">
        <f t="shared" si="127"/>
        <v>0</v>
      </c>
      <c r="V519" s="2956">
        <f t="shared" si="128"/>
        <v>0</v>
      </c>
      <c r="W519" s="996"/>
      <c r="X519" s="2956">
        <f t="shared" si="129"/>
        <v>0</v>
      </c>
      <c r="Y519" s="2956">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6">
        <f t="shared" si="127"/>
        <v>0</v>
      </c>
      <c r="V520" s="2956">
        <f t="shared" si="128"/>
        <v>0</v>
      </c>
      <c r="W520" s="996"/>
      <c r="X520" s="2956">
        <f t="shared" si="129"/>
        <v>0</v>
      </c>
      <c r="Y520" s="2956">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6">
        <f t="shared" si="127"/>
        <v>0</v>
      </c>
      <c r="V521" s="2956">
        <f t="shared" si="128"/>
        <v>0</v>
      </c>
      <c r="W521" s="996"/>
      <c r="X521" s="2956">
        <f t="shared" si="129"/>
        <v>0</v>
      </c>
      <c r="Y521" s="2956">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6">
        <f t="shared" si="127"/>
        <v>0</v>
      </c>
      <c r="V522" s="2956">
        <f t="shared" si="128"/>
        <v>0</v>
      </c>
      <c r="W522" s="996"/>
      <c r="X522" s="2956">
        <f t="shared" si="129"/>
        <v>0</v>
      </c>
      <c r="Y522" s="2956">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6">
        <f t="shared" si="127"/>
        <v>0</v>
      </c>
      <c r="V523" s="2956">
        <f t="shared" si="128"/>
        <v>0</v>
      </c>
      <c r="W523" s="996"/>
      <c r="X523" s="2956">
        <f t="shared" si="129"/>
        <v>0</v>
      </c>
      <c r="Y523" s="2956">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6">
        <f t="shared" si="127"/>
        <v>0</v>
      </c>
      <c r="V524" s="2956">
        <f t="shared" si="128"/>
        <v>0</v>
      </c>
      <c r="W524" s="996"/>
      <c r="X524" s="2956">
        <f t="shared" si="129"/>
        <v>0</v>
      </c>
      <c r="Y524" s="2956">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6">
        <f t="shared" si="127"/>
        <v>0</v>
      </c>
      <c r="V525" s="2956">
        <f t="shared" si="128"/>
        <v>0</v>
      </c>
      <c r="W525" s="996"/>
      <c r="X525" s="2956">
        <f t="shared" si="129"/>
        <v>0</v>
      </c>
      <c r="Y525" s="2956">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6">
        <f t="shared" si="127"/>
        <v>0</v>
      </c>
      <c r="V526" s="2956">
        <f t="shared" si="128"/>
        <v>0</v>
      </c>
      <c r="W526" s="996"/>
      <c r="X526" s="2956">
        <f t="shared" si="129"/>
        <v>0</v>
      </c>
      <c r="Y526" s="2956">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6">
        <f t="shared" si="127"/>
        <v>0</v>
      </c>
      <c r="V527" s="2956">
        <f t="shared" si="128"/>
        <v>0</v>
      </c>
      <c r="W527" s="996"/>
      <c r="X527" s="2956">
        <f t="shared" si="129"/>
        <v>0</v>
      </c>
      <c r="Y527" s="2956">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G32:N116"/>
  <sheetViews>
    <sheetView tabSelected="1" topLeftCell="A184" workbookViewId="0">
      <selection activeCell="N143" sqref="N143"/>
    </sheetView>
  </sheetViews>
  <sheetFormatPr defaultRowHeight="13.5"/>
  <sheetData>
    <row r="32" spans="14:14">
      <c r="N32">
        <v>8</v>
      </c>
    </row>
    <row r="42" spans="14:14">
      <c r="N42">
        <v>4</v>
      </c>
    </row>
    <row r="54" spans="14:14">
      <c r="N54">
        <v>8.8000000000000007</v>
      </c>
    </row>
    <row r="64" spans="14:14">
      <c r="N64">
        <v>11</v>
      </c>
    </row>
    <row r="105" spans="7:8">
      <c r="G105" s="1308" t="s">
        <v>3084</v>
      </c>
      <c r="H105" s="1308" t="s">
        <v>3085</v>
      </c>
    </row>
    <row r="106" spans="7:8">
      <c r="G106">
        <f>1800/239*10000</f>
        <v>75313.807531380749</v>
      </c>
      <c r="H106">
        <f>100/365/239*10000</f>
        <v>11.463288817561757</v>
      </c>
    </row>
    <row r="107" spans="7:8">
      <c r="G107">
        <f>3400/474*10000</f>
        <v>71729.957805907179</v>
      </c>
      <c r="H107">
        <f>234/474/365*10000</f>
        <v>13.525229755505462</v>
      </c>
    </row>
    <row r="108" spans="7:8">
      <c r="G108">
        <f>850/98*10000</f>
        <v>86734.693877551021</v>
      </c>
      <c r="H108">
        <f>43/365/98*10000</f>
        <v>12.021246854906346</v>
      </c>
    </row>
    <row r="109" spans="7:8">
      <c r="G109">
        <f>2500/1070*10000</f>
        <v>23364.485981308411</v>
      </c>
      <c r="H109">
        <f>120/1070/365*10000</f>
        <v>3.0725899372679555</v>
      </c>
    </row>
    <row r="113" spans="7:8">
      <c r="G113">
        <f>750/95*10000</f>
        <v>78947.368421052626</v>
      </c>
      <c r="H113">
        <f>35/95/365*10000</f>
        <v>10.093727469358328</v>
      </c>
    </row>
    <row r="114" spans="7:8">
      <c r="G114">
        <f>670/135*10000</f>
        <v>49629.629629629628</v>
      </c>
      <c r="H114">
        <f>38/135/365*10000</f>
        <v>7.7118214104515479</v>
      </c>
    </row>
    <row r="115" spans="7:8">
      <c r="G115">
        <f>3300/330*10000</f>
        <v>100000</v>
      </c>
      <c r="H115">
        <f>210/330/365*10000</f>
        <v>17.434620174346204</v>
      </c>
    </row>
    <row r="116" spans="7:8">
      <c r="G116">
        <f>1200/107*10000</f>
        <v>112149.53271028037</v>
      </c>
      <c r="H116">
        <f>60/107/365*10000</f>
        <v>15.362949686339777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329"/>
      <c r="B3" s="1329"/>
      <c r="C3" s="1329"/>
      <c r="D3" s="1329"/>
      <c r="E3" s="1329"/>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326"/>
      <c r="B5" s="1330" t="s">
        <v>742</v>
      </c>
      <c r="C5" s="3346" t="s">
        <v>775</v>
      </c>
      <c r="D5" s="3347"/>
      <c r="E5" s="1326"/>
    </row>
    <row r="6" spans="1:5" ht="14.25">
      <c r="A6" s="1326"/>
      <c r="B6" s="1331" t="str">
        <f>项目基本情况!I1</f>
        <v>北京市房地产</v>
      </c>
      <c r="C6" s="3348">
        <f>项目基本情况!C12</f>
        <v>362.84</v>
      </c>
      <c r="D6" s="3348"/>
      <c r="E6" s="1326"/>
    </row>
    <row r="7" spans="1:5" ht="14.25">
      <c r="A7" s="1326"/>
      <c r="B7" s="3342" t="s">
        <v>776</v>
      </c>
      <c r="C7" s="1332" t="str">
        <f>IF('数据-取费表'!B3="万元","总价（万元）","总价（元）")</f>
        <v>总价（万元）</v>
      </c>
      <c r="D7" s="1333">
        <f>IF('数据-取费表'!E3="否",结果表!I102,'结果表 (1修多)'!I104)</f>
        <v>1429</v>
      </c>
      <c r="E7" s="1326"/>
    </row>
    <row r="8" spans="1:5" ht="14.25">
      <c r="A8" s="1326"/>
      <c r="B8" s="3342"/>
      <c r="C8" s="1334" t="s">
        <v>1106</v>
      </c>
      <c r="D8" s="1335" t="str">
        <f>IF('数据-取费表'!B3="万元",NUMBERSTRING(INT(D7*10000),2)&amp;"元整",NUMBERSTRING(INT(D7),2)&amp;"元整")</f>
        <v>壹仟肆佰贰拾玖万元整</v>
      </c>
      <c r="E8" s="1326"/>
    </row>
    <row r="9" spans="1:5" ht="14.25">
      <c r="A9" s="1326"/>
      <c r="B9" s="3342"/>
      <c r="C9" s="1336" t="s">
        <v>1202</v>
      </c>
      <c r="D9" s="1333">
        <f>IF('数据-取费表'!E3="否",结果表!I103,'结果表 (1修多)'!I105)</f>
        <v>39384</v>
      </c>
      <c r="E9" s="1326"/>
    </row>
    <row r="10" spans="1:5" ht="14.25">
      <c r="A10" s="1326"/>
      <c r="B10" s="3349"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49"/>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49" t="str">
        <f>IF('数据-取费表'!E3="否",结果表!F110,'结果表 (1修多)'!F112)</f>
        <v>3.房地产抵押价值</v>
      </c>
      <c r="C15" s="1327" t="str">
        <f>C7</f>
        <v>总价（万元）</v>
      </c>
      <c r="D15" s="1333">
        <f>IF('数据-取费表'!E3="否",结果表!I110,'结果表 (1修多)'!I112)</f>
        <v>1429</v>
      </c>
      <c r="E15" s="1326"/>
    </row>
    <row r="16" spans="1:5" ht="14.25">
      <c r="A16" s="1326"/>
      <c r="B16" s="3349"/>
      <c r="C16" s="1334" t="s">
        <v>1106</v>
      </c>
      <c r="D16" s="1333" t="str">
        <f>IF('数据-取费表'!B3="万元",NUMBERSTRING(INT(D15*10000),2)&amp;"元整",NUMBERSTRING(INT(D15),2)&amp;"元整")</f>
        <v>壹仟肆佰贰拾玖万元整</v>
      </c>
      <c r="E16" s="1326"/>
    </row>
    <row r="17" spans="1:5" ht="14.25">
      <c r="A17" s="1326"/>
      <c r="B17" s="3349"/>
      <c r="C17" s="1336" t="s">
        <v>1202</v>
      </c>
      <c r="D17" s="1333">
        <f>IF('数据-取费表'!E3="否",结果表!I111,'结果表 (1修多)'!I113)</f>
        <v>39384</v>
      </c>
      <c r="E17" s="1326"/>
    </row>
    <row r="18" spans="1:5" ht="14.25">
      <c r="A18" s="1326"/>
      <c r="B18" s="3349" t="str">
        <f>IF('数据-取费表'!E3="否",结果表!F112,'结果表 (1修多)'!F114)</f>
        <v>——</v>
      </c>
      <c r="C18" s="1327" t="str">
        <f>C7</f>
        <v>总价（万元）</v>
      </c>
      <c r="D18" s="1333" t="str">
        <f>IF('数据-取费表'!E3="否",结果表!I112,'结果表 (1修多)'!I114)</f>
        <v>——</v>
      </c>
      <c r="E18" s="1326"/>
    </row>
    <row r="19" spans="1:5" ht="14.25">
      <c r="A19" s="1326"/>
      <c r="B19" s="3349"/>
      <c r="C19" s="1334" t="s">
        <v>1106</v>
      </c>
      <c r="D19" s="1333" t="e">
        <f>IF('数据-取费表'!B3="万元",NUMBERSTRING(INT(D18*10000),2)&amp;"元整",NUMBERSTRING(INT(D18),2)&amp;"元整")</f>
        <v>#VALUE!</v>
      </c>
      <c r="E19" s="1326"/>
    </row>
    <row r="20" spans="1:5" ht="14.25">
      <c r="A20" s="1326"/>
      <c r="B20" s="3349"/>
      <c r="C20" s="1336" t="s">
        <v>1202</v>
      </c>
      <c r="D20" s="1333" t="str">
        <f>IF('数据-取费表'!E3="否",结果表!I113,'结果表 (1修多)'!I115)</f>
        <v>——</v>
      </c>
      <c r="E20" s="1326"/>
    </row>
    <row r="21" spans="1:5" ht="14.25">
      <c r="A21" s="1326"/>
      <c r="B21" s="3342" t="str">
        <f>IF('数据-取费表'!E3="否",结果表!F114,'结果表 (1修多)'!F116)</f>
        <v>——</v>
      </c>
      <c r="C21" s="1332" t="str">
        <f>C7</f>
        <v>总价（万元）</v>
      </c>
      <c r="D21" s="1333" t="str">
        <f>IF('数据-取费表'!E3="否",结果表!I114,'结果表 (1修多)'!I116)</f>
        <v>——</v>
      </c>
      <c r="E21" s="1326"/>
    </row>
    <row r="22" spans="1:5" ht="14.25">
      <c r="A22" s="1326"/>
      <c r="B22" s="3342"/>
      <c r="C22" s="1334" t="s">
        <v>1106</v>
      </c>
      <c r="D22" s="1335" t="e">
        <f>IF('数据-取费表'!B3="万元",NUMBERSTRING(INT(D21*10000),2)&amp;"元整",NUMBERSTRING(INT(D21),2)&amp;"元整")</f>
        <v>#VALUE!</v>
      </c>
      <c r="E22" s="1326"/>
    </row>
    <row r="23" spans="1:5" ht="15" thickBot="1">
      <c r="A23" s="1326"/>
      <c r="B23" s="3343"/>
      <c r="C23" s="1341" t="s">
        <v>1202</v>
      </c>
      <c r="D23" s="1342" t="str">
        <f>IF('数据-取费表'!E3="否",结果表!I115,'结果表 (1修多)'!I117)</f>
        <v>——</v>
      </c>
      <c r="E23" s="1326"/>
    </row>
    <row r="24" spans="1:5" ht="14.25" thickTop="1">
      <c r="A24" s="1326"/>
      <c r="B24" s="1326"/>
      <c r="C24" s="1326"/>
      <c r="D24" s="1326"/>
      <c r="E24" s="1326"/>
    </row>
    <row r="25" spans="1:5" ht="18.75" customHeight="1" thickBot="1">
      <c r="A25" s="1326"/>
      <c r="B25" s="3357" t="s">
        <v>1203</v>
      </c>
      <c r="C25" s="3357"/>
      <c r="D25" s="3357"/>
      <c r="E25" s="1326"/>
    </row>
    <row r="26" spans="1:5" ht="18.75" customHeight="1" thickTop="1">
      <c r="A26" s="1326"/>
      <c r="B26" s="3360" t="s">
        <v>1105</v>
      </c>
      <c r="C26" s="3361"/>
      <c r="D26" s="3358" t="s">
        <v>1104</v>
      </c>
      <c r="E26" s="1326"/>
    </row>
    <row r="27" spans="1:5" ht="18.75" customHeight="1">
      <c r="A27" s="1326"/>
      <c r="B27" s="3362"/>
      <c r="C27" s="3363"/>
      <c r="D27" s="3359"/>
      <c r="E27" s="1326"/>
    </row>
    <row r="28" spans="1:5" ht="14.25">
      <c r="A28" s="1326"/>
      <c r="B28" s="3350" t="s">
        <v>776</v>
      </c>
      <c r="C28" s="1343" t="s">
        <v>1107</v>
      </c>
      <c r="D28" s="1344">
        <f>IF('数据-取费表'!E3="否",结果表!I102,'结果表 (1修多)'!I104)</f>
        <v>1429</v>
      </c>
      <c r="E28" s="1326"/>
    </row>
    <row r="29" spans="1:5" ht="14.25">
      <c r="A29" s="1326"/>
      <c r="B29" s="3351"/>
      <c r="C29" s="1345" t="s">
        <v>1106</v>
      </c>
      <c r="D29" s="1346" t="str">
        <f>IF('数据-取费表'!B3="万元",NUMBERSTRING(INT(D28*10000),2)&amp;"元整",NUMBERSTRING(INT(D28),2)&amp;"元整")</f>
        <v>壹仟肆佰贰拾玖万元整</v>
      </c>
      <c r="E29" s="1326"/>
    </row>
    <row r="30" spans="1:5" ht="14.25">
      <c r="A30" s="1326"/>
      <c r="B30" s="3352"/>
      <c r="C30" s="1336" t="s">
        <v>1109</v>
      </c>
      <c r="D30" s="1347">
        <f>IF('数据-取费表'!E3="否",结果表!I103,'结果表 (1修多)'!I105)</f>
        <v>39384</v>
      </c>
      <c r="E30" s="1326"/>
    </row>
    <row r="31" spans="1:5" ht="14.25">
      <c r="A31" s="1326"/>
      <c r="B31" s="3355" t="str">
        <f>B10</f>
        <v>2.估价师所知悉的法定优先受偿款</v>
      </c>
      <c r="C31" s="1348" t="s">
        <v>1108</v>
      </c>
      <c r="D31" s="1349">
        <f>IF('数据-取费表'!E3="否",结果表!I105,'结果表 (1修多)'!I107)</f>
        <v>0</v>
      </c>
      <c r="E31" s="1326"/>
    </row>
    <row r="32" spans="1:5" ht="14.25">
      <c r="A32" s="1326"/>
      <c r="B32" s="3364"/>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53" t="str">
        <f>B15</f>
        <v>3.房地产抵押价值</v>
      </c>
      <c r="C36" s="1348" t="str">
        <f>C28</f>
        <v>总价</v>
      </c>
      <c r="D36" s="1349">
        <f>IF('数据-取费表'!E3="否",结果表!I110,'结果表 (1修多)'!I112)</f>
        <v>1429</v>
      </c>
      <c r="E36" s="1326"/>
    </row>
    <row r="37" spans="1:5" ht="14.25">
      <c r="A37" s="1326"/>
      <c r="B37" s="3353"/>
      <c r="C37" s="1345" t="s">
        <v>1106</v>
      </c>
      <c r="D37" s="1350" t="str">
        <f>IF('数据-取费表'!B3="万元",NUMBERSTRING(INT(D36*10000),2)&amp;"元整",NUMBERSTRING(INT(D36),2)&amp;"元整")</f>
        <v>壹仟肆佰贰拾玖万元整</v>
      </c>
      <c r="E37" s="1326"/>
    </row>
    <row r="38" spans="1:5" ht="14.25">
      <c r="A38" s="1326"/>
      <c r="B38" s="3353"/>
      <c r="C38" s="1336" t="s">
        <v>1110</v>
      </c>
      <c r="D38" s="1347">
        <f>IF('数据-取费表'!E3="否",结果表!D113,'结果表 (1修多)'!D117)</f>
        <v>39384</v>
      </c>
      <c r="E38" s="1326"/>
    </row>
    <row r="39" spans="1:5" ht="14.25">
      <c r="A39" s="1326"/>
      <c r="B39" s="3354" t="str">
        <f>B18</f>
        <v>——</v>
      </c>
      <c r="C39" s="1348" t="str">
        <f>C28</f>
        <v>总价</v>
      </c>
      <c r="D39" s="1349" t="str">
        <f>IF('数据-取费表'!E3="否",结果表!I112,'结果表 (1修多)'!I114)</f>
        <v>——</v>
      </c>
      <c r="E39" s="1326"/>
    </row>
    <row r="40" spans="1:5" ht="14.25">
      <c r="A40" s="1326"/>
      <c r="B40" s="3354"/>
      <c r="C40" s="1345" t="s">
        <v>1106</v>
      </c>
      <c r="D40" s="1350" t="e">
        <f>IF('数据-取费表'!B3="万元",NUMBERSTRING(INT(D39*10000),2)&amp;"元整",NUMBERSTRING(INT(D39),2)&amp;"元整")</f>
        <v>#VALUE!</v>
      </c>
      <c r="E40" s="1326"/>
    </row>
    <row r="41" spans="1:5" ht="14.25">
      <c r="A41" s="1326"/>
      <c r="B41" s="3354"/>
      <c r="C41" s="1336" t="s">
        <v>1110</v>
      </c>
      <c r="D41" s="1347" t="str">
        <f>IF('数据-取费表'!E3="否",结果表!D115,'结果表 (1修多)'!D119)</f>
        <v>——</v>
      </c>
      <c r="E41" s="1326"/>
    </row>
    <row r="42" spans="1:5" ht="14.25">
      <c r="A42" s="1326"/>
      <c r="B42" s="3353" t="str">
        <f>B21</f>
        <v>——</v>
      </c>
      <c r="C42" s="1348" t="str">
        <f>C28</f>
        <v>总价</v>
      </c>
      <c r="D42" s="1349" t="str">
        <f>IF('数据-取费表'!E3="否",结果表!I114,'结果表 (1修多)'!I116)</f>
        <v>——</v>
      </c>
      <c r="E42" s="1326"/>
    </row>
    <row r="43" spans="1:5" ht="14.25">
      <c r="A43" s="1326"/>
      <c r="B43" s="3355"/>
      <c r="C43" s="1345" t="s">
        <v>1106</v>
      </c>
      <c r="D43" s="1351" t="e">
        <f>IF('数据-取费表'!B3="万元",NUMBERSTRING(INT(D42*10000),2)&amp;"元整",NUMBERSTRING(INT(D42),2)&amp;"元整")</f>
        <v>#VALUE!</v>
      </c>
      <c r="E43" s="1326"/>
    </row>
    <row r="44" spans="1:5" ht="15" thickBot="1">
      <c r="A44" s="1326"/>
      <c r="B44" s="3356"/>
      <c r="C44" s="1341" t="s">
        <v>1110</v>
      </c>
      <c r="D44" s="1352" t="str">
        <f>IF('数据-取费表'!E3="否",结果表!D117,'结果表 (1修多)'!D121)</f>
        <v>——</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25" style="1311" customWidth="1"/>
    <col min="10" max="16384" width="9" style="1311"/>
  </cols>
  <sheetData>
    <row r="1" spans="1:9" ht="16.5" thickBot="1">
      <c r="A1" s="3371" t="str">
        <f>IF(项目基本情况!D5="房地产市场价值","估价结果一览表","结果表-2")</f>
        <v>结果表-2</v>
      </c>
      <c r="B1" s="3371"/>
      <c r="C1" s="3371"/>
      <c r="D1" s="3371"/>
      <c r="E1" s="3371"/>
      <c r="F1" s="3371"/>
      <c r="G1" s="3371"/>
      <c r="H1" s="3371"/>
      <c r="I1" s="3371"/>
    </row>
    <row r="2" spans="1:9" ht="30" customHeight="1" thickTop="1">
      <c r="A2" s="3372" t="s">
        <v>1204</v>
      </c>
      <c r="B2" s="3372" t="s">
        <v>1205</v>
      </c>
      <c r="C2" s="3372" t="s">
        <v>1206</v>
      </c>
      <c r="D2" s="3372" t="str">
        <f>IF('数据-取费表'!E3="否",结果表!D119,'结果表 (1修多)'!D123)</f>
        <v>出让国有建设用地使用权价值</v>
      </c>
      <c r="E2" s="3372"/>
      <c r="F2" s="3372" t="s">
        <v>1207</v>
      </c>
      <c r="G2" s="3372"/>
      <c r="H2" s="3372" t="s">
        <v>1208</v>
      </c>
      <c r="I2" s="3372"/>
    </row>
    <row r="3" spans="1:9" ht="15">
      <c r="A3" s="3367"/>
      <c r="B3" s="3367"/>
      <c r="C3" s="3367"/>
      <c r="D3" s="817" t="s">
        <v>1209</v>
      </c>
      <c r="E3" s="817" t="s">
        <v>1210</v>
      </c>
      <c r="F3" s="817" t="s">
        <v>1209</v>
      </c>
      <c r="G3" s="817" t="s">
        <v>1211</v>
      </c>
      <c r="H3" s="817" t="s">
        <v>1209</v>
      </c>
      <c r="I3" s="817" t="s">
        <v>1211</v>
      </c>
    </row>
    <row r="4" spans="1:9" ht="46.5" customHeight="1">
      <c r="A4" s="817" t="str">
        <f>项目基本情况!I1</f>
        <v>北京市房地产</v>
      </c>
      <c r="B4" s="817">
        <f>结果表!B121</f>
        <v>362.84</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IF('数据-取费表'!E3="否",结果表!H121,'结果表 (1修多)'!H125)</f>
        <v>1429</v>
      </c>
      <c r="I4" s="817">
        <f>IF('数据-取费表'!E3="否",结果表!I121,'结果表 (1修多)'!I125)</f>
        <v>39384</v>
      </c>
    </row>
    <row r="5" spans="1:9" ht="15">
      <c r="A5" s="3367" t="s">
        <v>1212</v>
      </c>
      <c r="B5" s="3367"/>
      <c r="C5" s="3367"/>
      <c r="D5" s="3365" t="str">
        <f>IF('数据-取费表'!E3="否",结果表!D122,'结果表 (1修多)'!D126)</f>
        <v>零元整</v>
      </c>
      <c r="E5" s="3365"/>
      <c r="F5" s="3365" t="str">
        <f>IF('数据-取费表'!E3="否",结果表!F122,'结果表 (1修多)'!F126)</f>
        <v>零元整</v>
      </c>
      <c r="G5" s="3365"/>
      <c r="H5" s="3365" t="str">
        <f>IF('数据-取费表'!E3="否",结果表!H122,'结果表 (1修多)'!H126)</f>
        <v>壹仟肆佰贰拾玖万元整</v>
      </c>
      <c r="I5" s="3365"/>
    </row>
    <row r="6" spans="1:9" ht="15.75">
      <c r="A6" s="3366" t="str">
        <f>IF('数据-取费表'!E3="否",结果表!A123,'结果表 (1修多)'!A127)</f>
        <v>估价师所知悉的法定优先受偿款</v>
      </c>
      <c r="B6" s="3366"/>
      <c r="C6" s="3366"/>
      <c r="D6" s="3366">
        <f>IF('数据-取费表'!E3="否",结果表!D123,'结果表 (1修多)'!D127)</f>
        <v>0</v>
      </c>
      <c r="E6" s="3366"/>
      <c r="F6" s="3366"/>
      <c r="G6" s="3366"/>
      <c r="H6" s="3366"/>
      <c r="I6" s="3366"/>
    </row>
    <row r="7" spans="1:9" ht="15">
      <c r="A7" s="3367" t="s">
        <v>1212</v>
      </c>
      <c r="B7" s="3367"/>
      <c r="C7" s="3367"/>
      <c r="D7" s="3368">
        <f>IF('数据-取费表'!E3="否",结果表!D124,'结果表 (1修多)'!D128)</f>
        <v>0</v>
      </c>
      <c r="E7" s="3369"/>
      <c r="F7" s="3369"/>
      <c r="G7" s="3369"/>
      <c r="H7" s="3369"/>
      <c r="I7" s="3370"/>
    </row>
    <row r="8" spans="1:9" ht="15.75">
      <c r="A8" s="3366" t="str">
        <f>IF('数据-取费表'!E3="否",结果表!A125,'结果表 (1修多)'!A129)</f>
        <v>房地产抵押价值</v>
      </c>
      <c r="B8" s="3366"/>
      <c r="C8" s="3366"/>
      <c r="D8" s="3366">
        <f>IF('数据-取费表'!E3="否",结果表!D125,'结果表 (1修多)'!D129)</f>
        <v>1429</v>
      </c>
      <c r="E8" s="3366"/>
      <c r="F8" s="3366"/>
      <c r="G8" s="3366"/>
      <c r="H8" s="3366"/>
      <c r="I8" s="3366"/>
    </row>
    <row r="9" spans="1:9" ht="15">
      <c r="A9" s="3367" t="s">
        <v>1212</v>
      </c>
      <c r="B9" s="3367"/>
      <c r="C9" s="3367"/>
      <c r="D9" s="3365">
        <f>IF('数据-取费表'!E3="否",结果表!D126,'结果表 (1修多)'!D130)</f>
        <v>39384</v>
      </c>
      <c r="E9" s="3365"/>
      <c r="F9" s="3365"/>
      <c r="G9" s="3365"/>
      <c r="H9" s="3365"/>
      <c r="I9" s="3365"/>
    </row>
    <row r="10" spans="1:9" ht="15.75">
      <c r="A10" s="3366" t="str">
        <f>IF('数据-取费表'!E3="否",结果表!A127,'结果表 (1修多)'!A131)</f>
        <v/>
      </c>
      <c r="B10" s="3366"/>
      <c r="C10" s="3366"/>
      <c r="D10" s="3366">
        <f>IF('数据-取费表'!E3="否",结果表!D127,'结果表 (1修多)'!D130)</f>
        <v>39384</v>
      </c>
      <c r="E10" s="3366"/>
      <c r="F10" s="3366"/>
      <c r="G10" s="3366"/>
      <c r="H10" s="3366"/>
      <c r="I10" s="3366"/>
    </row>
    <row r="11" spans="1:9" ht="15">
      <c r="A11" s="3367" t="s">
        <v>1212</v>
      </c>
      <c r="B11" s="3367"/>
      <c r="C11" s="3367"/>
      <c r="D11" s="3365" t="str">
        <f>IF('数据-取费表'!E3="否",结果表!D128,'结果表 (1修多)'!D132)</f>
        <v>——</v>
      </c>
      <c r="E11" s="3365"/>
      <c r="F11" s="3365"/>
      <c r="G11" s="3365"/>
      <c r="H11" s="3365"/>
      <c r="I11" s="3365"/>
    </row>
    <row r="12" spans="1:9" ht="15.75">
      <c r="A12" s="3366" t="str">
        <f>IF('数据-取费表'!E3="否",结果表!A129,'结果表 (1修多)'!A133)</f>
        <v/>
      </c>
      <c r="B12" s="3366"/>
      <c r="C12" s="3366"/>
      <c r="D12" s="3366" t="str">
        <f>IF('数据-取费表'!E3="否",结果表!D129,'结果表 (1修多)'!D133)</f>
        <v>——</v>
      </c>
      <c r="E12" s="3366"/>
      <c r="F12" s="3366"/>
      <c r="G12" s="3366"/>
      <c r="H12" s="3366"/>
      <c r="I12" s="3366"/>
    </row>
    <row r="13" spans="1:9" ht="15.75" thickBot="1">
      <c r="A13" s="3373" t="s">
        <v>1212</v>
      </c>
      <c r="B13" s="3373"/>
      <c r="C13" s="3373"/>
      <c r="D13" s="3374">
        <f>IF('数据-取费表'!E3="否",结果表!D130,'结果表 (1修多)'!D134)</f>
        <v>0</v>
      </c>
      <c r="E13" s="3374"/>
      <c r="F13" s="3374"/>
      <c r="G13" s="3374"/>
      <c r="H13" s="3374"/>
      <c r="I13" s="3374"/>
    </row>
    <row r="14" spans="1:9" ht="15" thickTop="1">
      <c r="A14" s="3375" t="str">
        <f>IF('数据-取费表'!E3="否",结果表!A131,'结果表 (1修多)'!A135)</f>
        <v>单位：平方米、万元、元/平方米（币种：人民币）</v>
      </c>
      <c r="B14" s="3375"/>
      <c r="C14" s="3375"/>
      <c r="D14" s="3375"/>
      <c r="E14" s="3375"/>
      <c r="F14" s="3375"/>
      <c r="G14" s="3375"/>
      <c r="H14" s="3375"/>
      <c r="I14" s="3375"/>
    </row>
    <row r="15" spans="1:9">
      <c r="A15" s="604"/>
      <c r="B15" s="604"/>
      <c r="C15" s="604"/>
      <c r="D15" s="604"/>
      <c r="E15" s="604"/>
      <c r="F15" s="604"/>
      <c r="G15" s="604"/>
      <c r="H15" s="604"/>
      <c r="I15" s="604"/>
    </row>
    <row r="16" spans="1:9" ht="18.75">
      <c r="A16" s="1354"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25" style="1311" customWidth="1"/>
    <col min="4" max="4" width="21" style="1311" customWidth="1"/>
    <col min="5" max="16384" width="9" style="1311"/>
  </cols>
  <sheetData>
    <row r="1" spans="1:4" ht="18.75">
      <c r="A1" s="3380" t="s">
        <v>1225</v>
      </c>
      <c r="B1" s="3380"/>
      <c r="C1" s="3380"/>
      <c r="D1" s="3380"/>
    </row>
    <row r="2" spans="1:4" ht="18">
      <c r="A2" s="3379" t="s">
        <v>1214</v>
      </c>
      <c r="B2" s="3379"/>
      <c r="C2" s="3379"/>
      <c r="D2" s="3379"/>
    </row>
    <row r="3" spans="1:4" ht="18.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79" t="s">
        <v>1219</v>
      </c>
      <c r="B7" s="3379"/>
      <c r="C7" s="3379"/>
      <c r="D7" s="3379"/>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76" t="s">
        <v>2679</v>
      </c>
      <c r="B12" s="3378"/>
      <c r="C12" s="3378"/>
      <c r="D12" s="3378"/>
    </row>
    <row r="13" spans="1:4" ht="15.75">
      <c r="A13" s="33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8"/>
      <c r="C13" s="3378"/>
      <c r="D13" s="3378"/>
    </row>
    <row r="14" spans="1:4" ht="30" customHeight="1">
      <c r="A14" s="337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8"/>
      <c r="C14" s="3378"/>
      <c r="D14" s="3378"/>
    </row>
    <row r="15" spans="1:4" ht="15.75" customHeight="1">
      <c r="A15" s="3376" t="str">
        <f>IF(项目基本情况!D4="抵押","4.本次评估估价师所知悉的法定优先受偿款情况说明如下：","——")</f>
        <v>4.本次评估估价师所知悉的法定优先受偿款情况说明如下：</v>
      </c>
      <c r="B15" s="3378"/>
      <c r="C15" s="3378"/>
      <c r="D15" s="3378"/>
    </row>
    <row r="16" spans="1:4" ht="75" customHeight="1">
      <c r="A16" s="3376"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6"/>
      <c r="C16" s="3376"/>
      <c r="D16" s="3376"/>
    </row>
    <row r="17" spans="1:4" ht="63.75" customHeight="1">
      <c r="A17" s="3377" t="s">
        <v>1227</v>
      </c>
      <c r="B17" s="3377"/>
      <c r="C17" s="3377"/>
      <c r="D17" s="3377"/>
    </row>
    <row r="18" spans="1:4" ht="15.75" customHeight="1">
      <c r="A18" s="3376" t="str">
        <f>IF(项目基本情况!D4="抵押",结果表!L106,"——")</f>
        <v>本次评估不存在估价师所知悉的法定优先受偿款。</v>
      </c>
      <c r="B18" s="3376"/>
      <c r="C18" s="3376"/>
      <c r="D18" s="3376"/>
    </row>
    <row r="19" spans="1:4" ht="46.5" customHeight="1">
      <c r="A19" s="33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15">
      <c r="A20" s="3377" t="s">
        <v>2680</v>
      </c>
      <c r="B20" s="3377"/>
      <c r="C20" s="3377"/>
      <c r="D20" s="3377"/>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3" customWidth="1"/>
    <col min="2" max="16384" width="14.5" style="604"/>
  </cols>
  <sheetData>
    <row r="1" spans="1:7" s="1354" customFormat="1" ht="18.75">
      <c r="A1" s="602" t="s">
        <v>1294</v>
      </c>
    </row>
    <row r="3" spans="1:7" ht="14.25">
      <c r="A3" s="1371" t="s">
        <v>1295</v>
      </c>
      <c r="B3" s="604" t="s">
        <v>1296</v>
      </c>
      <c r="G3" s="1372"/>
    </row>
    <row r="4" spans="1:7">
      <c r="G4" s="1372"/>
    </row>
    <row r="5" spans="1:7" ht="14.25">
      <c r="A5" s="1374" t="s">
        <v>1297</v>
      </c>
      <c r="B5" s="604" t="s">
        <v>1298</v>
      </c>
      <c r="G5" s="1372"/>
    </row>
    <row r="6" spans="1:7">
      <c r="G6" s="1372"/>
    </row>
    <row r="7" spans="1:7" ht="14.25">
      <c r="A7" s="1375" t="s">
        <v>1299</v>
      </c>
      <c r="B7" s="604" t="s">
        <v>1300</v>
      </c>
      <c r="G7" s="1372"/>
    </row>
    <row r="8" spans="1:7">
      <c r="G8" s="1372"/>
    </row>
    <row r="9" spans="1:7">
      <c r="A9" s="1376" t="s">
        <v>1301</v>
      </c>
      <c r="B9" s="604" t="s">
        <v>1302</v>
      </c>
    </row>
    <row r="11" spans="1:7">
      <c r="A11" s="1377" t="s">
        <v>1303</v>
      </c>
      <c r="B11" s="1378" t="s">
        <v>1304</v>
      </c>
    </row>
    <row r="13" spans="1:7">
      <c r="A13" s="1158" t="s">
        <v>1305</v>
      </c>
    </row>
    <row r="15" spans="1:7" ht="14.25">
      <c r="A15" s="3386" t="s">
        <v>1306</v>
      </c>
      <c r="B15" s="3381" t="s">
        <v>1307</v>
      </c>
      <c r="C15" s="3382"/>
    </row>
    <row r="16" spans="1:7" ht="14.25">
      <c r="A16" s="3387"/>
      <c r="B16" s="3381" t="s">
        <v>1308</v>
      </c>
      <c r="C16" s="3382"/>
    </row>
    <row r="17" spans="1:3" ht="14.25">
      <c r="A17" s="3387"/>
      <c r="B17" s="3381" t="s">
        <v>1309</v>
      </c>
      <c r="C17" s="3382"/>
    </row>
    <row r="18" spans="1:3" ht="14.25">
      <c r="A18" s="3388"/>
      <c r="B18" s="3383" t="s">
        <v>1310</v>
      </c>
      <c r="C18" s="3382"/>
    </row>
    <row r="19" spans="1:3" ht="14.25">
      <c r="A19" s="1379" t="s">
        <v>1311</v>
      </c>
      <c r="B19" s="1380"/>
      <c r="C19" s="1381"/>
    </row>
    <row r="20" spans="1:3" ht="14.25">
      <c r="A20" s="3384" t="s">
        <v>1312</v>
      </c>
      <c r="B20" s="3383" t="s">
        <v>1313</v>
      </c>
      <c r="C20" s="3382"/>
    </row>
    <row r="21" spans="1:3" ht="14.25">
      <c r="A21" s="3384"/>
      <c r="B21" s="3383" t="s">
        <v>1314</v>
      </c>
      <c r="C21" s="3382"/>
    </row>
    <row r="22" spans="1:3" ht="14.25">
      <c r="A22" s="3384"/>
      <c r="B22" s="3383" t="s">
        <v>1315</v>
      </c>
      <c r="C22" s="3382"/>
    </row>
    <row r="23" spans="1:3" ht="14.25">
      <c r="A23" s="3384"/>
      <c r="B23" s="3385" t="s">
        <v>1316</v>
      </c>
      <c r="C23" s="1382" t="s">
        <v>1317</v>
      </c>
    </row>
    <row r="24" spans="1:3" ht="14.25">
      <c r="A24" s="3384"/>
      <c r="B24" s="3385"/>
      <c r="C24" s="1382" t="s">
        <v>1318</v>
      </c>
    </row>
    <row r="25" spans="1:3" ht="14.25">
      <c r="A25" s="3384"/>
      <c r="B25" s="3385"/>
      <c r="C25" s="1382" t="s">
        <v>1319</v>
      </c>
    </row>
    <row r="26" spans="1:3" ht="14.25">
      <c r="A26" s="3384"/>
      <c r="B26" s="3385"/>
      <c r="C26" s="1382" t="s">
        <v>1320</v>
      </c>
    </row>
    <row r="27" spans="1:3" ht="14.25">
      <c r="A27" s="3384"/>
      <c r="B27" s="3385"/>
      <c r="C27" s="1382" t="s">
        <v>1321</v>
      </c>
    </row>
    <row r="28" spans="1:3" ht="14.25">
      <c r="A28" s="3384"/>
      <c r="B28" s="3385"/>
      <c r="C28" s="1382" t="s">
        <v>1322</v>
      </c>
    </row>
    <row r="29" spans="1:3" ht="14.25">
      <c r="A29" s="3384"/>
      <c r="B29" s="3385"/>
      <c r="C29" s="1382" t="s">
        <v>1323</v>
      </c>
    </row>
    <row r="30" spans="1:3" ht="14.25">
      <c r="A30" s="3384"/>
      <c r="B30" s="3385"/>
      <c r="C30" s="1382" t="s">
        <v>1324</v>
      </c>
    </row>
    <row r="31" spans="1:3" ht="14.25">
      <c r="A31" s="3384"/>
      <c r="B31" s="3385"/>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44557</v>
      </c>
      <c r="C2" s="3031" t="s">
        <v>747</v>
      </c>
      <c r="D2" s="3031"/>
      <c r="E2" s="3031"/>
      <c r="F2" s="3028"/>
      <c r="G2" s="3028"/>
      <c r="H2" s="3028"/>
    </row>
    <row r="3" spans="1:8" ht="24" customHeight="1">
      <c r="A3" s="3032" t="s">
        <v>748</v>
      </c>
      <c r="B3" s="3033" t="s">
        <v>749</v>
      </c>
      <c r="C3" s="3033" t="s">
        <v>750</v>
      </c>
      <c r="D3" s="3034" t="s">
        <v>772</v>
      </c>
      <c r="E3" s="3047" t="s">
        <v>751</v>
      </c>
      <c r="F3" s="1269" t="s">
        <v>752</v>
      </c>
      <c r="G3" s="3033" t="s">
        <v>750</v>
      </c>
      <c r="H3" s="3034" t="s">
        <v>773</v>
      </c>
    </row>
    <row r="4" spans="1:8" ht="24" customHeight="1">
      <c r="A4" s="1269" t="s">
        <v>753</v>
      </c>
      <c r="B4" s="1269">
        <f ca="1">IF(C4&lt;B2,"已过期",1119970066)</f>
        <v>1119970066</v>
      </c>
      <c r="C4" s="3035">
        <v>44876</v>
      </c>
      <c r="D4" s="3046" t="str">
        <f ca="1">A4&amp;"（注册号："&amp;B4&amp;"）"</f>
        <v>梁津（注册号：1119970066）</v>
      </c>
      <c r="E4" s="3048" t="s">
        <v>753</v>
      </c>
      <c r="F4" s="1269">
        <f ca="1">IF(G4&lt;B2,"已过期",96010014)</f>
        <v>96010014</v>
      </c>
      <c r="G4" s="3036">
        <v>47118</v>
      </c>
      <c r="H4" s="3037" t="str">
        <f ca="1">E4&amp;"（注册号："&amp;F4&amp;"）"</f>
        <v>梁津（注册号：96010014）</v>
      </c>
    </row>
    <row r="5" spans="1:8" ht="24" customHeight="1">
      <c r="A5" s="1269" t="s">
        <v>754</v>
      </c>
      <c r="B5" s="1269">
        <f ca="1">IF(C5&lt;B2,"已过期",1119970111)</f>
        <v>1119970111</v>
      </c>
      <c r="C5" s="3035">
        <v>44876</v>
      </c>
      <c r="D5" s="3046" t="str">
        <f t="shared" ref="D5:D14" ca="1" si="0">A5&amp;"（注册号："&amp;B5&amp;"）"</f>
        <v>叶凌（注册号：1119970111）</v>
      </c>
      <c r="E5" s="3048" t="s">
        <v>754</v>
      </c>
      <c r="F5" s="1269">
        <f ca="1">IF(G5&lt;B2,"已过期",94010078)</f>
        <v>94010078</v>
      </c>
      <c r="G5" s="3036">
        <v>46387</v>
      </c>
      <c r="H5" s="3037" t="str">
        <f t="shared" ref="H5:H16" ca="1" si="1">E5&amp;"（注册号："&amp;F5&amp;"）"</f>
        <v>叶凌（注册号：94010078）</v>
      </c>
    </row>
    <row r="6" spans="1:8" ht="24" customHeight="1">
      <c r="A6" s="1269" t="s">
        <v>755</v>
      </c>
      <c r="B6" s="1269" t="str">
        <f ca="1">IF(C6&lt;B2,"已过期",1120050019)</f>
        <v>已过期</v>
      </c>
      <c r="C6" s="3035">
        <v>44395</v>
      </c>
      <c r="D6" s="3046" t="str">
        <f t="shared" ca="1" si="0"/>
        <v>王鹏（注册号：已过期）</v>
      </c>
      <c r="E6" s="3048" t="s">
        <v>755</v>
      </c>
      <c r="F6" s="1269">
        <f ca="1">IF(G6&lt;B2,"已过期",2002110030)</f>
        <v>2002110030</v>
      </c>
      <c r="G6" s="3036">
        <v>46387</v>
      </c>
      <c r="H6" s="3037" t="str">
        <f t="shared" ca="1" si="1"/>
        <v>王鹏（注册号：2002110030）</v>
      </c>
    </row>
    <row r="7" spans="1:8" ht="24" customHeight="1">
      <c r="A7" s="1269" t="s">
        <v>756</v>
      </c>
      <c r="B7" s="1269">
        <f ca="1">IF(C7&lt;B2,"已过期",1120000080)</f>
        <v>1120000080</v>
      </c>
      <c r="C7" s="3035">
        <v>44876</v>
      </c>
      <c r="D7" s="3046" t="str">
        <f t="shared" ca="1" si="0"/>
        <v>欧红伟（注册号：1120000080）</v>
      </c>
      <c r="E7" s="3048" t="s">
        <v>756</v>
      </c>
      <c r="F7" s="1269">
        <f ca="1">IF(G7&lt;B2,"已过期",2000110082)</f>
        <v>2000110082</v>
      </c>
      <c r="G7" s="3036">
        <v>46387</v>
      </c>
      <c r="H7" s="3037" t="str">
        <f t="shared" ca="1" si="1"/>
        <v>欧红伟（注册号：2000110082）</v>
      </c>
    </row>
    <row r="8" spans="1:8" ht="24" customHeight="1">
      <c r="A8" s="1269" t="s">
        <v>757</v>
      </c>
      <c r="B8" s="1269">
        <f ca="1">IF(C8&lt;B2,"已过期",1419970001)</f>
        <v>1419970001</v>
      </c>
      <c r="C8" s="3035">
        <v>44899</v>
      </c>
      <c r="D8" s="3046" t="str">
        <f t="shared" ca="1" si="0"/>
        <v>吴薇（注册号：1419970001）</v>
      </c>
      <c r="E8" s="3048" t="s">
        <v>757</v>
      </c>
      <c r="F8" s="1269">
        <f ca="1">IF(G8&lt;B2,"已过期",2002110125)</f>
        <v>2002110125</v>
      </c>
      <c r="G8" s="3036">
        <v>47118</v>
      </c>
      <c r="H8" s="3037" t="str">
        <f t="shared" ca="1" si="1"/>
        <v>吴薇（注册号：2002110125）</v>
      </c>
    </row>
    <row r="9" spans="1:8" ht="24" customHeight="1">
      <c r="A9" s="1269" t="s">
        <v>758</v>
      </c>
      <c r="B9" s="1269" t="str">
        <f ca="1">IF(C9&lt;B2,"已过期",1120060040)</f>
        <v>已过期</v>
      </c>
      <c r="C9" s="3038">
        <v>44554</v>
      </c>
      <c r="D9" s="3046" t="str">
        <f t="shared" ca="1" si="0"/>
        <v>陈颖（注册号：已过期）</v>
      </c>
      <c r="E9" s="3048" t="s">
        <v>758</v>
      </c>
      <c r="F9" s="1269">
        <f ca="1">IF(G9&lt;B2,"已过期",2004110096)</f>
        <v>2004110096</v>
      </c>
      <c r="G9" s="3036">
        <v>47118</v>
      </c>
      <c r="H9" s="3037" t="str">
        <f t="shared" ca="1" si="1"/>
        <v>陈颖（注册号：2004110096）</v>
      </c>
    </row>
    <row r="10" spans="1:8" ht="24" customHeight="1">
      <c r="A10" s="1269" t="s">
        <v>759</v>
      </c>
      <c r="B10" s="1269">
        <f ca="1">IF(C10&lt;B2,"已过期",1120100036)</f>
        <v>1120100036</v>
      </c>
      <c r="C10" s="3038">
        <v>44675</v>
      </c>
      <c r="D10" s="3046" t="str">
        <f t="shared" ca="1" si="0"/>
        <v>崔锴（注册号：1120100036）</v>
      </c>
      <c r="E10" s="3048" t="s">
        <v>759</v>
      </c>
      <c r="F10" s="1269">
        <f ca="1">IF(G10&lt;B2,"已过期",2010110070)</f>
        <v>2010110070</v>
      </c>
      <c r="G10" s="3036">
        <v>47907</v>
      </c>
      <c r="H10" s="3037" t="str">
        <f t="shared" ca="1" si="1"/>
        <v>崔锴（注册号：2010110070）</v>
      </c>
    </row>
    <row r="11" spans="1:8" ht="24" customHeight="1">
      <c r="A11" s="1269" t="s">
        <v>760</v>
      </c>
      <c r="B11" s="1269">
        <f ca="1">IF(C11&lt;B2,"已过期",1120070131)</f>
        <v>1120070131</v>
      </c>
      <c r="C11" s="3035">
        <v>44849</v>
      </c>
      <c r="D11" s="3046" t="str">
        <f t="shared" ca="1" si="0"/>
        <v>郑燚（注册号：1120070131）</v>
      </c>
      <c r="E11" s="3048" t="s">
        <v>760</v>
      </c>
      <c r="F11" s="1269">
        <f ca="1">IF(G11&lt;B2,"已过期",2014110011)</f>
        <v>2014110011</v>
      </c>
      <c r="G11" s="3036">
        <v>49302</v>
      </c>
      <c r="H11" s="3037" t="str">
        <f t="shared" ca="1" si="1"/>
        <v>郑燚（注册号：2014110011）</v>
      </c>
    </row>
    <row r="12" spans="1:8" ht="24" customHeight="1">
      <c r="A12" s="1269" t="s">
        <v>2655</v>
      </c>
      <c r="B12" s="1269">
        <f ca="1">IF(C12&lt;B2,"已过期",1120040230)</f>
        <v>1120040230</v>
      </c>
      <c r="C12" s="3038">
        <v>44864</v>
      </c>
      <c r="D12" s="3046" t="str">
        <f t="shared" ca="1" si="0"/>
        <v>苏海（注册号：1120040230）</v>
      </c>
      <c r="E12" s="3048" t="s">
        <v>2655</v>
      </c>
      <c r="F12" s="1269">
        <f ca="1">IF(G12&lt;B2,"已过期",98030020)</f>
        <v>98030020</v>
      </c>
      <c r="G12" s="3036">
        <v>47118</v>
      </c>
      <c r="H12" s="3037" t="str">
        <f t="shared" ca="1" si="1"/>
        <v>苏海（注册号：98030020）</v>
      </c>
    </row>
    <row r="13" spans="1:8" ht="24" customHeight="1">
      <c r="A13" s="1269" t="s">
        <v>761</v>
      </c>
      <c r="B13" s="1269" t="str">
        <f ca="1">IF(C13&lt;B2,"已过期",1120020033)</f>
        <v>已过期</v>
      </c>
      <c r="C13" s="3035">
        <v>44339</v>
      </c>
      <c r="D13" s="3046" t="str">
        <f t="shared" ca="1" si="0"/>
        <v>刘敬东（注册号：已过期）</v>
      </c>
      <c r="E13" s="3048" t="s">
        <v>761</v>
      </c>
      <c r="F13" s="1269">
        <f ca="1">IF(G13&lt;B2,"已过期",2000110137)</f>
        <v>2000110137</v>
      </c>
      <c r="G13" s="3036">
        <v>46387</v>
      </c>
      <c r="H13" s="3037" t="str">
        <f t="shared" ca="1" si="1"/>
        <v>刘敬东（注册号：2000110137）</v>
      </c>
    </row>
    <row r="14" spans="1:8" ht="24" customHeight="1">
      <c r="A14" s="1269" t="s">
        <v>2672</v>
      </c>
      <c r="B14" s="1269">
        <f ca="1">IF(C14&lt;B2,"已过期",1119980106)</f>
        <v>1119980106</v>
      </c>
      <c r="C14" s="3038">
        <v>44969</v>
      </c>
      <c r="D14" s="3046" t="str">
        <f t="shared" ca="1" si="0"/>
        <v>刘俊财（注册号：1119980106）</v>
      </c>
      <c r="E14" s="3048" t="s">
        <v>2772</v>
      </c>
      <c r="F14" s="1269">
        <f ca="1">IF(G14&lt;B2,"已过期",96010063)</f>
        <v>96010063</v>
      </c>
      <c r="G14" s="3036">
        <v>47483</v>
      </c>
      <c r="H14" s="3037" t="str">
        <f t="shared" ca="1" si="1"/>
        <v>刘俊财（注册号：96010063）</v>
      </c>
    </row>
    <row r="15" spans="1:8" ht="24" customHeight="1">
      <c r="A15" s="1269"/>
      <c r="B15" s="1269"/>
      <c r="C15" s="3038"/>
      <c r="D15" s="3046" t="str">
        <f t="shared" ref="D15" si="2">A15&amp;"（注册号："&amp;B15&amp;"）"</f>
        <v>（注册号：）</v>
      </c>
      <c r="E15" s="3048" t="s">
        <v>2776</v>
      </c>
      <c r="F15" s="1269">
        <f ca="1">IF(G15&lt;B2,"已过期",2011110090)</f>
        <v>2011110090</v>
      </c>
      <c r="G15" s="3036">
        <v>48302</v>
      </c>
      <c r="H15" s="3037" t="str">
        <f t="shared" ref="H15" ca="1" si="3">E15&amp;"（注册号："&amp;F15&amp;"）"</f>
        <v>赵雯（注册号：2011110090）</v>
      </c>
    </row>
    <row r="16" spans="1:8" s="3026" customFormat="1" ht="24" customHeight="1">
      <c r="A16" s="1269"/>
      <c r="B16" s="1269"/>
      <c r="C16" s="1269"/>
      <c r="D16" s="3046" t="str">
        <f>A16&amp;"（注册号："&amp;B16&amp;"）"</f>
        <v>（注册号：）</v>
      </c>
      <c r="E16" s="3048"/>
      <c r="F16" s="1269"/>
      <c r="G16" s="1269"/>
      <c r="H16" s="3039" t="str">
        <f t="shared" si="1"/>
        <v>（注册号：）</v>
      </c>
    </row>
    <row r="17" spans="1:8" ht="24" customHeight="1">
      <c r="A17" s="3389" t="s">
        <v>762</v>
      </c>
      <c r="B17" s="3389"/>
      <c r="C17" s="3389"/>
      <c r="D17" s="3389"/>
      <c r="E17" s="3389"/>
      <c r="F17" s="3389"/>
      <c r="G17" s="3389"/>
      <c r="H17" s="3389"/>
    </row>
    <row r="18" spans="1:8" ht="24" customHeight="1">
      <c r="A18" s="3390" t="s">
        <v>763</v>
      </c>
      <c r="B18" s="3390"/>
      <c r="C18" s="3390"/>
      <c r="D18" s="3034"/>
      <c r="E18" s="3391" t="s">
        <v>764</v>
      </c>
      <c r="F18" s="3390"/>
      <c r="G18" s="3390"/>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2773</v>
      </c>
      <c r="B20" s="3041" t="s">
        <v>2774</v>
      </c>
      <c r="C20" s="3036">
        <v>44820</v>
      </c>
      <c r="D20" s="3049"/>
      <c r="E20" s="3051" t="s">
        <v>768</v>
      </c>
      <c r="F20" s="3041" t="s">
        <v>769</v>
      </c>
      <c r="G20" s="3042">
        <v>44377</v>
      </c>
    </row>
    <row r="21" spans="1:8" s="3024" customFormat="1" ht="24" customHeight="1">
      <c r="A21" s="3041"/>
      <c r="B21" s="3041"/>
      <c r="C21" s="3043"/>
      <c r="D21" s="3050"/>
      <c r="E21" s="3051" t="s">
        <v>770</v>
      </c>
      <c r="F21" s="3044" t="s">
        <v>2671</v>
      </c>
      <c r="G21" s="3045">
        <v>44012</v>
      </c>
    </row>
    <row r="22" spans="1:8" ht="24" customHeight="1">
      <c r="C22" s="3027"/>
      <c r="D22" s="3027"/>
      <c r="E22" s="3052"/>
      <c r="F22" s="3053"/>
      <c r="G22" s="3054"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2974</v>
      </c>
      <c r="C20" s="1388"/>
    </row>
    <row r="21" spans="1:3">
      <c r="A21" s="1387" t="s">
        <v>1448</v>
      </c>
      <c r="B21" s="1387" t="s">
        <v>3014</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1" t="s">
        <v>1456</v>
      </c>
      <c r="B52" s="1391" t="s">
        <v>1457</v>
      </c>
      <c r="C52" s="9" t="s">
        <v>1458</v>
      </c>
      <c r="D52" s="9" t="s">
        <v>1459</v>
      </c>
    </row>
    <row r="53" spans="1:4" ht="14.25" customHeight="1">
      <c r="A53" s="339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92"/>
      <c r="B54" s="9" t="s">
        <v>1462</v>
      </c>
      <c r="C54" s="9" t="s">
        <v>1463</v>
      </c>
    </row>
    <row r="55" spans="1:4">
      <c r="A55" s="3392"/>
      <c r="B55" s="9" t="s">
        <v>1464</v>
      </c>
      <c r="C55" s="9" t="s">
        <v>1465</v>
      </c>
    </row>
    <row r="56" spans="1:4">
      <c r="A56" s="3392"/>
      <c r="B56" s="9" t="s">
        <v>1466</v>
      </c>
      <c r="C56" s="9" t="s">
        <v>1467</v>
      </c>
    </row>
    <row r="57" spans="1:4">
      <c r="A57" s="3392"/>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收益法</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2021-12-27T07:25:10Z</dcterms:modified>
</cp:coreProperties>
</file>