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首开\熙悦天街\"/>
    </mc:Choice>
  </mc:AlternateContent>
  <xr:revisionPtr revIDLastSave="0" documentId="13_ncr:1_{88CB4ED3-49D9-43AF-9885-630535EE0100}" xr6:coauthVersionLast="45" xr6:coauthVersionMax="45" xr10:uidLastSave="{00000000-0000-0000-0000-000000000000}"/>
  <bookViews>
    <workbookView xWindow="-120" yWindow="-120" windowWidth="20730" windowHeight="11160" tabRatio="899" firstSheet="14"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典型户型修正" sheetId="31" state="hidden" r:id="rId17"/>
    <sheet name="分套面积表" sheetId="100" r:id="rId18"/>
    <sheet name="Sheet1" sheetId="94" state="hidden" r:id="rId19"/>
    <sheet name="Sheet4" sheetId="95" state="hidden" r:id="rId20"/>
    <sheet name="结果" sheetId="97" r:id="rId21"/>
    <sheet name="结果汇总" sheetId="84" state="hidden" r:id="rId22"/>
    <sheet name="结果表1层商业" sheetId="9" state="hidden" r:id="rId23"/>
    <sheet name="租金比较法-商业" sheetId="33" r:id="rId24"/>
    <sheet name="商业租金案例" sheetId="89" r:id="rId25"/>
    <sheet name="收益法倒推租金" sheetId="87" r:id="rId26"/>
    <sheet name="比较法-商业售价" sheetId="88" r:id="rId27"/>
    <sheet name="房山区商业平均售价" sheetId="99" r:id="rId28"/>
    <sheet name="在售" sheetId="92" r:id="rId29"/>
    <sheet name="商住售价" sheetId="98" r:id="rId30"/>
    <sheet name="商业出售案例" sheetId="90" state="hidden" r:id="rId31"/>
    <sheet name="成本法-商业" sheetId="85" state="hidden" r:id="rId32"/>
    <sheet name="基准地价修正" sheetId="43" state="hidden" r:id="rId33"/>
    <sheet name="比较法-车位" sheetId="35" state="hidden" r:id="rId34"/>
    <sheet name="收益法-车位" sheetId="15" state="hidden" r:id="rId35"/>
    <sheet name="比较法-仓储" sheetId="36" state="hidden" r:id="rId36"/>
    <sheet name="收益法-仓储" sheetId="78" state="hidden" r:id="rId37"/>
    <sheet name="仓储租金案例" sheetId="83" state="hidden" r:id="rId38"/>
    <sheet name="成本法-仓储" sheetId="68" state="hidden" r:id="rId39"/>
    <sheet name="成本法 (元)" sheetId="69" state="hidden" r:id="rId40"/>
    <sheet name="假设开发法" sheetId="12" state="hidden" r:id="rId41"/>
    <sheet name="收益法 (元)" sheetId="67" state="hidden" r:id="rId42"/>
    <sheet name="收益法-酒店模型" sheetId="77" state="hidden" r:id="rId43"/>
    <sheet name="收益法（汇总）" sheetId="70" state="hidden" r:id="rId44"/>
    <sheet name="比较法-住宅" sheetId="21" state="hidden" r:id="rId45"/>
    <sheet name="比较法-办公" sheetId="34" state="hidden" r:id="rId46"/>
    <sheet name="比较法-工业" sheetId="37" state="hidden" r:id="rId47"/>
    <sheet name="土地比较法-住宅、综合" sheetId="39"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系统读取表" sheetId="74" r:id="rId58"/>
    <sheet name="区片价（范围）" sheetId="75" state="hidden" r:id="rId59"/>
  </sheets>
  <externalReferences>
    <externalReference r:id="rId60"/>
    <externalReference r:id="rId61"/>
  </externalReferences>
  <definedNames>
    <definedName name="_xlnm._FilterDatabase" localSheetId="45" hidden="1">'比较法-办公'!$A$1:$L$50</definedName>
    <definedName name="_xlnm._FilterDatabase" localSheetId="35" hidden="1">'比较法-仓储'!$A$1:$L$37</definedName>
    <definedName name="_xlnm._FilterDatabase" localSheetId="33" hidden="1">'比较法-车位'!$A$1:$L$39</definedName>
    <definedName name="_xlnm._FilterDatabase" localSheetId="46" hidden="1">'比较法-工业'!$A$1:$L$43</definedName>
    <definedName name="_xlnm._FilterDatabase" localSheetId="26" hidden="1">'比较法-商业售价'!$A$1:$L$49</definedName>
    <definedName name="_xlnm._FilterDatabase" localSheetId="44" hidden="1">'比较法-住宅'!$A$1:$L$49</definedName>
    <definedName name="_xlnm._FilterDatabase" localSheetId="11"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0" hidden="1">项目基本情况!$A$42:$N$42</definedName>
    <definedName name="_xlnm._FilterDatabase" localSheetId="23" hidden="1">'租金比较法-商业'!$A$1:$L$49</definedName>
    <definedName name="_xlnm.Print_Area" localSheetId="45">'比较法-办公'!$A$1:$K$55,'比较法-办公'!$A$58:$M$132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46">'比较法-工业'!$A$1:$K$48,'比较法-工业'!$A$51:$M$113</definedName>
    <definedName name="_xlnm.Print_Area" localSheetId="26">'比较法-商业售价'!$A$1:$K$54</definedName>
    <definedName name="_xlnm.Print_Area" localSheetId="44">'比较法-住宅'!$A$1:$K$54,'比较法-住宅'!$A$57:$M$131</definedName>
    <definedName name="_xlnm.Print_Area" localSheetId="39">'成本法 (元)'!$A$1:$G$57</definedName>
    <definedName name="_xlnm.Print_Area" localSheetId="38">'成本法-仓储'!$A$1:$G$57</definedName>
    <definedName name="_xlnm.Print_Area" localSheetId="31">'成本法-商业'!$A$1:$G$57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32">基准地价修正!$A$1:$J$41,基准地价修正!$A$45:$H$88,基准地价修正!$R$1:$V$16</definedName>
    <definedName name="_xlnm.Print_Area" localSheetId="40">假设开发法!$A$1:$K$32</definedName>
    <definedName name="_xlnm.Print_Area" localSheetId="22">结果表1层商业!$A$1:$I$127</definedName>
    <definedName name="_xlnm.Print_Area" localSheetId="41">'收益法 (元)'!$A$1:$F$43,'收益法 (元)'!$H$3:$M$29,'收益法 (元)'!$A$45:$F$71,'收益法 (元)'!$I$46:$N$65</definedName>
    <definedName name="_xlnm.Print_Area" localSheetId="43">'收益法（汇总）'!$A$1:$F$13</definedName>
    <definedName name="_xlnm.Print_Area" localSheetId="36">'收益法-仓储'!$A$1:$F$43,'收益法-仓储'!$H$3:$M$29,'收益法-仓储'!$A$46:$F$71,'收益法-仓储'!$I$46:$N$65</definedName>
    <definedName name="_xlnm.Print_Area" localSheetId="34">'收益法-车位'!$A$1:$F$43,'收益法-车位'!$H$3:$M$29,'收益法-车位'!$A$46:$F$71,'收益法-车位'!$I$46:$N$65</definedName>
    <definedName name="_xlnm.Print_Area" localSheetId="25">收益法倒推租金!$A$1:$I$53</definedName>
    <definedName name="_xlnm.Print_Area" localSheetId="13">'数据-汇总表'!$A$1:$P$32</definedName>
    <definedName name="_xlnm.Print_Area" localSheetId="48">'土地比较法-工业'!$A$1:$K$61,'土地比较法-工业'!$A$64:$M$121</definedName>
    <definedName name="_xlnm.Print_Area" localSheetId="47">'土地比较法-住宅、综合'!$A$1:$K$66,'土地比较法-住宅、综合'!$A$69:$M$132</definedName>
    <definedName name="_xlnm.Print_Area" localSheetId="57">系统读取表!$A$1:$J$26</definedName>
    <definedName name="_xlnm.Print_Area" localSheetId="10">项目基本情况!$A$1:$I$38</definedName>
    <definedName name="_xlnm.Print_Area" localSheetId="23">'租金比较法-商业'!$A$1:$K$54,'租金比较法-商业'!$A$57:$M$131</definedName>
    <definedName name="八级">区片价!$O$1:$O$40</definedName>
    <definedName name="办公层高" localSheetId="25">'[1]比较法-办公'!$B$119:$M$119</definedName>
    <definedName name="办公层高">'比较法-办公'!$B$119:$M$119</definedName>
    <definedName name="办公朝向" localSheetId="25">'[1]比较法-办公'!$B$91:$M$91</definedName>
    <definedName name="办公朝向">'比较法-办公'!$B$91:$M$91</definedName>
    <definedName name="办公道路级别" localSheetId="25">'[1]比较法-办公'!$B$87:$M$87</definedName>
    <definedName name="办公道路级别">'比较法-办公'!$B$87:$M$87</definedName>
    <definedName name="办公公共部分装修" localSheetId="25">'[1]比较法-办公'!$B$108:$M$108</definedName>
    <definedName name="办公公共部分装修">'比较法-办公'!$B$108:$M$108</definedName>
    <definedName name="办公基础设施水平" localSheetId="25">'[1]比较法-办公'!$B$117:$M$117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'[1]比较法-办公'!$B$106:$M$106</definedName>
    <definedName name="办公建筑结构">'比较法-办公'!$B$106:$M$106</definedName>
    <definedName name="办公建筑类型" localSheetId="25">'[1]比较法-办公'!$B$101:$M$101</definedName>
    <definedName name="办公建筑类型">'比较法-办公'!$B$101:$M$101</definedName>
    <definedName name="办公交易情况" localSheetId="25">'[1]比较法-办公'!$A$62:$M$62</definedName>
    <definedName name="办公交易情况">'比较法-办公'!$A$62:$M$62</definedName>
    <definedName name="办公楼层" localSheetId="25">'[1]比较法-办公'!$B$89:$M$89</definedName>
    <definedName name="办公楼层">'比较法-办公'!$B$89:$M$89</definedName>
    <definedName name="办公内部装修" localSheetId="25">'[1]比较法-办公'!$B$123:$M$123</definedName>
    <definedName name="办公内部装修">'比较法-办公'!$B$123:$M$123</definedName>
    <definedName name="办公物业管理" localSheetId="25">'[1]比较法-办公'!$B$115:$M$115</definedName>
    <definedName name="办公物业管理">'比较法-办公'!$B$115:$M$115</definedName>
    <definedName name="办公用途" localSheetId="25">'[1]比较法-办公'!$B$64:$M$64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 localSheetId="42">[2]定义!$D$1:$D$4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6">'比较法-商业售价'!$B$116:$M$116</definedName>
    <definedName name="商业层高" localSheetId="25">'[1]比较法-商业'!$B$116:$M$116</definedName>
    <definedName name="商业层高">'租金比较法-商业'!$B$116:$M$116</definedName>
    <definedName name="商业成新度" localSheetId="26">'比较法-商业售价'!$B$109:$M$109</definedName>
    <definedName name="商业成新度">'租金比较法-商业'!$B$109:$M$109</definedName>
    <definedName name="商业繁华度" localSheetId="25">[1]定义!$L$1:$L$6</definedName>
    <definedName name="商业繁华度">定义!$L$1:$L$6</definedName>
    <definedName name="商业公共部分装修" localSheetId="26">'比较法-商业售价'!$B$107:$M$107</definedName>
    <definedName name="商业公共部分装修" localSheetId="25">'[1]比较法-商业'!$B$107:$M$107</definedName>
    <definedName name="商业公共部分装修">'租金比较法-商业'!$B$107:$M$107</definedName>
    <definedName name="商业基础设施水平" localSheetId="26">'比较法-商业售价'!$B$112:$M$112</definedName>
    <definedName name="商业基础设施水平" localSheetId="25">'[1]比较法-商业'!$B$112:$M$112</definedName>
    <definedName name="商业基础设施水平">'租金比较法-商业'!$B$112:$M$112</definedName>
    <definedName name="商业建筑结构" localSheetId="26">'比较法-商业售价'!$B$105:$M$105</definedName>
    <definedName name="商业建筑结构" localSheetId="25">'[1]比较法-商业'!$B$105:$M$105</definedName>
    <definedName name="商业建筑结构">'租金比较法-商业'!$B$105:$M$105</definedName>
    <definedName name="商业交易情况" localSheetId="26">'比较法-商业售价'!$A$61:$M$61</definedName>
    <definedName name="商业交易情况" localSheetId="25">'[1]比较法-商业'!$A$61:$M$61</definedName>
    <definedName name="商业交易情况">'租金比较法-商业'!$A$61:$M$61</definedName>
    <definedName name="商业街名称" localSheetId="25">[1]修正!$C$59:$C$119</definedName>
    <definedName name="商业街名称">修正!$C$59:$C$119</definedName>
    <definedName name="商业进深比" localSheetId="26">'比较法-商业售价'!$B$120:$M$120</definedName>
    <definedName name="商业进深比" localSheetId="25">'[1]比较法-商业'!$B$120:$M$120</definedName>
    <definedName name="商业进深比">'租金比较法-商业'!$B$120:$M$120</definedName>
    <definedName name="商业类型" localSheetId="26">'比较法-商业售价'!$B$100:$M$100</definedName>
    <definedName name="商业类型" localSheetId="25">'[1]比较法-商业'!$B$100:$M$100</definedName>
    <definedName name="商业类型">'租金比较法-商业'!$B$100:$M$100</definedName>
    <definedName name="商业临街状况" localSheetId="26">'比较法-商业售价'!$B$86:$M$86</definedName>
    <definedName name="商业临街状况" localSheetId="25">'[1]比较法-商业'!$B$86:$M$86</definedName>
    <definedName name="商业临街状况">'租金比较法-商业'!$B$86:$M$86</definedName>
    <definedName name="商业楼层" localSheetId="26">'比较法-商业售价'!$B$92:$M$92</definedName>
    <definedName name="商业楼层" localSheetId="25">'[1]比较法-商业'!$B$92:$M$92</definedName>
    <definedName name="商业楼层">'租金比较法-商业'!$B$92:$M$92</definedName>
    <definedName name="商业内部装修" localSheetId="26">'比较法-商业售价'!$B$122:$M$122</definedName>
    <definedName name="商业内部装修" localSheetId="25">'[1]比较法-商业'!$B$122:$M$122</definedName>
    <definedName name="商业内部装修">'租金比较法-商业'!$B$122:$M$122</definedName>
    <definedName name="商业人流量" localSheetId="26">'比较法-商业售价'!$B$90:$M$90</definedName>
    <definedName name="商业人流量" localSheetId="25">'[1]比较法-商业'!$B$90:$M$90</definedName>
    <definedName name="商业人流量">'租金比较法-商业'!$B$90:$M$90</definedName>
    <definedName name="商业业态" localSheetId="26">'比较法-商业售价'!$B$114:$M$114</definedName>
    <definedName name="商业业态" localSheetId="25">'[1]比较法-商业'!$B$114:$M$114</definedName>
    <definedName name="商业业态">'租金比较法-商业'!$B$114:$M$114</definedName>
    <definedName name="商业用途" localSheetId="26">'比较法-商业售价'!$B$63:$M$63</definedName>
    <definedName name="商业用途" localSheetId="25">'[1]比较法-商业'!$B$63:$M$63</definedName>
    <definedName name="商业用途">'租金比较法-商业'!$B$63:$M$63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'[1]土地比较法-住宅、综合'!$A$73:$M$73</definedName>
    <definedName name="套工交易情况">'土地比较法-住宅、综合'!$A$73:$M$73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'[1]土地比较法-住宅、综合'!$B$106:$M$106</definedName>
    <definedName name="套综道路等级">'土地比较法-住宅、综合'!$B$106:$M$106</definedName>
    <definedName name="套综工程地质条件" localSheetId="25">'[1]土地比较法-住宅、综合'!$B$125:$M$125</definedName>
    <definedName name="套综工程地质条件">'土地比较法-住宅、综合'!$B$125:$M$125</definedName>
    <definedName name="套综交易情况" localSheetId="25">'[1]土地比较法-住宅、综合'!$A$73:$M$73</definedName>
    <definedName name="套综交易情况">'土地比较法-住宅、综合'!$A$73:$M$73</definedName>
    <definedName name="套综临街宽度及深度" localSheetId="25">'[1]土地比较法-住宅、综合'!$B$121:$M$121</definedName>
    <definedName name="套综临街宽度及深度">'土地比较法-住宅、综合'!$B$121:$M$121</definedName>
    <definedName name="套综土地级别" localSheetId="25">'[1]土地比较法-住宅、综合'!$B$108:$M$108</definedName>
    <definedName name="套综土地级别">'土地比较法-住宅、综合'!$B$108:$M$108</definedName>
    <definedName name="套综用途" localSheetId="25">'[1]土地比较法-住宅、综合'!$B$75:$M$75</definedName>
    <definedName name="套综用途">'土地比较法-住宅、综合'!$B$75:$M$75</definedName>
    <definedName name="套综宗地内开发程度" localSheetId="25">'[1]土地比较法-住宅、综合'!$B$123:$M$123</definedName>
    <definedName name="套综宗地内开发程度">'土地比较法-住宅、综合'!$B$123:$M$123</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 localSheetId="42">'[2]数据-汇总表'!$C$17:$C$26</definedName>
    <definedName name="项目类型">'数据-汇总表'!$C$17:$C$26</definedName>
    <definedName name="写字楼等级" localSheetId="25">'[1]比较法-办公'!$B$113:$M$113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0" i="74" l="1"/>
  <c r="D14" i="74"/>
  <c r="B14" i="74"/>
  <c r="T8" i="97"/>
  <c r="U4" i="97"/>
  <c r="U5" i="97"/>
  <c r="U6" i="97"/>
  <c r="U7" i="97"/>
  <c r="U8" i="97"/>
  <c r="F152" i="100"/>
  <c r="E152" i="100"/>
  <c r="F151" i="100"/>
  <c r="E151" i="100"/>
  <c r="F150" i="100"/>
  <c r="E150" i="100"/>
  <c r="F141" i="100"/>
  <c r="F112" i="100"/>
  <c r="E112" i="100"/>
  <c r="F111" i="100"/>
  <c r="E111" i="100"/>
  <c r="F103" i="100"/>
  <c r="F96" i="100"/>
  <c r="E96" i="100"/>
  <c r="F95" i="100"/>
  <c r="E95" i="100"/>
  <c r="F66" i="100"/>
  <c r="E66" i="100"/>
  <c r="E141" i="100"/>
  <c r="E103" i="100"/>
  <c r="F85" i="100"/>
  <c r="E85" i="100"/>
  <c r="F47" i="100"/>
  <c r="E47" i="100"/>
  <c r="F39" i="100"/>
  <c r="E39" i="100"/>
  <c r="F20" i="100"/>
  <c r="E20" i="100"/>
  <c r="C33" i="33"/>
  <c r="Q8" i="97" l="1"/>
  <c r="P8" i="97"/>
  <c r="Q7" i="97"/>
  <c r="P7" i="97"/>
  <c r="Q6" i="97"/>
  <c r="Q5" i="97"/>
  <c r="P6" i="97"/>
  <c r="P5" i="97"/>
  <c r="Q4" i="97"/>
  <c r="P4" i="97"/>
  <c r="Q3" i="97"/>
  <c r="P3" i="97"/>
  <c r="L72" i="97"/>
  <c r="K72" i="97"/>
  <c r="L71" i="97"/>
  <c r="K71" i="97"/>
  <c r="L70" i="97"/>
  <c r="K70" i="97"/>
  <c r="L69" i="97"/>
  <c r="K69" i="97"/>
  <c r="L68" i="97"/>
  <c r="K68" i="97"/>
  <c r="L67" i="97"/>
  <c r="L66" i="97"/>
  <c r="L65" i="97"/>
  <c r="L64" i="97"/>
  <c r="L63" i="97"/>
  <c r="L62" i="97"/>
  <c r="L61" i="97"/>
  <c r="L60" i="97"/>
  <c r="L59" i="97"/>
  <c r="L58" i="97"/>
  <c r="K67" i="97"/>
  <c r="K66" i="97"/>
  <c r="K65" i="97"/>
  <c r="K64" i="97"/>
  <c r="K63" i="97"/>
  <c r="K62" i="97"/>
  <c r="K61" i="97"/>
  <c r="K60" i="97"/>
  <c r="K59" i="97"/>
  <c r="K58" i="97"/>
  <c r="L57" i="97"/>
  <c r="K57" i="97"/>
  <c r="L56" i="97"/>
  <c r="K56" i="97"/>
  <c r="L55" i="97"/>
  <c r="K55" i="97"/>
  <c r="L54" i="97"/>
  <c r="K54" i="97"/>
  <c r="L48" i="97"/>
  <c r="K48" i="97"/>
  <c r="L53" i="97"/>
  <c r="K53" i="97"/>
  <c r="L52" i="97"/>
  <c r="K52" i="97"/>
  <c r="L51" i="97"/>
  <c r="K51" i="97"/>
  <c r="L50" i="97"/>
  <c r="K50" i="97"/>
  <c r="L49" i="97"/>
  <c r="K49" i="97"/>
  <c r="K46" i="97"/>
  <c r="L47" i="97"/>
  <c r="L46" i="97"/>
  <c r="K47" i="97"/>
  <c r="L45" i="97"/>
  <c r="K45" i="97"/>
  <c r="L44" i="97"/>
  <c r="L43" i="97"/>
  <c r="L42" i="97"/>
  <c r="K44" i="97"/>
  <c r="K43" i="97"/>
  <c r="K42" i="97"/>
  <c r="L41" i="97"/>
  <c r="K41" i="97"/>
  <c r="L40" i="97"/>
  <c r="K40" i="97"/>
  <c r="L39" i="97"/>
  <c r="K39" i="97"/>
  <c r="L38" i="97"/>
  <c r="K38" i="97"/>
  <c r="L37" i="97"/>
  <c r="K37" i="97"/>
  <c r="L36" i="97"/>
  <c r="K36" i="97"/>
  <c r="L35" i="97"/>
  <c r="K35" i="97"/>
  <c r="L34" i="97"/>
  <c r="L33" i="97"/>
  <c r="L32" i="97"/>
  <c r="K34" i="97"/>
  <c r="K33" i="97"/>
  <c r="K32" i="97"/>
  <c r="L31" i="97"/>
  <c r="K31" i="97"/>
  <c r="L30" i="97"/>
  <c r="K30" i="97"/>
  <c r="L29" i="97"/>
  <c r="K29" i="97"/>
  <c r="L28" i="97"/>
  <c r="K28" i="97"/>
  <c r="L27" i="97"/>
  <c r="K27" i="97"/>
  <c r="L26" i="97"/>
  <c r="K26" i="97"/>
  <c r="L25" i="97"/>
  <c r="K25" i="97"/>
  <c r="L24" i="97"/>
  <c r="K24" i="97"/>
  <c r="L23" i="97"/>
  <c r="K23" i="97"/>
  <c r="L22" i="97"/>
  <c r="K22" i="97"/>
  <c r="L21" i="97"/>
  <c r="K21" i="97"/>
  <c r="L20" i="97"/>
  <c r="K20" i="97"/>
  <c r="L19" i="97"/>
  <c r="K19" i="97"/>
  <c r="L18" i="97"/>
  <c r="K18" i="97"/>
  <c r="L17" i="97"/>
  <c r="K17" i="97"/>
  <c r="L16" i="97"/>
  <c r="K16" i="97"/>
  <c r="L15" i="97"/>
  <c r="K15" i="97"/>
  <c r="L14" i="97"/>
  <c r="K14" i="97"/>
  <c r="L13" i="97"/>
  <c r="K13" i="97"/>
  <c r="L12" i="97"/>
  <c r="L11" i="97"/>
  <c r="L10" i="97"/>
  <c r="L9" i="97"/>
  <c r="L8" i="97"/>
  <c r="L7" i="97"/>
  <c r="L6" i="97"/>
  <c r="L5" i="97"/>
  <c r="L4" i="97"/>
  <c r="L3" i="97"/>
  <c r="K12" i="97"/>
  <c r="K11" i="97"/>
  <c r="K10" i="97"/>
  <c r="K9" i="97"/>
  <c r="K8" i="97"/>
  <c r="K7" i="97"/>
  <c r="K6" i="97"/>
  <c r="K5" i="97"/>
  <c r="K4" i="97"/>
  <c r="K3" i="97"/>
  <c r="E67" i="97"/>
  <c r="D67" i="97"/>
  <c r="D149" i="97" l="1"/>
  <c r="D140" i="97"/>
  <c r="D111" i="97"/>
  <c r="D103" i="97"/>
  <c r="E96" i="97"/>
  <c r="D96" i="97"/>
  <c r="E86" i="97"/>
  <c r="D86" i="97"/>
  <c r="E48" i="97"/>
  <c r="D48" i="97"/>
  <c r="E40" i="97"/>
  <c r="D40" i="97"/>
  <c r="E21" i="97"/>
  <c r="D21" i="97"/>
  <c r="C5" i="88"/>
  <c r="I5" i="87"/>
  <c r="D14" i="95"/>
  <c r="I13" i="3"/>
  <c r="F19" i="6" s="1"/>
  <c r="I3" i="87" l="1"/>
  <c r="C33" i="88" s="1"/>
  <c r="F33" i="88" s="1"/>
  <c r="K141" i="94"/>
  <c r="K142" i="94"/>
  <c r="K143" i="94"/>
  <c r="K144" i="94"/>
  <c r="K145" i="94"/>
  <c r="K146" i="94"/>
  <c r="K147" i="94"/>
  <c r="K148" i="94"/>
  <c r="D149" i="94"/>
  <c r="K112" i="94"/>
  <c r="K113" i="94"/>
  <c r="K114" i="94"/>
  <c r="K115" i="94"/>
  <c r="K116" i="94"/>
  <c r="K117" i="94"/>
  <c r="K118" i="94"/>
  <c r="K119" i="94"/>
  <c r="K120" i="94"/>
  <c r="K121" i="94"/>
  <c r="K122" i="94"/>
  <c r="K123" i="94"/>
  <c r="K124" i="94"/>
  <c r="K125" i="94"/>
  <c r="K126" i="94"/>
  <c r="K127" i="94"/>
  <c r="K128" i="94"/>
  <c r="K129" i="94"/>
  <c r="K130" i="94"/>
  <c r="K131" i="94"/>
  <c r="K132" i="94"/>
  <c r="K133" i="94"/>
  <c r="K134" i="94"/>
  <c r="K135" i="94"/>
  <c r="K136" i="94"/>
  <c r="K137" i="94"/>
  <c r="K138" i="94"/>
  <c r="K139" i="94"/>
  <c r="D140" i="94"/>
  <c r="K104" i="94"/>
  <c r="K105" i="94"/>
  <c r="K106" i="94"/>
  <c r="K107" i="94"/>
  <c r="K108" i="94"/>
  <c r="K109" i="94"/>
  <c r="K110" i="94"/>
  <c r="D111" i="94"/>
  <c r="K97" i="94"/>
  <c r="K98" i="94"/>
  <c r="K99" i="94"/>
  <c r="K100" i="94"/>
  <c r="K101" i="94"/>
  <c r="K102" i="94"/>
  <c r="D103" i="94"/>
  <c r="E96" i="94"/>
  <c r="D96" i="94"/>
  <c r="K68" i="94"/>
  <c r="K69" i="94"/>
  <c r="K70" i="94"/>
  <c r="K71" i="94"/>
  <c r="K72" i="94"/>
  <c r="K73" i="94"/>
  <c r="K74" i="94"/>
  <c r="K75" i="94"/>
  <c r="K76" i="94"/>
  <c r="K77" i="94"/>
  <c r="K78" i="94"/>
  <c r="K79" i="94"/>
  <c r="K80" i="94"/>
  <c r="K81" i="94"/>
  <c r="K82" i="94"/>
  <c r="K83" i="94"/>
  <c r="K84" i="94"/>
  <c r="K85" i="94"/>
  <c r="D86" i="94"/>
  <c r="E86" i="94"/>
  <c r="L67" i="94"/>
  <c r="K66" i="94"/>
  <c r="K65" i="94"/>
  <c r="K64" i="94"/>
  <c r="K63" i="94"/>
  <c r="K62" i="94"/>
  <c r="K61" i="94"/>
  <c r="K60" i="94"/>
  <c r="K59" i="94"/>
  <c r="K58" i="94"/>
  <c r="K57" i="94"/>
  <c r="K56" i="94"/>
  <c r="K55" i="94"/>
  <c r="K54" i="94"/>
  <c r="K53" i="94"/>
  <c r="K52" i="94"/>
  <c r="K51" i="94"/>
  <c r="K50" i="94"/>
  <c r="K49" i="94"/>
  <c r="K41" i="94"/>
  <c r="K42" i="94"/>
  <c r="K43" i="94"/>
  <c r="K44" i="94"/>
  <c r="K45" i="94"/>
  <c r="K46" i="94"/>
  <c r="K47" i="94"/>
  <c r="D48" i="94"/>
  <c r="E48" i="94"/>
  <c r="K22" i="94"/>
  <c r="K23" i="94"/>
  <c r="K24" i="94"/>
  <c r="K25" i="94"/>
  <c r="K26" i="94"/>
  <c r="K27" i="94"/>
  <c r="K28" i="94"/>
  <c r="K29" i="94"/>
  <c r="K30" i="94"/>
  <c r="K31" i="94"/>
  <c r="K32" i="94"/>
  <c r="K33" i="94"/>
  <c r="K34" i="94"/>
  <c r="K35" i="94"/>
  <c r="K36" i="94"/>
  <c r="K37" i="94"/>
  <c r="K38" i="94"/>
  <c r="K39" i="94"/>
  <c r="D40" i="94"/>
  <c r="E40" i="94"/>
  <c r="K3" i="94"/>
  <c r="K4" i="94"/>
  <c r="K5" i="94"/>
  <c r="K6" i="94"/>
  <c r="K7" i="94"/>
  <c r="K8" i="94"/>
  <c r="K9" i="94"/>
  <c r="K10" i="94"/>
  <c r="K11" i="94"/>
  <c r="K12" i="94"/>
  <c r="K13" i="94"/>
  <c r="K14" i="94"/>
  <c r="K15" i="94"/>
  <c r="K16" i="94"/>
  <c r="K17" i="94"/>
  <c r="K18" i="94"/>
  <c r="K19" i="94"/>
  <c r="K20" i="94"/>
  <c r="D21" i="94"/>
  <c r="E21" i="94"/>
  <c r="G13" i="4"/>
  <c r="R47" i="88"/>
  <c r="D3" i="4"/>
  <c r="B2" i="1"/>
  <c r="C7" i="88" s="1"/>
  <c r="F8" i="88"/>
  <c r="AA8" i="88" s="1"/>
  <c r="C63" i="88"/>
  <c r="F9" i="88"/>
  <c r="AA9" i="88"/>
  <c r="F10" i="88"/>
  <c r="AA10" i="88"/>
  <c r="F11" i="88"/>
  <c r="AA11" i="88"/>
  <c r="B70" i="88"/>
  <c r="F12" i="88"/>
  <c r="AA12" i="88"/>
  <c r="B72" i="88"/>
  <c r="F13" i="88"/>
  <c r="AA13" i="88"/>
  <c r="B74" i="88"/>
  <c r="F14" i="88"/>
  <c r="AA14" i="88"/>
  <c r="D77" i="88"/>
  <c r="E77" i="88"/>
  <c r="F15" i="88"/>
  <c r="AA15" i="88"/>
  <c r="D79" i="88"/>
  <c r="F17" i="88"/>
  <c r="AA17" i="88"/>
  <c r="D81" i="88"/>
  <c r="E81" i="88"/>
  <c r="F19" i="88"/>
  <c r="AA19" i="88"/>
  <c r="F21" i="88"/>
  <c r="AA21" i="88"/>
  <c r="D85" i="88"/>
  <c r="E85" i="88"/>
  <c r="F23" i="88"/>
  <c r="AA23" i="88"/>
  <c r="D87" i="88"/>
  <c r="E87" i="88"/>
  <c r="F25" i="88"/>
  <c r="AA25" i="88"/>
  <c r="B88" i="88"/>
  <c r="F26" i="88"/>
  <c r="AA26" i="88"/>
  <c r="B90" i="88"/>
  <c r="D91" i="88"/>
  <c r="E91" i="88"/>
  <c r="F27" i="88"/>
  <c r="AA27" i="88"/>
  <c r="B92" i="88"/>
  <c r="F28" i="88"/>
  <c r="AA28" i="88"/>
  <c r="B94" i="88"/>
  <c r="F29" i="88"/>
  <c r="AA29" i="88"/>
  <c r="B96" i="88"/>
  <c r="F30" i="88"/>
  <c r="AA30" i="88"/>
  <c r="B98" i="88"/>
  <c r="F31" i="88"/>
  <c r="AA31" i="88"/>
  <c r="D101" i="88"/>
  <c r="E101" i="88" s="1"/>
  <c r="F32" i="88" s="1"/>
  <c r="F34" i="88"/>
  <c r="AA34" i="88"/>
  <c r="F35" i="88"/>
  <c r="AA35" i="88"/>
  <c r="E36" i="88"/>
  <c r="D111" i="88"/>
  <c r="E111" i="88"/>
  <c r="F111" i="88"/>
  <c r="G111" i="88"/>
  <c r="F36" i="88"/>
  <c r="AA36" i="88"/>
  <c r="F37" i="88"/>
  <c r="AA37" i="88"/>
  <c r="F38" i="88"/>
  <c r="AA38" i="88"/>
  <c r="F39" i="88"/>
  <c r="AA39" i="88"/>
  <c r="F40" i="88"/>
  <c r="AA40" i="88"/>
  <c r="F41" i="88"/>
  <c r="AA41" i="88"/>
  <c r="F42" i="88"/>
  <c r="AA42" i="88"/>
  <c r="F43" i="88"/>
  <c r="AA43" i="88"/>
  <c r="B126" i="88"/>
  <c r="F44" i="88"/>
  <c r="AA44" i="88"/>
  <c r="B128" i="88"/>
  <c r="F45" i="88"/>
  <c r="AA45" i="88"/>
  <c r="B130" i="88"/>
  <c r="F46" i="88"/>
  <c r="AA46" i="88"/>
  <c r="T47" i="88"/>
  <c r="H8" i="88"/>
  <c r="AB8" i="88" s="1"/>
  <c r="H9" i="88"/>
  <c r="AB9" i="88"/>
  <c r="H10" i="88"/>
  <c r="AB10" i="88"/>
  <c r="H11" i="88"/>
  <c r="AB11" i="88"/>
  <c r="H12" i="88"/>
  <c r="AB12" i="88"/>
  <c r="H13" i="88"/>
  <c r="AB13" i="88"/>
  <c r="H14" i="88"/>
  <c r="AB14" i="88"/>
  <c r="H15" i="88"/>
  <c r="AB15" i="88"/>
  <c r="H17" i="88"/>
  <c r="AB17" i="88"/>
  <c r="H19" i="88"/>
  <c r="AB19" i="88"/>
  <c r="H21" i="88"/>
  <c r="AB21" i="88"/>
  <c r="H23" i="88"/>
  <c r="AB23" i="88"/>
  <c r="H25" i="88"/>
  <c r="AB25" i="88"/>
  <c r="H26" i="88"/>
  <c r="AB26" i="88"/>
  <c r="H27" i="88"/>
  <c r="AB27" i="88"/>
  <c r="H28" i="88"/>
  <c r="AB28" i="88"/>
  <c r="H29" i="88"/>
  <c r="AB29" i="88"/>
  <c r="H30" i="88"/>
  <c r="AB30" i="88"/>
  <c r="H31" i="88"/>
  <c r="AB31" i="88"/>
  <c r="H34" i="88"/>
  <c r="AB34" i="88"/>
  <c r="H35" i="88"/>
  <c r="AB35" i="88"/>
  <c r="G36" i="88"/>
  <c r="H36" i="88"/>
  <c r="AB36" i="88"/>
  <c r="H37" i="88"/>
  <c r="AB37" i="88"/>
  <c r="H38" i="88"/>
  <c r="AB38" i="88"/>
  <c r="H39" i="88"/>
  <c r="AB39" i="88"/>
  <c r="H40" i="88"/>
  <c r="AB40" i="88"/>
  <c r="H41" i="88"/>
  <c r="AB41" i="88"/>
  <c r="H42" i="88"/>
  <c r="AB42" i="88"/>
  <c r="H43" i="88"/>
  <c r="AB43" i="88"/>
  <c r="H44" i="88"/>
  <c r="AB44" i="88"/>
  <c r="H45" i="88"/>
  <c r="AB45" i="88"/>
  <c r="H46" i="88"/>
  <c r="AB46" i="88"/>
  <c r="V47" i="88"/>
  <c r="J8" i="88"/>
  <c r="AC8" i="88" s="1"/>
  <c r="J9" i="88"/>
  <c r="AC9" i="88"/>
  <c r="J10" i="88"/>
  <c r="AC10" i="88"/>
  <c r="J11" i="88"/>
  <c r="AC11" i="88"/>
  <c r="J12" i="88"/>
  <c r="AC12" i="88"/>
  <c r="J13" i="88"/>
  <c r="AC13" i="88"/>
  <c r="J14" i="88"/>
  <c r="AC14" i="88"/>
  <c r="J15" i="88"/>
  <c r="AC15" i="88"/>
  <c r="J17" i="88"/>
  <c r="AC17" i="88"/>
  <c r="J19" i="88"/>
  <c r="AC19" i="88"/>
  <c r="J21" i="88"/>
  <c r="AC21" i="88"/>
  <c r="J23" i="88"/>
  <c r="AC23" i="88"/>
  <c r="J25" i="88"/>
  <c r="AC25" i="88"/>
  <c r="J26" i="88"/>
  <c r="AC26" i="88"/>
  <c r="J27" i="88"/>
  <c r="AC27" i="88"/>
  <c r="J28" i="88"/>
  <c r="AC28" i="88"/>
  <c r="J29" i="88"/>
  <c r="AC29" i="88"/>
  <c r="J30" i="88"/>
  <c r="AC30" i="88"/>
  <c r="J31" i="88"/>
  <c r="AC31" i="88"/>
  <c r="J32" i="88"/>
  <c r="AC32" i="88" s="1"/>
  <c r="J33" i="88"/>
  <c r="AC33" i="88" s="1"/>
  <c r="J34" i="88"/>
  <c r="AC34" i="88"/>
  <c r="J35" i="88"/>
  <c r="AC35" i="88"/>
  <c r="I36" i="88"/>
  <c r="J36" i="88"/>
  <c r="AC36" i="88"/>
  <c r="J37" i="88"/>
  <c r="AC37" i="88"/>
  <c r="J38" i="88"/>
  <c r="AC38" i="88" s="1"/>
  <c r="J39" i="88"/>
  <c r="AC39" i="88"/>
  <c r="J40" i="88"/>
  <c r="AC40" i="88"/>
  <c r="J41" i="88"/>
  <c r="AC41" i="88"/>
  <c r="J42" i="88"/>
  <c r="AC42" i="88"/>
  <c r="J43" i="88"/>
  <c r="AC43" i="88"/>
  <c r="J44" i="88"/>
  <c r="AC44" i="88"/>
  <c r="J45" i="88"/>
  <c r="AC45" i="88"/>
  <c r="J46" i="88"/>
  <c r="AC46" i="88"/>
  <c r="C14" i="74"/>
  <c r="R47" i="33"/>
  <c r="F8" i="33"/>
  <c r="AA8" i="33" s="1"/>
  <c r="C63" i="33"/>
  <c r="F9" i="33"/>
  <c r="AA9"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F21" i="33"/>
  <c r="AA21" i="33"/>
  <c r="D85" i="33"/>
  <c r="E85" i="33"/>
  <c r="F23" i="33"/>
  <c r="AA23" i="33"/>
  <c r="D87" i="33"/>
  <c r="E87" i="33"/>
  <c r="F87" i="33"/>
  <c r="F25" i="33"/>
  <c r="AA25" i="33"/>
  <c r="B88" i="33"/>
  <c r="F26" i="33"/>
  <c r="AA26" i="33" s="1"/>
  <c r="B90" i="33"/>
  <c r="D91" i="33"/>
  <c r="E91" i="33"/>
  <c r="F27" i="33"/>
  <c r="AA27" i="33" s="1"/>
  <c r="B92" i="33"/>
  <c r="F28" i="33"/>
  <c r="AA28" i="33"/>
  <c r="B94" i="33"/>
  <c r="F29" i="33"/>
  <c r="AA29" i="33"/>
  <c r="B96" i="33"/>
  <c r="F30" i="33"/>
  <c r="AA30" i="33"/>
  <c r="B98" i="33"/>
  <c r="F31" i="33"/>
  <c r="AA31" i="33"/>
  <c r="D101" i="33"/>
  <c r="F32" i="33" s="1"/>
  <c r="F33" i="33"/>
  <c r="AA33" i="33" s="1"/>
  <c r="F34" i="33"/>
  <c r="AA34" i="33"/>
  <c r="F35" i="33"/>
  <c r="AA35" i="33"/>
  <c r="E36" i="33"/>
  <c r="D111" i="33"/>
  <c r="E111" i="33"/>
  <c r="F111" i="33"/>
  <c r="F36" i="33"/>
  <c r="AA36" i="33"/>
  <c r="F37" i="33"/>
  <c r="AA37" i="33" s="1"/>
  <c r="F38" i="33"/>
  <c r="AA38" i="33"/>
  <c r="F39" i="33"/>
  <c r="AA39" i="33" s="1"/>
  <c r="F40" i="33"/>
  <c r="AA40" i="33" s="1"/>
  <c r="F41" i="33"/>
  <c r="AA41" i="33" s="1"/>
  <c r="F42" i="33"/>
  <c r="AA42" i="33" s="1"/>
  <c r="F43" i="33"/>
  <c r="AA43" i="33" s="1"/>
  <c r="B126" i="33"/>
  <c r="F44" i="33" s="1"/>
  <c r="B128" i="33"/>
  <c r="F45" i="33"/>
  <c r="AA45" i="33" s="1"/>
  <c r="B130" i="33"/>
  <c r="F46" i="33" s="1"/>
  <c r="T47" i="33"/>
  <c r="H8" i="33"/>
  <c r="AB8" i="33" s="1"/>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s="1"/>
  <c r="H28" i="33"/>
  <c r="AB28" i="33"/>
  <c r="H29" i="33"/>
  <c r="AB29" i="33"/>
  <c r="H30" i="33"/>
  <c r="AB30" i="33"/>
  <c r="H31" i="33"/>
  <c r="AB31" i="33"/>
  <c r="E101" i="33"/>
  <c r="H32" i="33" s="1"/>
  <c r="H33" i="33"/>
  <c r="AB33" i="33" s="1"/>
  <c r="H34" i="33"/>
  <c r="AB34" i="33"/>
  <c r="H35" i="33"/>
  <c r="AB35" i="33"/>
  <c r="G36" i="33"/>
  <c r="H36" i="33"/>
  <c r="AB36" i="33"/>
  <c r="H37" i="33"/>
  <c r="AB37" i="33" s="1"/>
  <c r="H38" i="33"/>
  <c r="AB38" i="33"/>
  <c r="H39" i="33"/>
  <c r="AB39" i="33" s="1"/>
  <c r="H40" i="33"/>
  <c r="AB40" i="33"/>
  <c r="H41" i="33"/>
  <c r="AB41" i="33"/>
  <c r="H42" i="33"/>
  <c r="AB42" i="33"/>
  <c r="H43" i="33"/>
  <c r="AB43" i="33"/>
  <c r="H45" i="33"/>
  <c r="AB45" i="33"/>
  <c r="V47" i="33"/>
  <c r="J8" i="33"/>
  <c r="AC8" i="33" s="1"/>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s="1"/>
  <c r="J27" i="33"/>
  <c r="AC27" i="33" s="1"/>
  <c r="J28" i="33"/>
  <c r="AC28" i="33"/>
  <c r="J29" i="33"/>
  <c r="AC29" i="33"/>
  <c r="J30" i="33"/>
  <c r="AC30" i="33"/>
  <c r="J31" i="33"/>
  <c r="AC31" i="33"/>
  <c r="J32" i="33"/>
  <c r="AC32" i="33" s="1"/>
  <c r="J33" i="33"/>
  <c r="AC33" i="33" s="1"/>
  <c r="J34" i="33"/>
  <c r="AC34" i="33"/>
  <c r="J35" i="33"/>
  <c r="AC35" i="33"/>
  <c r="I36" i="33"/>
  <c r="J36" i="33"/>
  <c r="AC36" i="33"/>
  <c r="J37" i="33"/>
  <c r="AC37" i="33" s="1"/>
  <c r="J38" i="33"/>
  <c r="AC38" i="33"/>
  <c r="J39" i="33"/>
  <c r="AC39" i="33" s="1"/>
  <c r="J40" i="33"/>
  <c r="AC40" i="33"/>
  <c r="J41" i="33"/>
  <c r="AC41" i="33"/>
  <c r="J42" i="33"/>
  <c r="AC42" i="33"/>
  <c r="J43" i="33"/>
  <c r="AC43" i="33"/>
  <c r="J45" i="33"/>
  <c r="AC45" i="33"/>
  <c r="C37" i="87"/>
  <c r="E15" i="4"/>
  <c r="F6" i="1"/>
  <c r="H9" i="87"/>
  <c r="I11" i="87"/>
  <c r="H12" i="87"/>
  <c r="C18" i="87"/>
  <c r="C21" i="87"/>
  <c r="E19" i="87" s="1"/>
  <c r="C22" i="87"/>
  <c r="H25" i="87"/>
  <c r="E24" i="87"/>
  <c r="G5" i="84"/>
  <c r="G6" i="84"/>
  <c r="G7" i="84"/>
  <c r="G3" i="84"/>
  <c r="L17" i="84"/>
  <c r="L18" i="84"/>
  <c r="L19" i="84"/>
  <c r="L20" i="84"/>
  <c r="H26" i="87"/>
  <c r="D29" i="43"/>
  <c r="D125" i="88"/>
  <c r="E125" i="88"/>
  <c r="F125" i="88"/>
  <c r="G125" i="88"/>
  <c r="D123" i="88"/>
  <c r="E123" i="88"/>
  <c r="F123" i="88"/>
  <c r="G123" i="88"/>
  <c r="H123" i="88"/>
  <c r="I123" i="88"/>
  <c r="J123" i="88"/>
  <c r="K123" i="88"/>
  <c r="L123" i="88"/>
  <c r="M123" i="88"/>
  <c r="D121" i="88"/>
  <c r="E121" i="88"/>
  <c r="F121" i="88"/>
  <c r="G121" i="88"/>
  <c r="H121" i="88"/>
  <c r="I121" i="88"/>
  <c r="J121" i="88"/>
  <c r="K121" i="88"/>
  <c r="L121" i="88"/>
  <c r="M121" i="88"/>
  <c r="D117" i="88"/>
  <c r="E117" i="88"/>
  <c r="F117" i="88"/>
  <c r="G117" i="88"/>
  <c r="D115" i="88"/>
  <c r="E115" i="88"/>
  <c r="F115" i="88"/>
  <c r="G115" i="88"/>
  <c r="H115" i="88"/>
  <c r="I115" i="88"/>
  <c r="J115" i="88"/>
  <c r="K115" i="88"/>
  <c r="L115" i="88"/>
  <c r="M115" i="88"/>
  <c r="D113" i="88"/>
  <c r="E113" i="88"/>
  <c r="F113" i="88"/>
  <c r="G113" i="88"/>
  <c r="H113" i="88"/>
  <c r="I113" i="88"/>
  <c r="J113" i="88"/>
  <c r="K113" i="88"/>
  <c r="L113" i="88"/>
  <c r="M113" i="88"/>
  <c r="H111" i="88"/>
  <c r="I111" i="88"/>
  <c r="J111" i="88"/>
  <c r="K111" i="88"/>
  <c r="L111" i="88"/>
  <c r="M111" i="88"/>
  <c r="G109" i="88"/>
  <c r="F109" i="88"/>
  <c r="E109" i="88"/>
  <c r="D109" i="88"/>
  <c r="C109" i="88"/>
  <c r="D108" i="88"/>
  <c r="E108" i="88"/>
  <c r="F108" i="88"/>
  <c r="G108" i="88"/>
  <c r="H108" i="88"/>
  <c r="I108" i="88"/>
  <c r="J108" i="88"/>
  <c r="K108" i="88"/>
  <c r="L108" i="88"/>
  <c r="M108" i="88"/>
  <c r="D106" i="88"/>
  <c r="E106" i="88"/>
  <c r="F106" i="88"/>
  <c r="G106" i="88"/>
  <c r="H106" i="88"/>
  <c r="I106" i="88"/>
  <c r="J106" i="88"/>
  <c r="K106" i="88"/>
  <c r="L106" i="88"/>
  <c r="M106" i="88"/>
  <c r="M102" i="88"/>
  <c r="L102" i="88"/>
  <c r="K102" i="88"/>
  <c r="J102" i="88"/>
  <c r="I102" i="88"/>
  <c r="H102" i="88"/>
  <c r="G102" i="88"/>
  <c r="F102" i="88"/>
  <c r="E102" i="88"/>
  <c r="D102" i="88"/>
  <c r="C102" i="88"/>
  <c r="F91" i="88"/>
  <c r="G91" i="88"/>
  <c r="H91" i="88"/>
  <c r="I91" i="88"/>
  <c r="J91" i="88"/>
  <c r="K91" i="88"/>
  <c r="L91" i="88"/>
  <c r="M91" i="88"/>
  <c r="F87" i="88"/>
  <c r="G87" i="88"/>
  <c r="H87" i="88"/>
  <c r="I87" i="88"/>
  <c r="J87" i="88"/>
  <c r="K87" i="88"/>
  <c r="L87" i="88"/>
  <c r="M87" i="88"/>
  <c r="F85" i="88"/>
  <c r="G85" i="88"/>
  <c r="D83" i="88"/>
  <c r="E83" i="88"/>
  <c r="F83" i="88"/>
  <c r="G83" i="88"/>
  <c r="F81" i="88"/>
  <c r="G81" i="88"/>
  <c r="E79" i="88"/>
  <c r="F79" i="88"/>
  <c r="G79" i="88"/>
  <c r="D69" i="88"/>
  <c r="E69" i="88"/>
  <c r="F69" i="88"/>
  <c r="G69" i="88"/>
  <c r="H69" i="88"/>
  <c r="I69" i="88"/>
  <c r="J69" i="88"/>
  <c r="K69" i="88"/>
  <c r="L69" i="88"/>
  <c r="M69" i="88"/>
  <c r="M67" i="88"/>
  <c r="L67" i="88"/>
  <c r="K67" i="88"/>
  <c r="J67" i="88"/>
  <c r="I67" i="88"/>
  <c r="H67" i="88"/>
  <c r="G67" i="88"/>
  <c r="F67" i="88"/>
  <c r="E67" i="88"/>
  <c r="D67" i="88"/>
  <c r="C67" i="88"/>
  <c r="G66" i="88"/>
  <c r="H66" i="88"/>
  <c r="I66" i="88"/>
  <c r="I54" i="88"/>
  <c r="J54" i="88" s="1"/>
  <c r="G54" i="88"/>
  <c r="H54" i="88" s="1"/>
  <c r="E54" i="88"/>
  <c r="F54" i="88" s="1"/>
  <c r="P49" i="88"/>
  <c r="P48" i="88"/>
  <c r="K48" i="88"/>
  <c r="P47" i="88"/>
  <c r="Q46" i="88"/>
  <c r="Z46" i="88"/>
  <c r="Q45" i="88"/>
  <c r="Z45" i="88"/>
  <c r="Q44" i="88"/>
  <c r="Z44" i="88"/>
  <c r="U44" i="88"/>
  <c r="Q43" i="88"/>
  <c r="Z43" i="88"/>
  <c r="Q42" i="88"/>
  <c r="Z42" i="88"/>
  <c r="Q41" i="88"/>
  <c r="Z41" i="88"/>
  <c r="Q40" i="88"/>
  <c r="Z40" i="88"/>
  <c r="Q39" i="88"/>
  <c r="Z39" i="88"/>
  <c r="Q38" i="88"/>
  <c r="Z38" i="88"/>
  <c r="Q37" i="88"/>
  <c r="Z37" i="88"/>
  <c r="Q36" i="88"/>
  <c r="Z36" i="88"/>
  <c r="Q35" i="88"/>
  <c r="Z35" i="88"/>
  <c r="Q34" i="88"/>
  <c r="Z34" i="88"/>
  <c r="Q33" i="88"/>
  <c r="Z33" i="88"/>
  <c r="Q32" i="88"/>
  <c r="Z32" i="88"/>
  <c r="Q31" i="88"/>
  <c r="Z31" i="88"/>
  <c r="Q30" i="88"/>
  <c r="Z30" i="88"/>
  <c r="Q29" i="88"/>
  <c r="Z29" i="88"/>
  <c r="Q28" i="88"/>
  <c r="Z28" i="88"/>
  <c r="Q27" i="88"/>
  <c r="Z27" i="88"/>
  <c r="Q26" i="88"/>
  <c r="Z26" i="88"/>
  <c r="Q25" i="88"/>
  <c r="Z25" i="88"/>
  <c r="Q23" i="88"/>
  <c r="Z23" i="88"/>
  <c r="C23" i="88"/>
  <c r="Q21" i="88"/>
  <c r="Z21" i="88"/>
  <c r="C21" i="88"/>
  <c r="Q19" i="88"/>
  <c r="Z19" i="88"/>
  <c r="C19" i="88"/>
  <c r="Q17" i="88"/>
  <c r="Z17" i="88"/>
  <c r="C17" i="88"/>
  <c r="Q15" i="88"/>
  <c r="Z15" i="88"/>
  <c r="C15" i="88"/>
  <c r="Q14" i="88"/>
  <c r="Z14" i="88"/>
  <c r="Q13" i="88"/>
  <c r="Z13" i="88"/>
  <c r="Q12" i="88"/>
  <c r="Z12" i="88"/>
  <c r="Q11" i="88"/>
  <c r="Z11" i="88"/>
  <c r="Q10" i="88"/>
  <c r="Z10" i="88"/>
  <c r="Q9" i="88"/>
  <c r="Z9" i="88"/>
  <c r="E29" i="87"/>
  <c r="F19" i="87"/>
  <c r="F16" i="87"/>
  <c r="E15" i="87"/>
  <c r="M10" i="87"/>
  <c r="P9" i="87"/>
  <c r="O10" i="87"/>
  <c r="M4" i="87"/>
  <c r="C15" i="87"/>
  <c r="F77" i="88"/>
  <c r="G77" i="88"/>
  <c r="U46" i="88"/>
  <c r="U9" i="88"/>
  <c r="S10" i="88"/>
  <c r="W10" i="88"/>
  <c r="U11" i="88"/>
  <c r="S12" i="88"/>
  <c r="W12" i="88"/>
  <c r="U13" i="88"/>
  <c r="S14" i="88"/>
  <c r="W14" i="88"/>
  <c r="S9" i="88"/>
  <c r="W9" i="88"/>
  <c r="U10" i="88"/>
  <c r="S11" i="88"/>
  <c r="W11" i="88"/>
  <c r="U12" i="88"/>
  <c r="S13" i="88"/>
  <c r="W13" i="88"/>
  <c r="U14" i="88"/>
  <c r="U19" i="88"/>
  <c r="U21" i="88"/>
  <c r="U23" i="88"/>
  <c r="W25" i="88"/>
  <c r="U26" i="88"/>
  <c r="S27" i="88"/>
  <c r="W27" i="88"/>
  <c r="W28" i="88"/>
  <c r="W15" i="88"/>
  <c r="S17" i="88"/>
  <c r="W17" i="88"/>
  <c r="S19" i="88"/>
  <c r="W19" i="88"/>
  <c r="S21" i="88"/>
  <c r="W21" i="88"/>
  <c r="S23" i="88"/>
  <c r="W23" i="88"/>
  <c r="S26" i="88"/>
  <c r="W26" i="88"/>
  <c r="U27" i="88"/>
  <c r="S28" i="88"/>
  <c r="U29" i="88"/>
  <c r="S30" i="88"/>
  <c r="W30" i="88"/>
  <c r="U31" i="88"/>
  <c r="W32" i="88"/>
  <c r="S34" i="88"/>
  <c r="W34" i="88"/>
  <c r="U35" i="88"/>
  <c r="S36" i="88"/>
  <c r="W36" i="88"/>
  <c r="U37" i="88"/>
  <c r="S38" i="88"/>
  <c r="W38" i="88"/>
  <c r="U39" i="88"/>
  <c r="S40" i="88"/>
  <c r="W40" i="88"/>
  <c r="U41" i="88"/>
  <c r="S42" i="88"/>
  <c r="W42" i="88"/>
  <c r="U43" i="88"/>
  <c r="S44" i="88"/>
  <c r="W44" i="88"/>
  <c r="U45" i="88"/>
  <c r="U28" i="88"/>
  <c r="S29" i="88"/>
  <c r="W29" i="88"/>
  <c r="U30" i="88"/>
  <c r="S31" i="88"/>
  <c r="W31" i="88"/>
  <c r="W33" i="88"/>
  <c r="U34" i="88"/>
  <c r="S35" i="88"/>
  <c r="W35" i="88"/>
  <c r="U36" i="88"/>
  <c r="S37" i="88"/>
  <c r="W37" i="88"/>
  <c r="U38" i="88"/>
  <c r="S39" i="88"/>
  <c r="W39" i="88"/>
  <c r="U40" i="88"/>
  <c r="S41" i="88"/>
  <c r="W41" i="88"/>
  <c r="U42" i="88"/>
  <c r="S43" i="88"/>
  <c r="W43" i="88"/>
  <c r="W45" i="88"/>
  <c r="S46" i="88"/>
  <c r="W46" i="88"/>
  <c r="Y6" i="1"/>
  <c r="S25" i="88"/>
  <c r="U25" i="88"/>
  <c r="U17" i="88"/>
  <c r="S15" i="88"/>
  <c r="U15" i="88"/>
  <c r="S45" i="88"/>
  <c r="F38" i="85"/>
  <c r="E37" i="85"/>
  <c r="F36" i="85"/>
  <c r="F35" i="85"/>
  <c r="F21" i="85"/>
  <c r="F40" i="85"/>
  <c r="F20" i="85"/>
  <c r="F39" i="85"/>
  <c r="E10" i="85"/>
  <c r="E9" i="85"/>
  <c r="C8" i="85"/>
  <c r="F7" i="85"/>
  <c r="C21" i="85"/>
  <c r="C40" i="85"/>
  <c r="G41" i="43"/>
  <c r="H13" i="4"/>
  <c r="D5" i="9"/>
  <c r="I31" i="35"/>
  <c r="G31" i="35"/>
  <c r="E31" i="35"/>
  <c r="C31" i="35"/>
  <c r="I27" i="35"/>
  <c r="F81" i="35"/>
  <c r="G27" i="35"/>
  <c r="E81" i="35"/>
  <c r="E27" i="35"/>
  <c r="D81" i="35"/>
  <c r="C27" i="35"/>
  <c r="C81" i="35"/>
  <c r="I6" i="35"/>
  <c r="G6" i="35"/>
  <c r="E6" i="35"/>
  <c r="Q72" i="78"/>
  <c r="Q59" i="78"/>
  <c r="K59" i="78"/>
  <c r="P74" i="78"/>
  <c r="F59" i="78"/>
  <c r="Q58" i="78"/>
  <c r="Q51" i="78"/>
  <c r="J50" i="78"/>
  <c r="M47" i="78"/>
  <c r="D46" i="78"/>
  <c r="F33" i="78"/>
  <c r="F61" i="78"/>
  <c r="F31" i="78"/>
  <c r="F23" i="78"/>
  <c r="D23" i="78" s="1"/>
  <c r="F21" i="78"/>
  <c r="F20" i="78"/>
  <c r="M19" i="78"/>
  <c r="F18" i="78"/>
  <c r="M17" i="78"/>
  <c r="F17" i="78"/>
  <c r="F15" i="78"/>
  <c r="B59" i="1"/>
  <c r="D22"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K42" i="40"/>
  <c r="K47" i="39"/>
  <c r="K36" i="36"/>
  <c r="E59" i="9"/>
  <c r="F46" i="87"/>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E21" i="71"/>
  <c r="O21" i="71"/>
  <c r="Q22" i="71"/>
  <c r="F21" i="71"/>
  <c r="F20" i="71"/>
  <c r="F19" i="71"/>
  <c r="P22" i="71"/>
  <c r="O22" i="71"/>
  <c r="N22" i="71"/>
  <c r="A2" i="53"/>
  <c r="B19" i="72"/>
  <c r="K59" i="67"/>
  <c r="P61" i="67"/>
  <c r="K59" i="15"/>
  <c r="P74" i="15"/>
  <c r="P61" i="15"/>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AB10" i="43"/>
  <c r="AJ10" i="43"/>
  <c r="K49" i="9"/>
  <c r="E107" i="9"/>
  <c r="A122" i="9"/>
  <c r="A8" i="52"/>
  <c r="E111" i="9"/>
  <c r="A126" i="9"/>
  <c r="E109" i="9"/>
  <c r="A124" i="9"/>
  <c r="B44" i="72"/>
  <c r="B42" i="72"/>
  <c r="B69" i="72"/>
  <c r="B68" i="72"/>
  <c r="B63" i="72"/>
  <c r="B62" i="72"/>
  <c r="B16" i="72"/>
  <c r="B65" i="72"/>
  <c r="B10" i="72"/>
  <c r="C53" i="10"/>
  <c r="B51" i="10"/>
  <c r="A18" i="51"/>
  <c r="B13" i="72" s="1"/>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Q36" i="71"/>
  <c r="AB36" i="71"/>
  <c r="P36" i="71"/>
  <c r="O36" i="71"/>
  <c r="N36" i="71"/>
  <c r="X36" i="71"/>
  <c r="Q35" i="71"/>
  <c r="AB35" i="71"/>
  <c r="P35" i="71"/>
  <c r="AA35" i="71"/>
  <c r="O35" i="71"/>
  <c r="Y35" i="71"/>
  <c r="Z35" i="71"/>
  <c r="N35" i="71"/>
  <c r="Q34" i="71"/>
  <c r="F35" i="71"/>
  <c r="P34" i="71"/>
  <c r="O34" i="71"/>
  <c r="N34" i="71"/>
  <c r="X34" i="71"/>
  <c r="D34" i="71"/>
  <c r="Q33" i="71"/>
  <c r="AB33" i="71"/>
  <c r="P33" i="71"/>
  <c r="AA33" i="71"/>
  <c r="O33" i="71"/>
  <c r="Y33" i="71"/>
  <c r="Z33" i="71"/>
  <c r="N33" i="71"/>
  <c r="Q32" i="71"/>
  <c r="P32" i="71"/>
  <c r="O32" i="71"/>
  <c r="Y32" i="71"/>
  <c r="Z32" i="71"/>
  <c r="N32" i="71"/>
  <c r="Q31" i="71"/>
  <c r="AB31" i="71"/>
  <c r="P31" i="71"/>
  <c r="AA31" i="71"/>
  <c r="O31" i="71"/>
  <c r="Y31" i="71"/>
  <c r="Z31" i="71"/>
  <c r="N31" i="71"/>
  <c r="Q30" i="71"/>
  <c r="F31" i="71"/>
  <c r="P30" i="71"/>
  <c r="E31" i="71"/>
  <c r="O30" i="71"/>
  <c r="N30" i="71"/>
  <c r="D30" i="71"/>
  <c r="Q29" i="71"/>
  <c r="AB29" i="71"/>
  <c r="P29" i="71"/>
  <c r="O29" i="71"/>
  <c r="Y29" i="71"/>
  <c r="Z29" i="71"/>
  <c r="N29" i="71"/>
  <c r="N28" i="71"/>
  <c r="X28" i="71"/>
  <c r="Q28" i="71"/>
  <c r="P28" i="71"/>
  <c r="O28" i="71"/>
  <c r="Y28" i="71"/>
  <c r="Z28" i="71"/>
  <c r="Q27" i="71"/>
  <c r="AB27" i="71"/>
  <c r="P27" i="71"/>
  <c r="O27" i="71"/>
  <c r="Y27" i="71"/>
  <c r="Z27" i="71"/>
  <c r="N27" i="71"/>
  <c r="Q26" i="71"/>
  <c r="P26" i="71"/>
  <c r="AA26" i="71"/>
  <c r="O26" i="71"/>
  <c r="Y26" i="71"/>
  <c r="Z26" i="71"/>
  <c r="N26" i="71"/>
  <c r="N25" i="71"/>
  <c r="X22" i="71"/>
  <c r="D26" i="71"/>
  <c r="O25" i="71"/>
  <c r="C25" i="71"/>
  <c r="C24" i="71"/>
  <c r="B27" i="71"/>
  <c r="B28" i="71"/>
  <c r="B29" i="71"/>
  <c r="S29" i="71"/>
  <c r="E27" i="71"/>
  <c r="E28" i="71"/>
  <c r="E29" i="71"/>
  <c r="U29" i="71"/>
  <c r="B31" i="71"/>
  <c r="B32" i="71"/>
  <c r="B33" i="71"/>
  <c r="S33" i="71"/>
  <c r="B35" i="71"/>
  <c r="B36" i="71"/>
  <c r="B37" i="71"/>
  <c r="S37" i="71"/>
  <c r="E35" i="71"/>
  <c r="E36" i="71"/>
  <c r="E37" i="71"/>
  <c r="U37" i="71"/>
  <c r="N65" i="71"/>
  <c r="E32" i="71"/>
  <c r="E33" i="71"/>
  <c r="U33" i="71"/>
  <c r="C27" i="71"/>
  <c r="X27" i="71"/>
  <c r="AA28" i="71"/>
  <c r="AA29" i="71"/>
  <c r="C31" i="71"/>
  <c r="C32" i="71"/>
  <c r="Y30" i="71"/>
  <c r="Z30" i="71"/>
  <c r="X31" i="71"/>
  <c r="X32" i="71"/>
  <c r="X33" i="71"/>
  <c r="C35" i="71"/>
  <c r="D35" i="71"/>
  <c r="Y34" i="71"/>
  <c r="Z34" i="71"/>
  <c r="X35" i="71"/>
  <c r="F48" i="71"/>
  <c r="F49" i="71"/>
  <c r="V49" i="71"/>
  <c r="Y22" i="71"/>
  <c r="Z22" i="71"/>
  <c r="Y24" i="71"/>
  <c r="Z24" i="71"/>
  <c r="B25" i="71"/>
  <c r="B24" i="71"/>
  <c r="B23" i="71"/>
  <c r="X23" i="71"/>
  <c r="X25" i="71"/>
  <c r="C28" i="71"/>
  <c r="D27" i="71"/>
  <c r="D31" i="71"/>
  <c r="C40" i="71"/>
  <c r="D40" i="71"/>
  <c r="C44" i="71"/>
  <c r="D44" i="71"/>
  <c r="C48" i="71"/>
  <c r="D48" i="71"/>
  <c r="D47" i="71"/>
  <c r="P25" i="71"/>
  <c r="AA24" i="71"/>
  <c r="E52" i="71"/>
  <c r="E53" i="71"/>
  <c r="U53" i="71"/>
  <c r="E56" i="71"/>
  <c r="E57" i="71"/>
  <c r="U57" i="71"/>
  <c r="E60" i="71"/>
  <c r="E61" i="71"/>
  <c r="U61" i="71"/>
  <c r="U65" i="71"/>
  <c r="E64" i="71"/>
  <c r="E63" i="71"/>
  <c r="P62" i="71"/>
  <c r="Q25" i="71"/>
  <c r="C56" i="71"/>
  <c r="D56" i="71"/>
  <c r="D55" i="71"/>
  <c r="C60" i="71"/>
  <c r="C61" i="71"/>
  <c r="D61" i="71"/>
  <c r="N64" i="71"/>
  <c r="B63" i="71"/>
  <c r="T65" i="71"/>
  <c r="O65" i="71"/>
  <c r="D65" i="71"/>
  <c r="C64" i="71"/>
  <c r="Q65" i="71"/>
  <c r="C68" i="71"/>
  <c r="E68" i="71"/>
  <c r="E67" i="71"/>
  <c r="D69" i="71"/>
  <c r="C72" i="71"/>
  <c r="C71" i="71"/>
  <c r="D71" i="71"/>
  <c r="E72" i="71"/>
  <c r="E71" i="71"/>
  <c r="D73" i="71"/>
  <c r="C76" i="71"/>
  <c r="E76" i="71"/>
  <c r="E75" i="71"/>
  <c r="D77" i="71"/>
  <c r="C80" i="71"/>
  <c r="D80" i="71"/>
  <c r="C84" i="71"/>
  <c r="C83" i="71"/>
  <c r="D83" i="71"/>
  <c r="T25" i="71"/>
  <c r="F25" i="71"/>
  <c r="F24" i="71"/>
  <c r="F23" i="71"/>
  <c r="AB25" i="71"/>
  <c r="AA22" i="71"/>
  <c r="D25" i="71"/>
  <c r="U25" i="71"/>
  <c r="C63" i="71"/>
  <c r="O64" i="71"/>
  <c r="D64" i="71"/>
  <c r="D60" i="71"/>
  <c r="D72" i="71"/>
  <c r="N62" i="71"/>
  <c r="N63" i="71"/>
  <c r="D84" i="71"/>
  <c r="D76" i="71"/>
  <c r="C75" i="71"/>
  <c r="D75" i="71"/>
  <c r="D68" i="71"/>
  <c r="C67" i="71"/>
  <c r="D67" i="71"/>
  <c r="C57" i="71"/>
  <c r="D57" i="71"/>
  <c r="P64" i="71"/>
  <c r="C49" i="71"/>
  <c r="D49" i="71"/>
  <c r="C33" i="71"/>
  <c r="D33" i="71"/>
  <c r="D32" i="71"/>
  <c r="C29" i="71"/>
  <c r="D29" i="71"/>
  <c r="D28" i="71"/>
  <c r="C23" i="71"/>
  <c r="D23" i="71"/>
  <c r="D24" i="71"/>
  <c r="P63" i="71"/>
  <c r="O63" i="71"/>
  <c r="D63" i="71"/>
  <c r="O62" i="71"/>
  <c r="T29" i="71"/>
  <c r="T33" i="71"/>
  <c r="T49" i="71"/>
  <c r="T57" i="71"/>
  <c r="T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AC25" i="40"/>
  <c r="H29" i="39"/>
  <c r="J29" i="39"/>
  <c r="AC29" i="39"/>
  <c r="J18" i="36"/>
  <c r="AC18" i="36"/>
  <c r="H18" i="35"/>
  <c r="AB18" i="35"/>
  <c r="J18" i="35"/>
  <c r="W18" i="35"/>
  <c r="F77" i="37"/>
  <c r="G77" i="37"/>
  <c r="H21" i="37"/>
  <c r="F21" i="37"/>
  <c r="AA21" i="37"/>
  <c r="H21" i="34"/>
  <c r="AB21" i="34"/>
  <c r="U21" i="33"/>
  <c r="S21" i="33"/>
  <c r="E83" i="21"/>
  <c r="F83" i="21"/>
  <c r="G83" i="21"/>
  <c r="S21" i="21"/>
  <c r="H1" i="69"/>
  <c r="W25" i="40"/>
  <c r="AB25" i="40"/>
  <c r="U25" i="40"/>
  <c r="AB29" i="39"/>
  <c r="U29" i="39"/>
  <c r="W18" i="36"/>
  <c r="AB21" i="37"/>
  <c r="U21" i="37"/>
  <c r="U21" i="34"/>
  <c r="AC18" i="35"/>
  <c r="J21" i="37"/>
  <c r="AC21" i="37"/>
  <c r="J21" i="34"/>
  <c r="AC21" i="34"/>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s="1"/>
  <c r="F21" i="67"/>
  <c r="F20" i="67"/>
  <c r="M19" i="67"/>
  <c r="F18" i="67"/>
  <c r="F17" i="67"/>
  <c r="F15" i="67"/>
  <c r="S2" i="4"/>
  <c r="C51" i="10"/>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51"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G11" i="1" s="1"/>
  <c r="F12" i="1"/>
  <c r="F13" i="1"/>
  <c r="D6" i="1"/>
  <c r="D9" i="1"/>
  <c r="D10" i="1"/>
  <c r="D11" i="1"/>
  <c r="D12" i="1"/>
  <c r="D13" i="1"/>
  <c r="D7" i="1"/>
  <c r="D8" i="1"/>
  <c r="A7" i="1"/>
  <c r="A8" i="1"/>
  <c r="B8" i="1"/>
  <c r="E8" i="1" s="1"/>
  <c r="A9" i="1"/>
  <c r="A10" i="1"/>
  <c r="K10" i="1"/>
  <c r="A11" i="1"/>
  <c r="A12" i="1"/>
  <c r="A13" i="1"/>
  <c r="A6" i="1"/>
  <c r="B11" i="1"/>
  <c r="E11" i="1"/>
  <c r="B7" i="1"/>
  <c r="E7" i="1" s="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R516" i="31"/>
  <c r="R517" i="31"/>
  <c r="R518" i="31"/>
  <c r="R519" i="31"/>
  <c r="R520" i="31"/>
  <c r="R521" i="31"/>
  <c r="R522" i="31"/>
  <c r="R523" i="31"/>
  <c r="R524" i="31"/>
  <c r="C25" i="31"/>
  <c r="R25" i="31" s="1"/>
  <c r="S25" i="31" s="1"/>
  <c r="C26" i="31"/>
  <c r="C27" i="31"/>
  <c r="C28" i="31"/>
  <c r="R28" i="31" s="1"/>
  <c r="S28" i="31" s="1"/>
  <c r="C29" i="31"/>
  <c r="C30" i="31"/>
  <c r="C31" i="31"/>
  <c r="C32" i="31"/>
  <c r="C33" i="31"/>
  <c r="C34" i="31"/>
  <c r="C35" i="31"/>
  <c r="C36" i="31"/>
  <c r="C37" i="31"/>
  <c r="C38" i="31"/>
  <c r="C39" i="31"/>
  <c r="C40" i="31"/>
  <c r="C41" i="31"/>
  <c r="C42" i="31"/>
  <c r="R42" i="31" s="1"/>
  <c r="S42" i="31" s="1"/>
  <c r="C43" i="31"/>
  <c r="R43" i="31" s="1"/>
  <c r="S43" i="31" s="1"/>
  <c r="C44" i="31"/>
  <c r="R44" i="31" s="1"/>
  <c r="S44" i="31" s="1"/>
  <c r="C45" i="31"/>
  <c r="R45" i="31" s="1"/>
  <c r="S45" i="31" s="1"/>
  <c r="C46" i="31"/>
  <c r="R46" i="31" s="1"/>
  <c r="S46" i="31" s="1"/>
  <c r="C47" i="31"/>
  <c r="R47" i="31" s="1"/>
  <c r="S47" i="31" s="1"/>
  <c r="C48" i="31"/>
  <c r="R48" i="31" s="1"/>
  <c r="S48" i="31" s="1"/>
  <c r="C49" i="31"/>
  <c r="R49" i="31" s="1"/>
  <c r="S49" i="31" s="1"/>
  <c r="C50" i="31"/>
  <c r="R50" i="31" s="1"/>
  <c r="S50" i="31" s="1"/>
  <c r="C51" i="31"/>
  <c r="R51" i="31" s="1"/>
  <c r="S51" i="31" s="1"/>
  <c r="C52" i="31"/>
  <c r="R52" i="31" s="1"/>
  <c r="S52" i="31" s="1"/>
  <c r="C53" i="31"/>
  <c r="R53" i="31" s="1"/>
  <c r="S53" i="31" s="1"/>
  <c r="C54" i="31"/>
  <c r="R54" i="31" s="1"/>
  <c r="S54" i="31" s="1"/>
  <c r="C55" i="31"/>
  <c r="R55" i="31" s="1"/>
  <c r="S55" i="31" s="1"/>
  <c r="C56" i="31"/>
  <c r="R56" i="31" s="1"/>
  <c r="S56" i="31" s="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C80" i="31"/>
  <c r="R80" i="31" s="1"/>
  <c r="S80" i="31" s="1"/>
  <c r="C81" i="31"/>
  <c r="R81" i="31" s="1"/>
  <c r="S81" i="31" s="1"/>
  <c r="C82" i="31"/>
  <c r="R82" i="31" s="1"/>
  <c r="S82" i="31" s="1"/>
  <c r="C83" i="31"/>
  <c r="R83" i="31" s="1"/>
  <c r="C84" i="31"/>
  <c r="R84" i="31" s="1"/>
  <c r="S84" i="31" s="1"/>
  <c r="C85" i="31"/>
  <c r="R85" i="31" s="1"/>
  <c r="S85" i="31" s="1"/>
  <c r="C86" i="31"/>
  <c r="R86" i="31" s="1"/>
  <c r="S86" i="31" s="1"/>
  <c r="C87" i="31"/>
  <c r="R87" i="31" s="1"/>
  <c r="C88" i="31"/>
  <c r="R88" i="31" s="1"/>
  <c r="S88" i="31" s="1"/>
  <c r="C89" i="31"/>
  <c r="R89" i="31" s="1"/>
  <c r="S89" i="31" s="1"/>
  <c r="C90" i="31"/>
  <c r="R90" i="31" s="1"/>
  <c r="S90" i="31" s="1"/>
  <c r="C91" i="31"/>
  <c r="R91" i="31" s="1"/>
  <c r="C92" i="31"/>
  <c r="R92" i="31" s="1"/>
  <c r="S92" i="31" s="1"/>
  <c r="C93" i="31"/>
  <c r="R93" i="31" s="1"/>
  <c r="S93" i="31" s="1"/>
  <c r="C94" i="31"/>
  <c r="R94" i="31" s="1"/>
  <c r="S94" i="31" s="1"/>
  <c r="C95" i="31"/>
  <c r="R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I15" i="4"/>
  <c r="H15" i="4"/>
  <c r="G15" i="4"/>
  <c r="D15" i="4"/>
  <c r="F8" i="1"/>
  <c r="F7" i="1"/>
  <c r="L21" i="4"/>
  <c r="F19" i="4"/>
  <c r="F2" i="52"/>
  <c r="B50" i="72"/>
  <c r="D2" i="52"/>
  <c r="B46" i="72"/>
  <c r="B8" i="53"/>
  <c r="B23" i="72"/>
  <c r="L4" i="9"/>
  <c r="B17" i="72"/>
  <c r="B15" i="72"/>
  <c r="A3" i="51"/>
  <c r="C8" i="11"/>
  <c r="B40" i="48"/>
  <c r="B3" i="72"/>
  <c r="I2" i="43"/>
  <c r="N1" i="43" s="1"/>
  <c r="F35" i="4"/>
  <c r="J55" i="39"/>
  <c r="H34" i="43"/>
  <c r="H35" i="43"/>
  <c r="H36" i="43"/>
  <c r="H37" i="43"/>
  <c r="H39" i="43"/>
  <c r="H33" i="43"/>
  <c r="J20" i="43"/>
  <c r="C18" i="43"/>
  <c r="F15" i="43"/>
  <c r="E15" i="43"/>
  <c r="D15" i="43"/>
  <c r="C15" i="43"/>
  <c r="C10" i="43"/>
  <c r="C11" i="43"/>
  <c r="C9" i="43"/>
  <c r="A7" i="43"/>
  <c r="F33" i="15"/>
  <c r="F61" i="15"/>
  <c r="M19" i="15"/>
  <c r="BR13" i="3"/>
  <c r="M10" i="1"/>
  <c r="O10" i="1"/>
  <c r="B22" i="1"/>
  <c r="G22" i="69" s="1"/>
  <c r="B23" i="1"/>
  <c r="B24" i="1"/>
  <c r="F34" i="11" s="1"/>
  <c r="C36" i="11" s="1"/>
  <c r="B43" i="1"/>
  <c r="D78" i="9"/>
  <c r="BQ13" i="3"/>
  <c r="BQ14" i="3"/>
  <c r="BQ15" i="3"/>
  <c r="BQ16" i="3"/>
  <c r="BQ17" i="3"/>
  <c r="BS13" i="3"/>
  <c r="BS14" i="3"/>
  <c r="BS15" i="3"/>
  <c r="BS16" i="3"/>
  <c r="BS17" i="3"/>
  <c r="BR14" i="3"/>
  <c r="BR15" i="3"/>
  <c r="BR16" i="3"/>
  <c r="BR17" i="3"/>
  <c r="BT13" i="3"/>
  <c r="BT14" i="3"/>
  <c r="BT15" i="3"/>
  <c r="BT16" i="3"/>
  <c r="BT17" i="3"/>
  <c r="BM14" i="3"/>
  <c r="BM15" i="3"/>
  <c r="BM16" i="3"/>
  <c r="BN16" i="3"/>
  <c r="BL16" i="3" s="1"/>
  <c r="BO16" i="3"/>
  <c r="BP16" i="3"/>
  <c r="BM17" i="3"/>
  <c r="BO13" i="3"/>
  <c r="BO14" i="3"/>
  <c r="BO15" i="3"/>
  <c r="BO17" i="3"/>
  <c r="BN13" i="3"/>
  <c r="BN14" i="3"/>
  <c r="BN15" i="3"/>
  <c r="BN17" i="3"/>
  <c r="BP13" i="3"/>
  <c r="BP14" i="3"/>
  <c r="BP15" i="3"/>
  <c r="BP17" i="3"/>
  <c r="E19" i="6"/>
  <c r="I5" i="3"/>
  <c r="E20" i="6"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AZ17" i="3" s="1"/>
  <c r="BD17" i="3"/>
  <c r="BE17" i="3"/>
  <c r="BF17" i="3"/>
  <c r="BG17" i="3"/>
  <c r="BH17" i="3"/>
  <c r="BI17" i="3"/>
  <c r="BJ17" i="3"/>
  <c r="BK17" i="3"/>
  <c r="BC10" i="3"/>
  <c r="BD10" i="3"/>
  <c r="BB10" i="3"/>
  <c r="H13" i="3"/>
  <c r="AC13" i="3"/>
  <c r="H14" i="3"/>
  <c r="AC14" i="3"/>
  <c r="H15" i="3"/>
  <c r="G15" i="3" s="1"/>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R30" i="31" s="1"/>
  <c r="S30" i="31" s="1"/>
  <c r="E31" i="31"/>
  <c r="E32" i="31"/>
  <c r="E33" i="31"/>
  <c r="E34" i="31"/>
  <c r="R34" i="31" s="1"/>
  <c r="S34" i="31" s="1"/>
  <c r="E35" i="31"/>
  <c r="E36" i="31"/>
  <c r="E37" i="31"/>
  <c r="E38" i="31"/>
  <c r="R38" i="31" s="1"/>
  <c r="S38" i="31" s="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2" i="31"/>
  <c r="S264" i="31"/>
  <c r="S245" i="31"/>
  <c r="S428" i="31"/>
  <c r="S205" i="31"/>
  <c r="S177" i="31"/>
  <c r="S161" i="31"/>
  <c r="S153" i="31"/>
  <c r="S145" i="31"/>
  <c r="S137" i="31"/>
  <c r="S129" i="31"/>
  <c r="S485" i="31"/>
  <c r="S469" i="31"/>
  <c r="S440" i="31"/>
  <c r="S117" i="31"/>
  <c r="S466" i="31"/>
  <c r="S68" i="31"/>
  <c r="S24" i="31"/>
  <c r="S95" i="31"/>
  <c r="S91" i="31"/>
  <c r="S87" i="31"/>
  <c r="S83" i="31"/>
  <c r="S79" i="31"/>
  <c r="S445" i="31"/>
  <c r="S447" i="31"/>
  <c r="S44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AB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J25" i="35"/>
  <c r="B75" i="35"/>
  <c r="J24" i="35"/>
  <c r="AC24" i="35"/>
  <c r="B73" i="35"/>
  <c r="H23" i="35"/>
  <c r="B57" i="35"/>
  <c r="B61" i="35"/>
  <c r="B59" i="35"/>
  <c r="J12" i="35"/>
  <c r="W12" i="35"/>
  <c r="B131" i="34"/>
  <c r="B129" i="34"/>
  <c r="B127" i="34"/>
  <c r="B99" i="34"/>
  <c r="B97" i="34"/>
  <c r="B95" i="34"/>
  <c r="B93" i="34"/>
  <c r="B75" i="34"/>
  <c r="B73" i="34"/>
  <c r="B71" i="34"/>
  <c r="F12" i="34"/>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s="1"/>
  <c r="F121" i="33" s="1"/>
  <c r="G121" i="33" s="1"/>
  <c r="H121" i="33" s="1"/>
  <c r="I121" i="33" s="1"/>
  <c r="J121" i="33" s="1"/>
  <c r="K121" i="33" s="1"/>
  <c r="L121" i="33" s="1"/>
  <c r="M121" i="33" s="1"/>
  <c r="F109" i="33"/>
  <c r="E109" i="33"/>
  <c r="D109" i="33"/>
  <c r="C109" i="33"/>
  <c r="F91" i="33"/>
  <c r="C23" i="33"/>
  <c r="C19" i="33"/>
  <c r="C17" i="33"/>
  <c r="C15" i="33"/>
  <c r="C15" i="21"/>
  <c r="D125" i="33"/>
  <c r="D123" i="33"/>
  <c r="E123" i="33"/>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P49" i="33"/>
  <c r="P48" i="33"/>
  <c r="P47" i="33"/>
  <c r="Q46" i="33"/>
  <c r="Z46" i="33"/>
  <c r="Q45" i="33"/>
  <c r="Z45" i="33"/>
  <c r="Q44" i="33"/>
  <c r="Z44" i="33"/>
  <c r="Q43" i="33"/>
  <c r="Z43" i="33"/>
  <c r="Q42" i="33"/>
  <c r="Z42" i="33"/>
  <c r="W41" i="33"/>
  <c r="Q41" i="33"/>
  <c r="Z41" i="33" s="1"/>
  <c r="Q40" i="33"/>
  <c r="Z40" i="33" s="1"/>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U14" i="37"/>
  <c r="F29" i="36"/>
  <c r="AA29" i="36"/>
  <c r="W8" i="36"/>
  <c r="F16" i="36"/>
  <c r="AA16" i="36"/>
  <c r="U9" i="36"/>
  <c r="W28" i="36"/>
  <c r="S30" i="36"/>
  <c r="AA31" i="36"/>
  <c r="W31" i="36"/>
  <c r="U31" i="36"/>
  <c r="J33" i="36"/>
  <c r="W33" i="36"/>
  <c r="H22" i="35"/>
  <c r="AB22" i="35"/>
  <c r="F36" i="34"/>
  <c r="J35" i="34"/>
  <c r="S34" i="34"/>
  <c r="U34" i="34"/>
  <c r="W39" i="33"/>
  <c r="H39" i="37"/>
  <c r="AB39" i="37"/>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16" i="35"/>
  <c r="AC16" i="35"/>
  <c r="H16" i="35"/>
  <c r="U16" i="35"/>
  <c r="F16" i="35"/>
  <c r="S16" i="35"/>
  <c r="H14" i="35"/>
  <c r="AB14" i="35"/>
  <c r="H33" i="35"/>
  <c r="AB33" i="35"/>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S38" i="33"/>
  <c r="E113" i="33"/>
  <c r="W40"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W30"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AB11" i="36"/>
  <c r="J10" i="36"/>
  <c r="AC10" i="36"/>
  <c r="AB30" i="21"/>
  <c r="W31" i="34"/>
  <c r="W13" i="36"/>
  <c r="W11" i="36"/>
  <c r="AB46" i="34"/>
  <c r="AC30" i="34"/>
  <c r="AA14" i="34"/>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17" i="37"/>
  <c r="U17" i="37"/>
  <c r="AB27" i="37"/>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43" i="33"/>
  <c r="U14" i="40"/>
  <c r="AC32" i="36"/>
  <c r="AC33" i="36"/>
  <c r="W23" i="35"/>
  <c r="W14" i="37"/>
  <c r="AB28" i="37"/>
  <c r="U33" i="37"/>
  <c r="U39" i="37"/>
  <c r="W26" i="37"/>
  <c r="AC8" i="37"/>
  <c r="U26" i="37"/>
  <c r="W47" i="34"/>
  <c r="AB13" i="34"/>
  <c r="W37" i="34"/>
  <c r="AB37" i="34"/>
  <c r="AC36" i="34"/>
  <c r="U11" i="33"/>
  <c r="U19" i="21"/>
  <c r="W44" i="21"/>
  <c r="U26" i="21"/>
  <c r="AC46" i="21"/>
  <c r="AB38" i="21"/>
  <c r="W15" i="34"/>
  <c r="AC15" i="34"/>
  <c r="W40" i="37"/>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c r="D59" i="34" s="1"/>
  <c r="W35" i="40"/>
  <c r="A4" i="52"/>
  <c r="B41" i="72"/>
  <c r="J11" i="39"/>
  <c r="W11" i="39"/>
  <c r="F11" i="39"/>
  <c r="AA11" i="39"/>
  <c r="A12" i="52"/>
  <c r="B56" i="72"/>
  <c r="S11" i="39"/>
  <c r="G4" i="4"/>
  <c r="I4" i="4"/>
  <c r="F59" i="43"/>
  <c r="H64" i="43" s="1"/>
  <c r="AZ24"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BA376" i="3"/>
  <c r="BL376" i="3"/>
  <c r="G377" i="3"/>
  <c r="BA378" i="3"/>
  <c r="BL378" i="3"/>
  <c r="AZ378" i="3"/>
  <c r="G379" i="3"/>
  <c r="BA380" i="3"/>
  <c r="G388" i="3"/>
  <c r="BL389" i="3"/>
  <c r="G390" i="3"/>
  <c r="BL391" i="3"/>
  <c r="BA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89" i="3"/>
  <c r="AZ120" i="3"/>
  <c r="G534" i="3"/>
  <c r="G530" i="3"/>
  <c r="G522" i="3"/>
  <c r="G516" i="3"/>
  <c r="G512" i="3"/>
  <c r="G506" i="3"/>
  <c r="G498" i="3"/>
  <c r="G494" i="3"/>
  <c r="G16" i="3"/>
  <c r="BA304" i="3"/>
  <c r="AZ304" i="3"/>
  <c r="BA305" i="3"/>
  <c r="BL305" i="3"/>
  <c r="G306" i="3"/>
  <c r="G309" i="3"/>
  <c r="BL310" i="3"/>
  <c r="BA312" i="3"/>
  <c r="AZ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50" i="3"/>
  <c r="AZ162" i="3"/>
  <c r="AZ166" i="3"/>
  <c r="AZ170" i="3"/>
  <c r="AZ174" i="3"/>
  <c r="AZ182" i="3"/>
  <c r="AZ194" i="3"/>
  <c r="AZ500" i="3"/>
  <c r="BA16" i="3"/>
  <c r="AZ16" i="3" s="1"/>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G346" i="3"/>
  <c r="BL349" i="3"/>
  <c r="BL352" i="3"/>
  <c r="G353" i="3"/>
  <c r="BA357" i="3"/>
  <c r="AZ357" i="3"/>
  <c r="BL358" i="3"/>
  <c r="AZ358" i="3"/>
  <c r="G359" i="3"/>
  <c r="BA361" i="3"/>
  <c r="AZ361" i="3"/>
  <c r="BL362" i="3"/>
  <c r="G363" i="3"/>
  <c r="BA365" i="3"/>
  <c r="AZ365" i="3"/>
  <c r="BL366" i="3"/>
  <c r="G367" i="3"/>
  <c r="BA369" i="3"/>
  <c r="AZ369" i="3"/>
  <c r="BL370" i="3"/>
  <c r="AZ370" i="3"/>
  <c r="G371" i="3"/>
  <c r="BA373" i="3"/>
  <c r="AZ373" i="3"/>
  <c r="BL374" i="3"/>
  <c r="AZ374" i="3"/>
  <c r="G375" i="3"/>
  <c r="BA377" i="3"/>
  <c r="AZ377" i="3"/>
  <c r="AZ229" i="3"/>
  <c r="AZ241" i="3"/>
  <c r="AZ245" i="3"/>
  <c r="AZ257" i="3"/>
  <c r="AZ261" i="3"/>
  <c r="AZ269" i="3"/>
  <c r="BA379" i="3"/>
  <c r="BL380" i="3"/>
  <c r="G381" i="3"/>
  <c r="BA383" i="3"/>
  <c r="AZ383" i="3"/>
  <c r="BL384" i="3"/>
  <c r="G385" i="3"/>
  <c r="BA387" i="3"/>
  <c r="AZ387" i="3"/>
  <c r="BL388" i="3"/>
  <c r="AZ388" i="3"/>
  <c r="G389" i="3"/>
  <c r="BA391" i="3"/>
  <c r="AZ391" i="3"/>
  <c r="BL392" i="3"/>
  <c r="AZ392" i="3"/>
  <c r="G393" i="3"/>
  <c r="AZ263" i="3"/>
  <c r="AZ279" i="3"/>
  <c r="AZ295" i="3"/>
  <c r="BO5" i="3"/>
  <c r="BM5" i="3"/>
  <c r="BJ5" i="3"/>
  <c r="BH5" i="3"/>
  <c r="BF5" i="3"/>
  <c r="BD5" i="3"/>
  <c r="BQ5" i="3"/>
  <c r="AC5" i="3"/>
  <c r="AZ549" i="3"/>
  <c r="AZ506" i="3"/>
  <c r="AZ496" i="3"/>
  <c r="G548" i="3"/>
  <c r="G538" i="3"/>
  <c r="G520" i="3"/>
  <c r="G502" i="3"/>
  <c r="BS5" i="3"/>
  <c r="BP5" i="3"/>
  <c r="BN5" i="3"/>
  <c r="BK5" i="3"/>
  <c r="BI5" i="3"/>
  <c r="BG5" i="3"/>
  <c r="BE5" i="3"/>
  <c r="G17" i="3"/>
  <c r="BT5" i="3"/>
  <c r="AZ350" i="3"/>
  <c r="AZ352" i="3"/>
  <c r="BB5" i="3"/>
  <c r="E8" i="6" s="1"/>
  <c r="E56" i="39" s="1"/>
  <c r="BR5" i="3"/>
  <c r="AZ380" i="3"/>
  <c r="AZ509" i="3"/>
  <c r="G509" i="3"/>
  <c r="BL493" i="3"/>
  <c r="AZ493" i="3"/>
  <c r="AZ390" i="3"/>
  <c r="U36" i="40"/>
  <c r="F36" i="43"/>
  <c r="F81" i="43"/>
  <c r="H83" i="43" s="1"/>
  <c r="H113" i="43"/>
  <c r="F39" i="43"/>
  <c r="F35" i="43"/>
  <c r="U17" i="39"/>
  <c r="S14" i="35"/>
  <c r="U43" i="21"/>
  <c r="U35" i="21"/>
  <c r="AC35" i="21"/>
  <c r="U10" i="21"/>
  <c r="G9" i="1"/>
  <c r="G10" i="1"/>
  <c r="W37" i="37"/>
  <c r="W44" i="34"/>
  <c r="AC44" i="34"/>
  <c r="S15" i="37"/>
  <c r="U13" i="37"/>
  <c r="U12" i="40"/>
  <c r="AA12" i="40"/>
  <c r="W37" i="33"/>
  <c r="AC17" i="34"/>
  <c r="W34" i="33"/>
  <c r="F33" i="34"/>
  <c r="S33" i="34"/>
  <c r="W12" i="36"/>
  <c r="AC12" i="36"/>
  <c r="H20" i="36"/>
  <c r="U20" i="36"/>
  <c r="J20" i="36"/>
  <c r="W20" i="36"/>
  <c r="W24" i="36"/>
  <c r="J27" i="36"/>
  <c r="W27" i="36"/>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AZ353" i="3"/>
  <c r="AZ386" i="3"/>
  <c r="C40" i="11"/>
  <c r="AZ215" i="3"/>
  <c r="AZ227" i="3"/>
  <c r="AZ240" i="3"/>
  <c r="AZ243" i="3"/>
  <c r="AZ256" i="3"/>
  <c r="AZ259" i="3"/>
  <c r="AZ114" i="3"/>
  <c r="AZ130" i="3"/>
  <c r="AZ21" i="3"/>
  <c r="AZ50" i="3"/>
  <c r="AZ53" i="3"/>
  <c r="AZ66" i="3"/>
  <c r="AZ69" i="3"/>
  <c r="AZ72" i="3"/>
  <c r="AZ74" i="3"/>
  <c r="AZ82" i="3"/>
  <c r="AZ86"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c r="P9" i="1"/>
  <c r="AE9" i="1"/>
  <c r="G29" i="6"/>
  <c r="W27" i="34"/>
  <c r="AC27" i="34"/>
  <c r="AB34" i="36"/>
  <c r="U34" i="36"/>
  <c r="AB33" i="36"/>
  <c r="U33" i="36"/>
  <c r="AC12" i="39"/>
  <c r="W12" i="39"/>
  <c r="AC39" i="40"/>
  <c r="W39" i="40"/>
  <c r="AZ401" i="3"/>
  <c r="AZ412" i="3"/>
  <c r="AZ417" i="3"/>
  <c r="AZ428" i="3"/>
  <c r="AZ433" i="3"/>
  <c r="AZ465" i="3"/>
  <c r="W12" i="33"/>
  <c r="AA32" i="36"/>
  <c r="S32" i="36"/>
  <c r="AZ457" i="3"/>
  <c r="AZ473" i="3"/>
  <c r="AZ490" i="3"/>
  <c r="AA39" i="34"/>
  <c r="BL14" i="3"/>
  <c r="AC13" i="34"/>
  <c r="AA47" i="34"/>
  <c r="W28" i="37"/>
  <c r="S19" i="39"/>
  <c r="H12" i="39"/>
  <c r="AB12" i="39"/>
  <c r="F39" i="40"/>
  <c r="BA14" i="3"/>
  <c r="AZ14" i="3" s="1"/>
  <c r="AZ367" i="3"/>
  <c r="AZ213" i="3"/>
  <c r="AZ224" i="3"/>
  <c r="AZ238" i="3"/>
  <c r="AZ254" i="3"/>
  <c r="AZ281" i="3"/>
  <c r="AZ297" i="3"/>
  <c r="AZ149" i="3"/>
  <c r="AZ157" i="3"/>
  <c r="AZ165" i="3"/>
  <c r="AZ181" i="3"/>
  <c r="AZ189" i="3"/>
  <c r="AZ26" i="3"/>
  <c r="S12" i="1"/>
  <c r="AQ12" i="1" s="1"/>
  <c r="R12" i="1"/>
  <c r="B12" i="1"/>
  <c r="E12" i="1"/>
  <c r="S10" i="1"/>
  <c r="AQ10" i="1" s="1"/>
  <c r="R10" i="1"/>
  <c r="B10" i="1"/>
  <c r="E10" i="1"/>
  <c r="AZ80" i="3"/>
  <c r="AZ84" i="3"/>
  <c r="K12" i="1"/>
  <c r="M12" i="1" s="1"/>
  <c r="S13" i="1"/>
  <c r="AR13" i="1" s="1"/>
  <c r="R13" i="1"/>
  <c r="S11" i="1"/>
  <c r="T11" i="1" s="1"/>
  <c r="R11" i="1"/>
  <c r="S9" i="1"/>
  <c r="T9" i="1" s="1"/>
  <c r="R9" i="1"/>
  <c r="J51" i="67"/>
  <c r="C42" i="1"/>
  <c r="C24" i="12"/>
  <c r="H100" i="43"/>
  <c r="J100" i="43"/>
  <c r="AB37" i="40"/>
  <c r="S35" i="40"/>
  <c r="U35" i="40"/>
  <c r="AC36" i="40"/>
  <c r="AA32" i="40"/>
  <c r="S17" i="40"/>
  <c r="S23" i="40"/>
  <c r="AC17" i="40"/>
  <c r="AC15" i="40"/>
  <c r="S30" i="40"/>
  <c r="AA19" i="40"/>
  <c r="S28"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W38" i="33"/>
  <c r="U42" i="33"/>
  <c r="G111" i="33"/>
  <c r="G108" i="33"/>
  <c r="H108" i="33"/>
  <c r="I108" i="33"/>
  <c r="J108" i="33"/>
  <c r="K108" i="33"/>
  <c r="L108" i="33"/>
  <c r="M108" i="33"/>
  <c r="W35" i="33"/>
  <c r="S37" i="33"/>
  <c r="W43" i="33"/>
  <c r="S43" i="33"/>
  <c r="G87" i="33"/>
  <c r="H87" i="33"/>
  <c r="I87" i="33"/>
  <c r="J87" i="33"/>
  <c r="K87" i="33"/>
  <c r="L87" i="33"/>
  <c r="M87" i="33"/>
  <c r="W23" i="33"/>
  <c r="F85" i="33"/>
  <c r="U23" i="33"/>
  <c r="F81" i="33"/>
  <c r="S19" i="33"/>
  <c r="W19" i="33"/>
  <c r="F79" i="33"/>
  <c r="W15" i="33"/>
  <c r="W10" i="33"/>
  <c r="W43" i="21"/>
  <c r="W36" i="21"/>
  <c r="W41" i="21"/>
  <c r="AB39" i="21"/>
  <c r="AA43" i="21"/>
  <c r="S39" i="21"/>
  <c r="AA38" i="21"/>
  <c r="AA36" i="21"/>
  <c r="AC40" i="21"/>
  <c r="J15" i="21"/>
  <c r="W15" i="21"/>
  <c r="F77" i="21"/>
  <c r="G77" i="21"/>
  <c r="F23" i="21"/>
  <c r="S23" i="21"/>
  <c r="E85" i="21"/>
  <c r="AC11" i="21"/>
  <c r="AA14" i="21"/>
  <c r="AB8" i="21"/>
  <c r="S8" i="21"/>
  <c r="D120" i="9"/>
  <c r="D121" i="9"/>
  <c r="D7" i="52"/>
  <c r="C18" i="9"/>
  <c r="D18" i="9"/>
  <c r="M20" i="67"/>
  <c r="G13" i="3"/>
  <c r="BL17" i="3"/>
  <c r="BL13" i="3"/>
  <c r="J56" i="9"/>
  <c r="J57" i="9"/>
  <c r="J59" i="9"/>
  <c r="J61" i="9"/>
  <c r="A24" i="51"/>
  <c r="B18" i="72"/>
  <c r="U29" i="34"/>
  <c r="P10" i="1"/>
  <c r="E32" i="6"/>
  <c r="L19" i="6"/>
  <c r="G1" i="68"/>
  <c r="E19" i="68"/>
  <c r="E1" i="73"/>
  <c r="G22" i="68"/>
  <c r="G22" i="11"/>
  <c r="C100" i="43"/>
  <c r="E11" i="43"/>
  <c r="E10" i="43"/>
  <c r="E9" i="43"/>
  <c r="E8" i="43"/>
  <c r="C7" i="43"/>
  <c r="E81" i="43"/>
  <c r="B79" i="43"/>
  <c r="F100" i="43"/>
  <c r="C17" i="43"/>
  <c r="K17" i="43"/>
  <c r="N6" i="43"/>
  <c r="F38" i="43"/>
  <c r="N5" i="43"/>
  <c r="B19" i="53"/>
  <c r="B37" i="72"/>
  <c r="C7" i="39"/>
  <c r="C68" i="39"/>
  <c r="D68" i="39" s="1"/>
  <c r="D70" i="39" s="1"/>
  <c r="C7" i="35"/>
  <c r="C48" i="35"/>
  <c r="D48" i="35" s="1"/>
  <c r="E48" i="35" s="1"/>
  <c r="F48" i="35" s="1"/>
  <c r="C7" i="21"/>
  <c r="C58" i="21" s="1"/>
  <c r="D58" i="21" s="1"/>
  <c r="C7" i="40"/>
  <c r="C63" i="40" s="1"/>
  <c r="M47" i="9"/>
  <c r="G19" i="43"/>
  <c r="O19" i="43"/>
  <c r="T35" i="4"/>
  <c r="A19" i="51"/>
  <c r="B14" i="72"/>
  <c r="C4" i="12"/>
  <c r="H66" i="43"/>
  <c r="L20" i="6"/>
  <c r="B6" i="1"/>
  <c r="E6" i="1"/>
  <c r="K11" i="1"/>
  <c r="M11" i="1" s="1"/>
  <c r="O11" i="1"/>
  <c r="P11" i="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U38" i="33"/>
  <c r="W14" i="33"/>
  <c r="S31" i="33"/>
  <c r="W13"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AA39" i="40"/>
  <c r="S39" i="40"/>
  <c r="S12" i="33"/>
  <c r="J32" i="39"/>
  <c r="AC32" i="39"/>
  <c r="H32" i="39"/>
  <c r="AA32" i="39"/>
  <c r="S32" i="39"/>
  <c r="AB21" i="39"/>
  <c r="U21" i="39"/>
  <c r="AA21" i="39"/>
  <c r="S21" i="39"/>
  <c r="AC21" i="39"/>
  <c r="W21" i="39"/>
  <c r="U9" i="35"/>
  <c r="AA9" i="35"/>
  <c r="S9"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U41" i="33"/>
  <c r="H111" i="33"/>
  <c r="I111" i="33"/>
  <c r="J111" i="33"/>
  <c r="K111" i="33"/>
  <c r="L111" i="33"/>
  <c r="M111" i="33"/>
  <c r="S36" i="33"/>
  <c r="S23" i="33"/>
  <c r="G85" i="33"/>
  <c r="G81" i="33"/>
  <c r="G79" i="33"/>
  <c r="U17" i="33"/>
  <c r="U10" i="33"/>
  <c r="U33" i="21"/>
  <c r="AA23" i="21"/>
  <c r="J23" i="21"/>
  <c r="AC23" i="21"/>
  <c r="F85" i="21"/>
  <c r="G85" i="21"/>
  <c r="H23" i="21"/>
  <c r="S13" i="21"/>
  <c r="D6" i="52"/>
  <c r="AP7" i="1"/>
  <c r="AB45" i="21"/>
  <c r="AC33" i="21"/>
  <c r="W33" i="21"/>
  <c r="S33" i="21"/>
  <c r="AA33" i="21"/>
  <c r="AB9" i="21"/>
  <c r="AA32" i="21"/>
  <c r="S32" i="21"/>
  <c r="W9" i="21"/>
  <c r="AC9" i="21"/>
  <c r="AB32" i="21"/>
  <c r="U32" i="21"/>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U19" i="33"/>
  <c r="U23" i="21"/>
  <c r="AB23" i="21"/>
  <c r="AC11" i="37"/>
  <c r="W11" i="37"/>
  <c r="AC11" i="34"/>
  <c r="AE8" i="1"/>
  <c r="AG6" i="1"/>
  <c r="H109" i="9"/>
  <c r="M49" i="9"/>
  <c r="H110" i="9"/>
  <c r="D18" i="53" s="1"/>
  <c r="B35" i="72" s="1"/>
  <c r="D16" i="53"/>
  <c r="B34" i="72"/>
  <c r="H112" i="9"/>
  <c r="D21" i="53"/>
  <c r="B39" i="72"/>
  <c r="H111" i="9"/>
  <c r="D126" i="9"/>
  <c r="AD3" i="71"/>
  <c r="J1" i="73"/>
  <c r="H67" i="43"/>
  <c r="M5" i="43"/>
  <c r="M2" i="43"/>
  <c r="N7" i="43"/>
  <c r="F48" i="43" s="1"/>
  <c r="H53" i="43" s="1"/>
  <c r="G53" i="43" s="1"/>
  <c r="F70" i="43"/>
  <c r="N2" i="43"/>
  <c r="N17" i="43"/>
  <c r="O17" i="43"/>
  <c r="E17" i="43"/>
  <c r="AB19" i="71"/>
  <c r="X17" i="71"/>
  <c r="X16" i="71"/>
  <c r="AA17" i="71"/>
  <c r="AA16" i="71"/>
  <c r="X20" i="71"/>
  <c r="Y16" i="71"/>
  <c r="Z16" i="71"/>
  <c r="AB17" i="71"/>
  <c r="AB16" i="71"/>
  <c r="C94" i="9"/>
  <c r="C92" i="9"/>
  <c r="F18" i="71"/>
  <c r="F17" i="71"/>
  <c r="F16" i="71"/>
  <c r="F15" i="71"/>
  <c r="F14" i="71"/>
  <c r="Y17" i="71"/>
  <c r="Z17" i="71"/>
  <c r="X3" i="71"/>
  <c r="C7" i="36"/>
  <c r="C46" i="36"/>
  <c r="D46" i="36" s="1"/>
  <c r="C7" i="37"/>
  <c r="C52" i="37"/>
  <c r="D52" i="37" s="1"/>
  <c r="G91" i="33"/>
  <c r="H91" i="33"/>
  <c r="I91" i="33"/>
  <c r="J91" i="33"/>
  <c r="K91" i="33"/>
  <c r="L91" i="33"/>
  <c r="M91" i="33"/>
  <c r="U27" i="33"/>
  <c r="U40" i="33"/>
  <c r="W25" i="33"/>
  <c r="D19" i="53"/>
  <c r="W23" i="21"/>
  <c r="AA10" i="21"/>
  <c r="W32" i="21"/>
  <c r="AB15" i="21"/>
  <c r="S37" i="21"/>
  <c r="AC37" i="21"/>
  <c r="U25" i="37"/>
  <c r="AB25" i="37"/>
  <c r="AC37" i="39"/>
  <c r="W37" i="39"/>
  <c r="AC31" i="40"/>
  <c r="W31" i="40"/>
  <c r="AE6" i="1"/>
  <c r="AE7" i="1"/>
  <c r="BL203" i="3"/>
  <c r="AZ203" i="3"/>
  <c r="AZ495" i="3"/>
  <c r="AZ513" i="3"/>
  <c r="AZ517" i="3"/>
  <c r="AZ567" i="3"/>
  <c r="AZ571" i="3"/>
  <c r="AZ575" i="3"/>
  <c r="AZ579" i="3"/>
  <c r="BL586" i="3"/>
  <c r="AZ586" i="3"/>
  <c r="BA551" i="3"/>
  <c r="AZ551" i="3"/>
  <c r="BL548" i="3"/>
  <c r="G28" i="6"/>
  <c r="G30" i="6"/>
  <c r="F28" i="6"/>
  <c r="BA384" i="3"/>
  <c r="AZ384" i="3"/>
  <c r="AZ379" i="3"/>
  <c r="AZ345" i="3"/>
  <c r="AZ318" i="3"/>
  <c r="AZ372" i="3"/>
  <c r="AZ337" i="3"/>
  <c r="AZ320" i="3"/>
  <c r="AZ305" i="3"/>
  <c r="BL393" i="3"/>
  <c r="AZ393" i="3"/>
  <c r="AZ376" i="3"/>
  <c r="AZ362" i="3"/>
  <c r="AZ341" i="3"/>
  <c r="AZ309" i="3"/>
  <c r="AC12" i="37"/>
  <c r="AZ503" i="3"/>
  <c r="AZ523" i="3"/>
  <c r="AZ531" i="3"/>
  <c r="AZ539" i="3"/>
  <c r="AZ547" i="3"/>
  <c r="AZ553" i="3"/>
  <c r="AZ583" i="3"/>
  <c r="AZ581" i="3"/>
  <c r="AZ526" i="3"/>
  <c r="AZ548" i="3"/>
  <c r="AZ566" i="3"/>
  <c r="AZ574" i="3"/>
  <c r="AZ582" i="3"/>
  <c r="AZ584" i="3"/>
  <c r="S11" i="36"/>
  <c r="AA14" i="37"/>
  <c r="AA13" i="35"/>
  <c r="AB17" i="34"/>
  <c r="W33" i="33"/>
  <c r="U35" i="33"/>
  <c r="BL585" i="3"/>
  <c r="AZ585" i="3"/>
  <c r="F9" i="34"/>
  <c r="J12" i="34"/>
  <c r="F12" i="35"/>
  <c r="S12" i="35"/>
  <c r="F25" i="37"/>
  <c r="J25" i="37"/>
  <c r="G570" i="3"/>
  <c r="G556" i="3"/>
  <c r="BL550" i="3"/>
  <c r="BA550" i="3"/>
  <c r="AZ550" i="3"/>
  <c r="E19" i="69"/>
  <c r="E19" i="85"/>
  <c r="G14" i="3"/>
  <c r="D3" i="35"/>
  <c r="D3" i="88"/>
  <c r="G400" i="3"/>
  <c r="BL400" i="3"/>
  <c r="BA403" i="3"/>
  <c r="BL403" i="3"/>
  <c r="AZ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BL442" i="3"/>
  <c r="AZ442" i="3"/>
  <c r="G444" i="3"/>
  <c r="BL444" i="3"/>
  <c r="BA445" i="3"/>
  <c r="AZ445" i="3"/>
  <c r="BA446" i="3"/>
  <c r="BL446" i="3"/>
  <c r="BA447" i="3"/>
  <c r="AZ447" i="3"/>
  <c r="G450" i="3"/>
  <c r="G454" i="3"/>
  <c r="G456" i="3"/>
  <c r="BL456" i="3"/>
  <c r="BA459" i="3"/>
  <c r="BL459" i="3"/>
  <c r="AZ459" i="3"/>
  <c r="BA460" i="3"/>
  <c r="AZ460" i="3"/>
  <c r="G465" i="3"/>
  <c r="G466" i="3"/>
  <c r="BL466" i="3"/>
  <c r="BA467" i="3"/>
  <c r="AZ467" i="3"/>
  <c r="G472" i="3"/>
  <c r="BL472" i="3"/>
  <c r="G475" i="3"/>
  <c r="BL475" i="3"/>
  <c r="AZ475" i="3"/>
  <c r="BA476" i="3"/>
  <c r="AZ476" i="3"/>
  <c r="BA477" i="3"/>
  <c r="BL477" i="3"/>
  <c r="AZ477" i="3"/>
  <c r="BA478" i="3"/>
  <c r="AZ478" i="3"/>
  <c r="G481" i="3"/>
  <c r="G483" i="3"/>
  <c r="BL483" i="3"/>
  <c r="BA484" i="3"/>
  <c r="AZ484" i="3"/>
  <c r="G487" i="3"/>
  <c r="G489" i="3"/>
  <c r="BL489" i="3"/>
  <c r="BL491" i="3"/>
  <c r="AZ491" i="3"/>
  <c r="BA492" i="3"/>
  <c r="AZ492" i="3"/>
  <c r="BL226" i="3"/>
  <c r="AZ226" i="3"/>
  <c r="M20" i="15"/>
  <c r="F34" i="78"/>
  <c r="F62" i="78"/>
  <c r="M20" i="78"/>
  <c r="C12" i="43"/>
  <c r="AZ400" i="3"/>
  <c r="AZ402" i="3"/>
  <c r="AZ406" i="3"/>
  <c r="AZ413" i="3"/>
  <c r="AZ419" i="3"/>
  <c r="AZ435" i="3"/>
  <c r="AZ451" i="3"/>
  <c r="AZ456" i="3"/>
  <c r="AZ458" i="3"/>
  <c r="AZ462" i="3"/>
  <c r="AZ469" i="3"/>
  <c r="AZ472" i="3"/>
  <c r="AZ483" i="3"/>
  <c r="G311" i="3"/>
  <c r="G315" i="3"/>
  <c r="BA317" i="3"/>
  <c r="AZ317" i="3"/>
  <c r="G327" i="3"/>
  <c r="G331" i="3"/>
  <c r="BA333" i="3"/>
  <c r="AZ333" i="3"/>
  <c r="G343" i="3"/>
  <c r="BA348" i="3"/>
  <c r="AZ348" i="3"/>
  <c r="BA349" i="3"/>
  <c r="AZ349" i="3"/>
  <c r="G351" i="3"/>
  <c r="BA354" i="3"/>
  <c r="AZ354" i="3"/>
  <c r="G364" i="3"/>
  <c r="BA366" i="3"/>
  <c r="AZ366" i="3"/>
  <c r="BL368" i="3"/>
  <c r="AZ368" i="3"/>
  <c r="G374" i="3"/>
  <c r="BL375" i="3"/>
  <c r="AZ375" i="3"/>
  <c r="G382" i="3"/>
  <c r="BL385" i="3"/>
  <c r="AZ385" i="3"/>
  <c r="G387" i="3"/>
  <c r="G392"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AZ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BA290" i="3"/>
  <c r="AZ290" i="3"/>
  <c r="BA291" i="3"/>
  <c r="AZ291" i="3"/>
  <c r="G294" i="3"/>
  <c r="BL294" i="3"/>
  <c r="BL296" i="3"/>
  <c r="AZ296" i="3"/>
  <c r="BA298" i="3"/>
  <c r="AZ298" i="3"/>
  <c r="BA299" i="3"/>
  <c r="AZ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BA153" i="3"/>
  <c r="AZ153" i="3"/>
  <c r="BA154" i="3"/>
  <c r="AZ154" i="3"/>
  <c r="BL155" i="3"/>
  <c r="AZ155" i="3"/>
  <c r="BL158" i="3"/>
  <c r="AZ158" i="3"/>
  <c r="BA160" i="3"/>
  <c r="AZ160" i="3"/>
  <c r="BL161" i="3"/>
  <c r="G164" i="3"/>
  <c r="BL52" i="3"/>
  <c r="AZ52" i="3"/>
  <c r="AZ278" i="3"/>
  <c r="AZ294" i="3"/>
  <c r="AZ302" i="3"/>
  <c r="AZ113" i="3"/>
  <c r="AZ129" i="3"/>
  <c r="AZ161" i="3"/>
  <c r="G166" i="3"/>
  <c r="G167" i="3"/>
  <c r="G170" i="3"/>
  <c r="G171" i="3"/>
  <c r="BL173" i="3"/>
  <c r="AZ173" i="3"/>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6" i="3"/>
  <c r="AZ206" i="3"/>
  <c r="BA207" i="3"/>
  <c r="AZ207" i="3"/>
  <c r="BA18" i="3"/>
  <c r="BL18" i="3"/>
  <c r="AZ18" i="3"/>
  <c r="BL20" i="3"/>
  <c r="AZ20" i="3"/>
  <c r="G23" i="3"/>
  <c r="BL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G55" i="3"/>
  <c r="G56" i="3"/>
  <c r="BL56" i="3"/>
  <c r="BA57" i="3"/>
  <c r="AZ57" i="3"/>
  <c r="BA58" i="3"/>
  <c r="AZ58" i="3"/>
  <c r="BA59" i="3"/>
  <c r="AZ59" i="3"/>
  <c r="BL61" i="3"/>
  <c r="AZ61" i="3"/>
  <c r="BA62" i="3"/>
  <c r="AZ62" i="3"/>
  <c r="BA63" i="3"/>
  <c r="AZ63" i="3"/>
  <c r="G66" i="3"/>
  <c r="G67" i="3"/>
  <c r="G68" i="3"/>
  <c r="BL68" i="3"/>
  <c r="AZ68" i="3"/>
  <c r="G71" i="3"/>
  <c r="G72" i="3"/>
  <c r="G73" i="3"/>
  <c r="BL73" i="3"/>
  <c r="AZ73" i="3"/>
  <c r="BL75" i="3"/>
  <c r="AZ75" i="3"/>
  <c r="BA76" i="3"/>
  <c r="AZ76" i="3"/>
  <c r="BA77" i="3"/>
  <c r="AZ77" i="3"/>
  <c r="BL79" i="3"/>
  <c r="AZ79" i="3"/>
  <c r="G82" i="3"/>
  <c r="G83" i="3"/>
  <c r="G84" i="3"/>
  <c r="G85" i="3"/>
  <c r="G86" i="3"/>
  <c r="G87"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G12" i="1"/>
  <c r="K100" i="43"/>
  <c r="W21" i="34"/>
  <c r="S21" i="37"/>
  <c r="W29" i="39"/>
  <c r="C29" i="39"/>
  <c r="B55" i="43"/>
  <c r="C41" i="71"/>
  <c r="C79" i="71"/>
  <c r="D79" i="71"/>
  <c r="C36" i="71"/>
  <c r="E20" i="71"/>
  <c r="E19" i="71"/>
  <c r="E18" i="71"/>
  <c r="E17" i="71"/>
  <c r="V21" i="71"/>
  <c r="E25" i="71"/>
  <c r="AA3" i="71"/>
  <c r="AA23" i="71"/>
  <c r="AA25" i="71"/>
  <c r="AA27" i="71"/>
  <c r="AA30" i="71"/>
  <c r="P74" i="67"/>
  <c r="AB23" i="71"/>
  <c r="AB22" i="71"/>
  <c r="X24" i="71"/>
  <c r="Y25" i="71"/>
  <c r="Z25" i="71"/>
  <c r="Y23" i="71"/>
  <c r="Z23" i="71"/>
  <c r="AB34" i="71"/>
  <c r="AA32" i="71"/>
  <c r="AB30" i="71"/>
  <c r="X29" i="71"/>
  <c r="AB26" i="71"/>
  <c r="X26" i="71"/>
  <c r="AB28" i="71"/>
  <c r="F32" i="71"/>
  <c r="F33" i="71"/>
  <c r="V33" i="71"/>
  <c r="X30" i="71"/>
  <c r="AB32" i="71"/>
  <c r="F36" i="71"/>
  <c r="F37" i="71"/>
  <c r="V37" i="71"/>
  <c r="AE10" i="43"/>
  <c r="AC27" i="35"/>
  <c r="D23" i="15"/>
  <c r="G22" i="85"/>
  <c r="W32" i="33"/>
  <c r="F101" i="33"/>
  <c r="G101" i="33" s="1"/>
  <c r="H101" i="33" s="1"/>
  <c r="I101" i="33" s="1"/>
  <c r="J101" i="33" s="1"/>
  <c r="K101" i="33" s="1"/>
  <c r="L101" i="33" s="1"/>
  <c r="M101" i="33" s="1"/>
  <c r="S17" i="33"/>
  <c r="W17" i="33"/>
  <c r="S28" i="33"/>
  <c r="U30" i="33"/>
  <c r="S41" i="33"/>
  <c r="S42" i="33"/>
  <c r="W21" i="33"/>
  <c r="U15" i="33"/>
  <c r="S15" i="33"/>
  <c r="U8" i="33"/>
  <c r="W9" i="33"/>
  <c r="S25" i="33"/>
  <c r="S11" i="33"/>
  <c r="G1" i="69"/>
  <c r="K1" i="12"/>
  <c r="N4" i="43"/>
  <c r="N10" i="43"/>
  <c r="M7" i="43"/>
  <c r="N12" i="43"/>
  <c r="M12" i="43"/>
  <c r="N3" i="43"/>
  <c r="N8" i="43"/>
  <c r="M11" i="43"/>
  <c r="K6" i="1"/>
  <c r="G1" i="85"/>
  <c r="G1" i="78"/>
  <c r="H5" i="3"/>
  <c r="F29" i="6"/>
  <c r="E29" i="6" s="1"/>
  <c r="BL15" i="3"/>
  <c r="BC5" i="3"/>
  <c r="T13" i="1"/>
  <c r="BA13" i="3"/>
  <c r="AP8" i="1"/>
  <c r="G8" i="1"/>
  <c r="I20" i="43"/>
  <c r="J51" i="78"/>
  <c r="J51" i="15"/>
  <c r="O6" i="1"/>
  <c r="O7" i="1"/>
  <c r="P7" i="1"/>
  <c r="G7" i="1"/>
  <c r="G6" i="1"/>
  <c r="M17" i="43"/>
  <c r="L17" i="43"/>
  <c r="C6" i="43"/>
  <c r="C5" i="43" s="1"/>
  <c r="F37" i="43"/>
  <c r="F34" i="43"/>
  <c r="F33" i="43"/>
  <c r="H17" i="43"/>
  <c r="J17" i="43"/>
  <c r="I17" i="43"/>
  <c r="D17" i="43"/>
  <c r="H73" i="43"/>
  <c r="G73" i="43" s="1"/>
  <c r="H78" i="43"/>
  <c r="G78" i="43" s="1"/>
  <c r="H72" i="43"/>
  <c r="G72" i="43" s="1"/>
  <c r="H76" i="43"/>
  <c r="G76" i="43" s="1"/>
  <c r="M76" i="43" s="1"/>
  <c r="N76" i="43" s="1"/>
  <c r="H77" i="43"/>
  <c r="G77" i="43" s="1"/>
  <c r="K77" i="43" s="1"/>
  <c r="D77" i="43" s="1"/>
  <c r="H70" i="43"/>
  <c r="G70" i="43" s="1"/>
  <c r="K70" i="43" s="1"/>
  <c r="J70" i="43" s="1"/>
  <c r="H74" i="43"/>
  <c r="G74" i="43" s="1"/>
  <c r="A2" i="9"/>
  <c r="A118" i="9"/>
  <c r="U35" i="35"/>
  <c r="S31" i="35"/>
  <c r="AC31" i="35"/>
  <c r="AA33" i="35"/>
  <c r="U36" i="35"/>
  <c r="F36" i="35"/>
  <c r="S36" i="35"/>
  <c r="H32" i="35"/>
  <c r="AB10" i="35"/>
  <c r="AC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W11" i="35"/>
  <c r="AB11" i="35"/>
  <c r="F26" i="35"/>
  <c r="J26" i="35"/>
  <c r="H26" i="35"/>
  <c r="K5" i="4"/>
  <c r="B47" i="48"/>
  <c r="F34" i="15"/>
  <c r="F62" i="15"/>
  <c r="F34" i="67"/>
  <c r="F62" i="67"/>
  <c r="B41" i="1"/>
  <c r="D93" i="9"/>
  <c r="C77" i="9"/>
  <c r="C74" i="9" s="1"/>
  <c r="C40" i="69"/>
  <c r="C21" i="69"/>
  <c r="E19" i="11"/>
  <c r="D22" i="67"/>
  <c r="E5" i="6"/>
  <c r="D9" i="69" s="1"/>
  <c r="C9" i="69" s="1"/>
  <c r="O8" i="1"/>
  <c r="P8" i="1"/>
  <c r="C13" i="12"/>
  <c r="H71" i="43"/>
  <c r="G71" i="43" s="1"/>
  <c r="M71" i="43" s="1"/>
  <c r="N71" i="43" s="1"/>
  <c r="H84" i="43"/>
  <c r="H82" i="43"/>
  <c r="H87" i="43"/>
  <c r="G13" i="1"/>
  <c r="C70" i="39"/>
  <c r="I14" i="74"/>
  <c r="B8" i="74"/>
  <c r="D127" i="9"/>
  <c r="D13" i="52"/>
  <c r="D12" i="52"/>
  <c r="L68" i="9"/>
  <c r="M68" i="9"/>
  <c r="L65" i="9"/>
  <c r="M65" i="9"/>
  <c r="L66" i="9"/>
  <c r="M66" i="9"/>
  <c r="L64" i="9"/>
  <c r="M64" i="9"/>
  <c r="L63" i="9"/>
  <c r="M63" i="9"/>
  <c r="M69" i="9"/>
  <c r="N69" i="9"/>
  <c r="L67" i="9"/>
  <c r="M67" i="9"/>
  <c r="O12" i="1"/>
  <c r="P12" i="1"/>
  <c r="E28" i="6"/>
  <c r="G3" i="43"/>
  <c r="AA11" i="43" s="1"/>
  <c r="AA13" i="43" s="1"/>
  <c r="D17" i="53"/>
  <c r="B36" i="72"/>
  <c r="D124" i="9"/>
  <c r="P6" i="1"/>
  <c r="AZ557" i="3"/>
  <c r="W9" i="34"/>
  <c r="S39" i="37"/>
  <c r="AA39" i="37"/>
  <c r="S12" i="34"/>
  <c r="AA12" i="34"/>
  <c r="U44" i="34"/>
  <c r="AB27" i="36"/>
  <c r="U12" i="39"/>
  <c r="AA27" i="40"/>
  <c r="AB27" i="40"/>
  <c r="H75" i="43"/>
  <c r="G75" i="43"/>
  <c r="AC11" i="39"/>
  <c r="AC34" i="35"/>
  <c r="W34" i="35"/>
  <c r="S38" i="40"/>
  <c r="AA38" i="40"/>
  <c r="H9" i="34"/>
  <c r="F34" i="35"/>
  <c r="H34" i="35"/>
  <c r="J36" i="35"/>
  <c r="AZ398" i="3"/>
  <c r="AZ405" i="3"/>
  <c r="AZ407" i="3"/>
  <c r="AZ410" i="3"/>
  <c r="AZ415" i="3"/>
  <c r="AZ461" i="3"/>
  <c r="AZ463" i="3"/>
  <c r="AZ468" i="3"/>
  <c r="AZ470" i="3"/>
  <c r="AZ479" i="3"/>
  <c r="AZ485" i="3"/>
  <c r="AZ230" i="3"/>
  <c r="AZ246" i="3"/>
  <c r="S34" i="21"/>
  <c r="S9" i="33"/>
  <c r="H12" i="21"/>
  <c r="J12" i="21"/>
  <c r="H38" i="40"/>
  <c r="J38" i="40"/>
  <c r="H39" i="40"/>
  <c r="AZ424" i="3"/>
  <c r="AZ429" i="3"/>
  <c r="AZ439" i="3"/>
  <c r="AZ444" i="3"/>
  <c r="AZ466" i="3"/>
  <c r="AZ489" i="3"/>
  <c r="AZ316" i="3"/>
  <c r="AZ211" i="3"/>
  <c r="AZ219" i="3"/>
  <c r="AZ236" i="3"/>
  <c r="AZ252" i="3"/>
  <c r="AZ267" i="3"/>
  <c r="AZ272" i="3"/>
  <c r="AZ284" i="3"/>
  <c r="AZ289" i="3"/>
  <c r="AZ292" i="3"/>
  <c r="AZ118" i="3"/>
  <c r="AZ121" i="3"/>
  <c r="AZ134" i="3"/>
  <c r="AZ137" i="3"/>
  <c r="AZ145" i="3"/>
  <c r="AZ177"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c r="C19" i="43" s="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27" i="12"/>
  <c r="F31" i="67"/>
  <c r="F31" i="15"/>
  <c r="D9" i="53"/>
  <c r="B25" i="72"/>
  <c r="B24" i="72"/>
  <c r="K120" i="9"/>
  <c r="Y13" i="71"/>
  <c r="Z13" i="71"/>
  <c r="Y12" i="71"/>
  <c r="AA13" i="71"/>
  <c r="AB3" i="71"/>
  <c r="X13" i="71"/>
  <c r="AB13" i="71"/>
  <c r="Z12" i="71"/>
  <c r="Y3" i="71"/>
  <c r="Z3" i="71"/>
  <c r="F13" i="71"/>
  <c r="F12" i="71"/>
  <c r="F11" i="71"/>
  <c r="F10" i="71"/>
  <c r="F9" i="71"/>
  <c r="F8" i="71"/>
  <c r="F7" i="71"/>
  <c r="F6" i="71"/>
  <c r="F5" i="71"/>
  <c r="AF3" i="71"/>
  <c r="P22" i="43"/>
  <c r="S27" i="33"/>
  <c r="W27" i="33"/>
  <c r="U25" i="33"/>
  <c r="AI11" i="43"/>
  <c r="AI13" i="43" s="1"/>
  <c r="F30" i="85"/>
  <c r="F32" i="78"/>
  <c r="F60" i="78"/>
  <c r="F28" i="78"/>
  <c r="C28" i="78"/>
  <c r="M18" i="78"/>
  <c r="C37" i="71"/>
  <c r="D36" i="71"/>
  <c r="T41" i="71"/>
  <c r="D41" i="71"/>
  <c r="AC25" i="37"/>
  <c r="W25" i="37"/>
  <c r="AA9" i="34"/>
  <c r="S9" i="34"/>
  <c r="B38" i="72"/>
  <c r="D20" i="53"/>
  <c r="B40" i="72"/>
  <c r="AA12" i="35"/>
  <c r="E24" i="71"/>
  <c r="E23" i="71"/>
  <c r="V25" i="71"/>
  <c r="E16" i="71"/>
  <c r="E15" i="71"/>
  <c r="E14" i="71"/>
  <c r="E13" i="71"/>
  <c r="V17" i="71"/>
  <c r="AZ446" i="3"/>
  <c r="AA25" i="37"/>
  <c r="S25" i="37"/>
  <c r="W12" i="34"/>
  <c r="AC12" i="34"/>
  <c r="S26" i="33"/>
  <c r="S30" i="33"/>
  <c r="U9" i="33"/>
  <c r="H52" i="43"/>
  <c r="G52" i="43" s="1"/>
  <c r="K52" i="43" s="1"/>
  <c r="J52" i="43" s="1"/>
  <c r="H49" i="43"/>
  <c r="G49" i="43" s="1"/>
  <c r="M49" i="43" s="1"/>
  <c r="H54" i="43"/>
  <c r="G54" i="43" s="1"/>
  <c r="K54" i="43" s="1"/>
  <c r="J54" i="43" s="1"/>
  <c r="K15" i="1"/>
  <c r="AZ15" i="3"/>
  <c r="D1" i="43"/>
  <c r="H38" i="43"/>
  <c r="K71" i="43"/>
  <c r="D71" i="43" s="1"/>
  <c r="K76" i="43"/>
  <c r="D76" i="43" s="1"/>
  <c r="M74" i="43"/>
  <c r="N74" i="43" s="1"/>
  <c r="K74" i="43"/>
  <c r="D74" i="43" s="1"/>
  <c r="M77" i="43"/>
  <c r="N77" i="43" s="1"/>
  <c r="M72" i="43"/>
  <c r="N72" i="43" s="1"/>
  <c r="K72" i="43"/>
  <c r="D72" i="43" s="1"/>
  <c r="G17" i="43"/>
  <c r="C16" i="43"/>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48" i="9"/>
  <c r="O52" i="9"/>
  <c r="F30" i="11"/>
  <c r="F31" i="12"/>
  <c r="C31" i="12"/>
  <c r="M18" i="67"/>
  <c r="F30" i="69"/>
  <c r="M18" i="15"/>
  <c r="D68" i="9"/>
  <c r="F53" i="9"/>
  <c r="F30" i="68"/>
  <c r="F28" i="67"/>
  <c r="C28" i="67"/>
  <c r="F52" i="9"/>
  <c r="F32" i="67"/>
  <c r="F60" i="67"/>
  <c r="F32" i="15"/>
  <c r="F60" i="15"/>
  <c r="F28" i="15"/>
  <c r="C28" i="15"/>
  <c r="F54" i="9"/>
  <c r="E68" i="39"/>
  <c r="C20" i="71"/>
  <c r="D21" i="71"/>
  <c r="U21" i="71"/>
  <c r="T21" i="71"/>
  <c r="AC38" i="40"/>
  <c r="W38" i="40"/>
  <c r="AC12" i="21"/>
  <c r="W12" i="21"/>
  <c r="AB34" i="35"/>
  <c r="U34" i="35"/>
  <c r="U9" i="34"/>
  <c r="AB9" i="34"/>
  <c r="D10" i="52"/>
  <c r="D125" i="9"/>
  <c r="D11" i="52"/>
  <c r="H14" i="74"/>
  <c r="B7" i="74"/>
  <c r="B20" i="71"/>
  <c r="B19" i="71"/>
  <c r="B18" i="71"/>
  <c r="B17" i="71"/>
  <c r="S21" i="71"/>
  <c r="Q64" i="71"/>
  <c r="F63" i="71"/>
  <c r="C53" i="71"/>
  <c r="D52" i="71"/>
  <c r="AB39" i="40"/>
  <c r="U39" i="40"/>
  <c r="U38" i="40"/>
  <c r="AB38" i="40"/>
  <c r="AB12" i="21"/>
  <c r="U12" i="21"/>
  <c r="AC36" i="35"/>
  <c r="W36" i="35"/>
  <c r="AA34" i="35"/>
  <c r="S34" i="35"/>
  <c r="K14" i="1"/>
  <c r="M14" i="1" s="1"/>
  <c r="F59" i="67"/>
  <c r="E58" i="21"/>
  <c r="M17" i="67"/>
  <c r="M17" i="15"/>
  <c r="F59" i="15"/>
  <c r="P24" i="43"/>
  <c r="B66" i="40" s="1"/>
  <c r="P21" i="43"/>
  <c r="P25" i="43"/>
  <c r="P23" i="43"/>
  <c r="B71" i="39" s="1"/>
  <c r="M28" i="43"/>
  <c r="G20" i="43"/>
  <c r="E41" i="43"/>
  <c r="C41" i="43"/>
  <c r="N28" i="43"/>
  <c r="O28" i="43"/>
  <c r="P28" i="43"/>
  <c r="C20" i="43"/>
  <c r="F48" i="85"/>
  <c r="C48" i="85"/>
  <c r="C30" i="85"/>
  <c r="E30" i="6"/>
  <c r="M54" i="43"/>
  <c r="N54" i="43" s="1"/>
  <c r="N49" i="43"/>
  <c r="E12" i="71"/>
  <c r="E11" i="71"/>
  <c r="E10" i="71"/>
  <c r="E9" i="71"/>
  <c r="V13" i="71"/>
  <c r="M19" i="43"/>
  <c r="T37" i="71"/>
  <c r="D37" i="71"/>
  <c r="E25" i="87"/>
  <c r="E16" i="87"/>
  <c r="J72" i="43"/>
  <c r="J74" i="43"/>
  <c r="J77" i="43"/>
  <c r="D70" i="43"/>
  <c r="E70" i="43" s="1"/>
  <c r="B68" i="43" s="1"/>
  <c r="F24" i="78"/>
  <c r="F22" i="85"/>
  <c r="D5" i="43"/>
  <c r="S29" i="35"/>
  <c r="AA29" i="35"/>
  <c r="AB29" i="35"/>
  <c r="U29" i="35"/>
  <c r="C30" i="11"/>
  <c r="C48" i="11"/>
  <c r="F48" i="68"/>
  <c r="C48" i="68"/>
  <c r="C30" i="68"/>
  <c r="C30" i="69"/>
  <c r="C48" i="69"/>
  <c r="F48" i="69"/>
  <c r="F68" i="39"/>
  <c r="E70" i="39"/>
  <c r="Q63" i="71"/>
  <c r="Q62" i="71"/>
  <c r="M18" i="9"/>
  <c r="B118" i="9" s="1"/>
  <c r="B1" i="74"/>
  <c r="C8" i="74" s="1"/>
  <c r="D53" i="71"/>
  <c r="T53" i="71"/>
  <c r="B16" i="71"/>
  <c r="B15" i="71"/>
  <c r="B14" i="71"/>
  <c r="B13" i="71"/>
  <c r="S17" i="71"/>
  <c r="C19" i="71"/>
  <c r="D20" i="71"/>
  <c r="F58" i="21"/>
  <c r="G48" i="35"/>
  <c r="H48" i="35" s="1"/>
  <c r="F25" i="12"/>
  <c r="F22" i="69"/>
  <c r="F41" i="69"/>
  <c r="F24" i="67"/>
  <c r="C24" i="67"/>
  <c r="F22" i="11"/>
  <c r="F22" i="68"/>
  <c r="F41" i="68" s="1"/>
  <c r="F24" i="15"/>
  <c r="C24" i="15"/>
  <c r="V9" i="71"/>
  <c r="E8" i="71"/>
  <c r="E7" i="71"/>
  <c r="E6" i="71"/>
  <c r="E5" i="71"/>
  <c r="D3" i="33"/>
  <c r="E7" i="70"/>
  <c r="C24" i="78"/>
  <c r="F41" i="85"/>
  <c r="C26" i="85"/>
  <c r="D22" i="85" s="1"/>
  <c r="C44" i="85"/>
  <c r="D41" i="85" s="1"/>
  <c r="F70" i="39"/>
  <c r="G68" i="39"/>
  <c r="H68" i="39" s="1"/>
  <c r="B2" i="74"/>
  <c r="O14" i="1"/>
  <c r="D19" i="71"/>
  <c r="C18" i="71"/>
  <c r="B12" i="71"/>
  <c r="B11" i="71"/>
  <c r="B10" i="71"/>
  <c r="B9" i="71"/>
  <c r="S13" i="71"/>
  <c r="C7" i="74"/>
  <c r="G58" i="21"/>
  <c r="C26" i="69"/>
  <c r="D22" i="69" s="1"/>
  <c r="C44" i="69"/>
  <c r="D41" i="69" s="1"/>
  <c r="C44" i="68"/>
  <c r="D41" i="68" s="1"/>
  <c r="C26" i="11"/>
  <c r="D22" i="11" s="1"/>
  <c r="G70" i="39"/>
  <c r="B8" i="71"/>
  <c r="B7" i="71"/>
  <c r="B6" i="71"/>
  <c r="B5" i="71"/>
  <c r="S9" i="71"/>
  <c r="P14" i="1"/>
  <c r="D8" i="74"/>
  <c r="D7" i="74"/>
  <c r="C17" i="71"/>
  <c r="D18" i="71"/>
  <c r="H58" i="21"/>
  <c r="C16" i="71"/>
  <c r="T17" i="71"/>
  <c r="D17" i="71"/>
  <c r="U17" i="71"/>
  <c r="I58" i="21"/>
  <c r="J58" i="21" s="1"/>
  <c r="C15" i="71"/>
  <c r="D16" i="71"/>
  <c r="C14" i="71"/>
  <c r="D15" i="71"/>
  <c r="D14" i="71"/>
  <c r="C13" i="71"/>
  <c r="C12" i="71"/>
  <c r="T13" i="71"/>
  <c r="D13" i="71"/>
  <c r="U13" i="71"/>
  <c r="D12" i="71"/>
  <c r="C11" i="71"/>
  <c r="D11" i="71"/>
  <c r="C10" i="71"/>
  <c r="D10" i="71"/>
  <c r="C9" i="71"/>
  <c r="C8" i="71"/>
  <c r="T9" i="71"/>
  <c r="D9" i="71"/>
  <c r="U9" i="71"/>
  <c r="D8" i="71"/>
  <c r="C7" i="71"/>
  <c r="C6" i="71"/>
  <c r="D7" i="71"/>
  <c r="C5" i="71"/>
  <c r="D6" i="71"/>
  <c r="D5" i="71"/>
  <c r="M20" i="43"/>
  <c r="D2" i="88"/>
  <c r="M27" i="67"/>
  <c r="D2" i="37"/>
  <c r="AO9" i="1"/>
  <c r="F36" i="67"/>
  <c r="E13" i="76"/>
  <c r="M6" i="15"/>
  <c r="L48" i="15"/>
  <c r="E11" i="76"/>
  <c r="D4" i="73"/>
  <c r="L48" i="78"/>
  <c r="C14" i="78"/>
  <c r="M26" i="67"/>
  <c r="M28" i="78"/>
  <c r="F35" i="78"/>
  <c r="F41" i="78"/>
  <c r="F7" i="15"/>
  <c r="F35" i="15"/>
  <c r="M9" i="67"/>
  <c r="M29" i="78"/>
  <c r="M9" i="15"/>
  <c r="J15" i="67"/>
  <c r="F20" i="31"/>
  <c r="D2" i="33"/>
  <c r="B12" i="76"/>
  <c r="M28" i="67"/>
  <c r="M26" i="15"/>
  <c r="B13" i="76"/>
  <c r="M22" i="67"/>
  <c r="D2" i="35"/>
  <c r="M26" i="78"/>
  <c r="F40" i="78"/>
  <c r="C76" i="67"/>
  <c r="F38" i="67"/>
  <c r="M29" i="15"/>
  <c r="E9" i="76"/>
  <c r="E7" i="76"/>
  <c r="B9" i="76"/>
  <c r="F40" i="15"/>
  <c r="M8" i="15"/>
  <c r="AO13" i="1"/>
  <c r="F26" i="15"/>
  <c r="M28" i="15"/>
  <c r="F6" i="73"/>
  <c r="F43" i="78"/>
  <c r="L47" i="78"/>
  <c r="M6" i="67"/>
  <c r="AO8" i="1"/>
  <c r="F26" i="78"/>
  <c r="D35" i="9"/>
  <c r="F13" i="78"/>
  <c r="F16" i="15"/>
  <c r="AO7" i="1"/>
  <c r="M22" i="78"/>
  <c r="D10" i="68"/>
  <c r="F7" i="78"/>
  <c r="B8" i="76"/>
  <c r="F6" i="67"/>
  <c r="F9" i="15"/>
  <c r="F16" i="67"/>
  <c r="F8" i="15"/>
  <c r="E2" i="85"/>
  <c r="F26" i="67"/>
  <c r="AO12" i="1"/>
  <c r="M9" i="78"/>
  <c r="D6" i="73"/>
  <c r="D2" i="34"/>
  <c r="E8" i="76"/>
  <c r="F8" i="67"/>
  <c r="J15" i="15"/>
  <c r="E2" i="68"/>
  <c r="M8" i="67"/>
  <c r="B7" i="76"/>
  <c r="F4" i="73"/>
  <c r="E2" i="69"/>
  <c r="AO10" i="1"/>
  <c r="M24" i="78"/>
  <c r="M6" i="78"/>
  <c r="L48" i="67"/>
  <c r="D3" i="73"/>
  <c r="M8" i="78"/>
  <c r="F3" i="73"/>
  <c r="M21" i="15"/>
  <c r="F16" i="78"/>
  <c r="M21" i="78"/>
  <c r="D7" i="73"/>
  <c r="C36" i="68"/>
  <c r="D9" i="85"/>
  <c r="M22" i="15"/>
  <c r="M24" i="67"/>
  <c r="E10" i="76"/>
  <c r="F42" i="67"/>
  <c r="B11" i="76"/>
  <c r="F41" i="67"/>
  <c r="D2" i="21"/>
  <c r="F13" i="15"/>
  <c r="F27" i="85"/>
  <c r="M23" i="78"/>
  <c r="D9" i="68"/>
  <c r="F9" i="78"/>
  <c r="F27" i="68"/>
  <c r="AO6" i="1"/>
  <c r="E12" i="76"/>
  <c r="M27" i="15"/>
  <c r="F37" i="15"/>
  <c r="L47" i="15"/>
  <c r="M24" i="15"/>
  <c r="L47" i="67"/>
  <c r="F38" i="15"/>
  <c r="F40" i="67"/>
  <c r="M27" i="78"/>
  <c r="F38" i="78"/>
  <c r="F8" i="78"/>
  <c r="F7" i="73"/>
  <c r="F37" i="78"/>
  <c r="F41" i="15"/>
  <c r="C76" i="15"/>
  <c r="F9" i="67"/>
  <c r="C76" i="78"/>
  <c r="F13" i="67"/>
  <c r="F42" i="78"/>
  <c r="C14" i="15"/>
  <c r="M23" i="67"/>
  <c r="F37" i="67"/>
  <c r="D34" i="9"/>
  <c r="M23" i="15"/>
  <c r="AO11" i="1"/>
  <c r="D2" i="36"/>
  <c r="B10" i="76"/>
  <c r="F5" i="73"/>
  <c r="F43" i="15"/>
  <c r="F36" i="78"/>
  <c r="F6" i="78"/>
  <c r="F42" i="15"/>
  <c r="F36" i="15"/>
  <c r="F6" i="15"/>
  <c r="C36" i="85"/>
  <c r="D5" i="73"/>
  <c r="J15" i="78"/>
  <c r="U39" i="33" l="1"/>
  <c r="S39" i="33"/>
  <c r="U37" i="33"/>
  <c r="W26" i="33"/>
  <c r="S44" i="33"/>
  <c r="AA44" i="33"/>
  <c r="AA46" i="33"/>
  <c r="S46" i="33"/>
  <c r="S45" i="33"/>
  <c r="S40" i="33"/>
  <c r="J46" i="33"/>
  <c r="J44" i="33"/>
  <c r="H46" i="33"/>
  <c r="H44" i="33"/>
  <c r="S33" i="33"/>
  <c r="U33" i="33"/>
  <c r="W8" i="88"/>
  <c r="S8" i="33"/>
  <c r="F101" i="88"/>
  <c r="G101" i="88" s="1"/>
  <c r="H101" i="88" s="1"/>
  <c r="I101" i="88" s="1"/>
  <c r="J101" i="88" s="1"/>
  <c r="K101" i="88" s="1"/>
  <c r="L101" i="88" s="1"/>
  <c r="M101" i="88" s="1"/>
  <c r="AA32" i="88"/>
  <c r="S32" i="88"/>
  <c r="H32" i="88"/>
  <c r="U8" i="88"/>
  <c r="S8" i="88"/>
  <c r="AB32" i="33"/>
  <c r="U32" i="33"/>
  <c r="AA32" i="33"/>
  <c r="S32" i="33"/>
  <c r="E13" i="6"/>
  <c r="E58" i="40" s="1"/>
  <c r="K103" i="94"/>
  <c r="L103" i="94" s="1"/>
  <c r="K149" i="94"/>
  <c r="L149" i="94" s="1"/>
  <c r="S5" i="43"/>
  <c r="AA33" i="88"/>
  <c r="S33" i="88"/>
  <c r="C11" i="87"/>
  <c r="C8" i="87"/>
  <c r="H33" i="88"/>
  <c r="AB33" i="88" s="1"/>
  <c r="R26" i="31"/>
  <c r="S26" i="31" s="1"/>
  <c r="R40" i="31"/>
  <c r="S40" i="31" s="1"/>
  <c r="R36" i="31"/>
  <c r="S36" i="31" s="1"/>
  <c r="R32" i="31"/>
  <c r="S32" i="31" s="1"/>
  <c r="R41" i="31"/>
  <c r="S41" i="31" s="1"/>
  <c r="R39" i="31"/>
  <c r="S39" i="31" s="1"/>
  <c r="R37" i="31"/>
  <c r="S37" i="31" s="1"/>
  <c r="R35" i="31"/>
  <c r="S35" i="31" s="1"/>
  <c r="R33" i="31"/>
  <c r="S33" i="31" s="1"/>
  <c r="R31" i="31"/>
  <c r="S31" i="31" s="1"/>
  <c r="R29" i="31"/>
  <c r="S29" i="31" s="1"/>
  <c r="R27" i="31"/>
  <c r="S27" i="31" s="1"/>
  <c r="K21" i="94"/>
  <c r="L21" i="94" s="1"/>
  <c r="K40" i="94"/>
  <c r="L40" i="94" s="1"/>
  <c r="K48" i="94"/>
  <c r="L48" i="94" s="1"/>
  <c r="K86" i="94"/>
  <c r="L86" i="94" s="1"/>
  <c r="K111" i="94"/>
  <c r="L111" i="94" s="1"/>
  <c r="K140" i="94"/>
  <c r="L140" i="94" s="1"/>
  <c r="C26" i="68"/>
  <c r="D22" i="68" s="1"/>
  <c r="C26" i="12"/>
  <c r="D25" i="12" s="1"/>
  <c r="F34" i="85"/>
  <c r="F11" i="12"/>
  <c r="C23" i="12" s="1"/>
  <c r="C23" i="11"/>
  <c r="C44" i="11"/>
  <c r="D41" i="11" s="1"/>
  <c r="G41" i="68"/>
  <c r="G41" i="11"/>
  <c r="G41" i="85"/>
  <c r="G41" i="69"/>
  <c r="F34" i="68"/>
  <c r="G26" i="12"/>
  <c r="D24" i="78"/>
  <c r="S2" i="43"/>
  <c r="AQ13" i="1"/>
  <c r="C36" i="69"/>
  <c r="O16" i="1"/>
  <c r="T10" i="1"/>
  <c r="AR10" i="1"/>
  <c r="AR12" i="1"/>
  <c r="T12" i="1"/>
  <c r="S6" i="43"/>
  <c r="S7" i="43"/>
  <c r="P16" i="1"/>
  <c r="C11" i="12" s="1"/>
  <c r="C12" i="12" s="1"/>
  <c r="S4" i="43"/>
  <c r="S3" i="43"/>
  <c r="C23" i="43"/>
  <c r="C21" i="43" s="1"/>
  <c r="AE11" i="43"/>
  <c r="AE13" i="43" s="1"/>
  <c r="L27" i="6"/>
  <c r="AB11" i="43"/>
  <c r="AB13" i="43" s="1"/>
  <c r="G22" i="43"/>
  <c r="E101" i="43"/>
  <c r="E105" i="43" s="1"/>
  <c r="J22" i="43"/>
  <c r="L101" i="43"/>
  <c r="L107" i="43" s="1"/>
  <c r="AR9" i="1"/>
  <c r="AQ9" i="1"/>
  <c r="AQ11" i="1"/>
  <c r="AR11" i="1"/>
  <c r="E21" i="6"/>
  <c r="K8" i="1" s="1"/>
  <c r="G27" i="6"/>
  <c r="G31" i="6" s="1"/>
  <c r="G5" i="3"/>
  <c r="B3" i="3" s="1"/>
  <c r="A3" i="3" s="1"/>
  <c r="I4" i="6" s="1"/>
  <c r="E10" i="6"/>
  <c r="C12" i="87"/>
  <c r="L102" i="43"/>
  <c r="BA5" i="3"/>
  <c r="AZ13" i="3"/>
  <c r="AZ5" i="3" s="1"/>
  <c r="M6" i="1"/>
  <c r="E63" i="39"/>
  <c r="F27" i="6"/>
  <c r="E51" i="40"/>
  <c r="F30" i="6"/>
  <c r="F31" i="6" s="1"/>
  <c r="BL5" i="3"/>
  <c r="J101" i="43"/>
  <c r="AJ11" i="43"/>
  <c r="AJ13" i="43" s="1"/>
  <c r="F101" i="43"/>
  <c r="F107" i="43" s="1"/>
  <c r="Z7" i="43"/>
  <c r="AH11" i="43"/>
  <c r="AH13" i="43" s="1"/>
  <c r="B113" i="43"/>
  <c r="D117" i="43" s="1"/>
  <c r="E117" i="43" s="1"/>
  <c r="F117" i="43" s="1"/>
  <c r="G117" i="43" s="1"/>
  <c r="H117" i="43" s="1"/>
  <c r="N104" i="46"/>
  <c r="AF11" i="43"/>
  <c r="AF13" i="43" s="1"/>
  <c r="E22" i="43"/>
  <c r="E104" i="43"/>
  <c r="K101" i="43"/>
  <c r="K106" i="43" s="1"/>
  <c r="AC11" i="43"/>
  <c r="AC13" i="43" s="1"/>
  <c r="D101" i="43"/>
  <c r="D107" i="43" s="1"/>
  <c r="F22" i="43"/>
  <c r="Z11" i="43"/>
  <c r="Z13" i="43" s="1"/>
  <c r="H101" i="43"/>
  <c r="H106" i="43" s="1"/>
  <c r="C101" i="43"/>
  <c r="N101" i="43"/>
  <c r="AG11" i="43"/>
  <c r="AG13" i="43" s="1"/>
  <c r="I101" i="43"/>
  <c r="H22" i="43"/>
  <c r="Y11" i="43"/>
  <c r="Y13" i="43" s="1"/>
  <c r="AD11" i="43"/>
  <c r="AD13" i="43" s="1"/>
  <c r="M101" i="43"/>
  <c r="M105" i="43" s="1"/>
  <c r="G101" i="43"/>
  <c r="G103" i="43" s="1"/>
  <c r="D9" i="11"/>
  <c r="C9" i="11" s="1"/>
  <c r="D19" i="12"/>
  <c r="C19" i="12" s="1"/>
  <c r="E12" i="6"/>
  <c r="E14" i="6"/>
  <c r="E11" i="6"/>
  <c r="E15" i="6"/>
  <c r="K105" i="43"/>
  <c r="F109" i="43"/>
  <c r="I115" i="43"/>
  <c r="J115" i="43" s="1"/>
  <c r="K115" i="43" s="1"/>
  <c r="L115" i="43" s="1"/>
  <c r="M115" i="43" s="1"/>
  <c r="D52" i="43"/>
  <c r="J71" i="43"/>
  <c r="J76" i="43"/>
  <c r="M52" i="43"/>
  <c r="N52" i="43" s="1"/>
  <c r="K49" i="43"/>
  <c r="M70" i="43"/>
  <c r="N70" i="43" s="1"/>
  <c r="H48" i="43"/>
  <c r="G48" i="43" s="1"/>
  <c r="H51" i="43"/>
  <c r="G51" i="43" s="1"/>
  <c r="H55" i="43"/>
  <c r="G55" i="43" s="1"/>
  <c r="H86" i="43"/>
  <c r="H85" i="43"/>
  <c r="H88" i="43"/>
  <c r="H81" i="43"/>
  <c r="H60" i="43"/>
  <c r="M75" i="43"/>
  <c r="N75" i="43" s="1"/>
  <c r="K75" i="43"/>
  <c r="J75" i="43" s="1"/>
  <c r="D75" i="43" s="1"/>
  <c r="K73" i="43"/>
  <c r="J73" i="43" s="1"/>
  <c r="M73" i="43"/>
  <c r="N73" i="43" s="1"/>
  <c r="H50" i="43"/>
  <c r="G50" i="43" s="1"/>
  <c r="H56" i="43"/>
  <c r="G56" i="43" s="1"/>
  <c r="H62" i="43"/>
  <c r="H65" i="43"/>
  <c r="H63" i="43"/>
  <c r="H59" i="43"/>
  <c r="H61" i="43"/>
  <c r="M53" i="43"/>
  <c r="N53" i="43" s="1"/>
  <c r="K53" i="43"/>
  <c r="M78" i="43"/>
  <c r="N78" i="43" s="1"/>
  <c r="K78" i="43"/>
  <c r="J78" i="43" s="1"/>
  <c r="M3" i="43"/>
  <c r="M9" i="43"/>
  <c r="M4" i="43"/>
  <c r="M10" i="43"/>
  <c r="N9" i="43"/>
  <c r="M6" i="43"/>
  <c r="M8" i="43"/>
  <c r="N11" i="43"/>
  <c r="M1" i="43"/>
  <c r="I48" i="35"/>
  <c r="K58" i="21"/>
  <c r="L58" i="21" s="1"/>
  <c r="M58" i="21" s="1"/>
  <c r="N58" i="21" s="1"/>
  <c r="O58" i="21" s="1"/>
  <c r="J7" i="21"/>
  <c r="H70" i="39"/>
  <c r="I68" i="39"/>
  <c r="E52" i="37"/>
  <c r="E46" i="36"/>
  <c r="F46" i="36" s="1"/>
  <c r="G46" i="36" s="1"/>
  <c r="H46" i="36" s="1"/>
  <c r="I46" i="36" s="1"/>
  <c r="J46" i="36" s="1"/>
  <c r="K46" i="36" s="1"/>
  <c r="L46" i="36" s="1"/>
  <c r="M46" i="36" s="1"/>
  <c r="N46" i="36" s="1"/>
  <c r="O46" i="36" s="1"/>
  <c r="E59" i="34"/>
  <c r="C58" i="88"/>
  <c r="D58" i="88" s="1"/>
  <c r="E58" i="88" s="1"/>
  <c r="F58" i="88" s="1"/>
  <c r="G58" i="88" s="1"/>
  <c r="H58" i="88" s="1"/>
  <c r="I58" i="88" s="1"/>
  <c r="J58" i="88" s="1"/>
  <c r="K58" i="88" s="1"/>
  <c r="L58" i="88" s="1"/>
  <c r="M58" i="88" s="1"/>
  <c r="N58" i="88" s="1"/>
  <c r="O58" i="88" s="1"/>
  <c r="E7" i="88"/>
  <c r="F7" i="88" s="1"/>
  <c r="G7" i="88"/>
  <c r="H7" i="88" s="1"/>
  <c r="I7" i="88"/>
  <c r="J7" i="88" s="1"/>
  <c r="F7" i="21"/>
  <c r="D63" i="40"/>
  <c r="C65" i="40"/>
  <c r="C7" i="33"/>
  <c r="B7" i="70"/>
  <c r="B6" i="70"/>
  <c r="F63" i="15"/>
  <c r="C62" i="15" s="1"/>
  <c r="C34" i="15"/>
  <c r="C9" i="85"/>
  <c r="Q71" i="78"/>
  <c r="F50" i="78"/>
  <c r="M7" i="78"/>
  <c r="J6" i="78" s="1"/>
  <c r="M7" i="15"/>
  <c r="J6" i="15" s="1"/>
  <c r="F50" i="15"/>
  <c r="C6" i="15"/>
  <c r="J20" i="15"/>
  <c r="C15" i="15"/>
  <c r="C19" i="15"/>
  <c r="C18" i="15"/>
  <c r="C47" i="68"/>
  <c r="D45" i="68" s="1"/>
  <c r="C29" i="68"/>
  <c r="D27" i="68" s="1"/>
  <c r="F45" i="68"/>
  <c r="F69" i="78"/>
  <c r="Q71" i="15"/>
  <c r="K1" i="73"/>
  <c r="F66" i="67"/>
  <c r="F64" i="15"/>
  <c r="F63" i="78"/>
  <c r="C62" i="78" s="1"/>
  <c r="C34" i="78"/>
  <c r="C10" i="68"/>
  <c r="F69" i="15"/>
  <c r="C27" i="78"/>
  <c r="F65" i="78"/>
  <c r="B8" i="70"/>
  <c r="Q71" i="67"/>
  <c r="J57" i="67"/>
  <c r="J55" i="67" s="1"/>
  <c r="J58" i="67" s="1"/>
  <c r="Q50" i="67" s="1"/>
  <c r="L56" i="67"/>
  <c r="J53" i="67"/>
  <c r="I54" i="67"/>
  <c r="J20" i="78"/>
  <c r="C15" i="78"/>
  <c r="C19" i="78"/>
  <c r="C18" i="78"/>
  <c r="C9" i="68"/>
  <c r="D19" i="68"/>
  <c r="F51" i="78"/>
  <c r="F68" i="78"/>
  <c r="L58" i="78"/>
  <c r="N59" i="78"/>
  <c r="M59" i="78"/>
  <c r="L59" i="78"/>
  <c r="C6" i="78"/>
  <c r="J57" i="78"/>
  <c r="J55" i="78" s="1"/>
  <c r="J58" i="78" s="1"/>
  <c r="Q50" i="78" s="1"/>
  <c r="J53" i="78"/>
  <c r="I54" i="78"/>
  <c r="J59" i="78"/>
  <c r="L56" i="78"/>
  <c r="J60" i="78"/>
  <c r="Q48" i="78" s="1"/>
  <c r="L60" i="78"/>
  <c r="L57" i="78"/>
  <c r="L46" i="78"/>
  <c r="F66" i="78"/>
  <c r="F71" i="78"/>
  <c r="F64" i="78"/>
  <c r="C29" i="85"/>
  <c r="D27" i="85" s="1"/>
  <c r="F45" i="85"/>
  <c r="C47" i="85"/>
  <c r="D45" i="85" s="1"/>
  <c r="B10" i="70"/>
  <c r="F71" i="15"/>
  <c r="F68" i="67"/>
  <c r="B12" i="70"/>
  <c r="L56" i="15"/>
  <c r="J53" i="15"/>
  <c r="J59" i="15"/>
  <c r="I54" i="15"/>
  <c r="J60" i="15"/>
  <c r="Q48" i="15" s="1"/>
  <c r="L57" i="15"/>
  <c r="L46" i="15"/>
  <c r="J57" i="15"/>
  <c r="J55" i="15" s="1"/>
  <c r="J58" i="15" s="1"/>
  <c r="Q50" i="15" s="1"/>
  <c r="L60" i="15"/>
  <c r="F66" i="15"/>
  <c r="C27" i="67"/>
  <c r="I1" i="73"/>
  <c r="B39" i="1" s="1"/>
  <c r="C27" i="15"/>
  <c r="F69" i="67"/>
  <c r="N59" i="67"/>
  <c r="L58" i="67"/>
  <c r="M59" i="67"/>
  <c r="L59" i="67"/>
  <c r="B13" i="70"/>
  <c r="F51" i="15"/>
  <c r="B11" i="70"/>
  <c r="F64" i="67"/>
  <c r="F70" i="67"/>
  <c r="N59" i="15"/>
  <c r="M59" i="15"/>
  <c r="L59" i="15"/>
  <c r="L58" i="15"/>
  <c r="F68" i="15"/>
  <c r="B9" i="70"/>
  <c r="F65" i="15"/>
  <c r="F51" i="67"/>
  <c r="F65" i="67"/>
  <c r="F15" i="49"/>
  <c r="H15" i="49" s="1"/>
  <c r="B5" i="49"/>
  <c r="B7" i="49"/>
  <c r="D7" i="49" s="1"/>
  <c r="B9" i="49"/>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34" i="68"/>
  <c r="C17" i="15"/>
  <c r="G1" i="73"/>
  <c r="C16" i="78"/>
  <c r="C16" i="15"/>
  <c r="C17" i="78"/>
  <c r="AB44" i="33" l="1"/>
  <c r="U44" i="33"/>
  <c r="AC44" i="33"/>
  <c r="W44" i="33"/>
  <c r="U46" i="33"/>
  <c r="AB46" i="33"/>
  <c r="W46" i="33"/>
  <c r="AC46" i="33"/>
  <c r="U32" i="88"/>
  <c r="AB32" i="88"/>
  <c r="D103" i="43"/>
  <c r="D105" i="43"/>
  <c r="E102" i="43"/>
  <c r="L109" i="43"/>
  <c r="E106" i="43"/>
  <c r="L105" i="43"/>
  <c r="U33" i="88"/>
  <c r="C10" i="87"/>
  <c r="C9" i="87"/>
  <c r="S22" i="31"/>
  <c r="R22" i="31" s="1"/>
  <c r="I116" i="43"/>
  <c r="J116" i="43" s="1"/>
  <c r="K116" i="43" s="1"/>
  <c r="L116" i="43" s="1"/>
  <c r="M116" i="43" s="1"/>
  <c r="I118" i="43"/>
  <c r="J118" i="43" s="1"/>
  <c r="K118" i="43" s="1"/>
  <c r="L118" i="43" s="1"/>
  <c r="M118" i="43" s="1"/>
  <c r="B116" i="43"/>
  <c r="C116" i="43" s="1"/>
  <c r="C35" i="68"/>
  <c r="C33" i="68"/>
  <c r="C42" i="68" s="1"/>
  <c r="C41" i="68" s="1"/>
  <c r="C38" i="68"/>
  <c r="G106" i="43"/>
  <c r="K103" i="43"/>
  <c r="K107" i="43"/>
  <c r="D109" i="43"/>
  <c r="G109" i="43"/>
  <c r="D22" i="43"/>
  <c r="M8" i="1"/>
  <c r="C15" i="12"/>
  <c r="B117" i="43"/>
  <c r="C117" i="43" s="1"/>
  <c r="I117" i="43"/>
  <c r="J117" i="43" s="1"/>
  <c r="K117" i="43" s="1"/>
  <c r="L117" i="43" s="1"/>
  <c r="M117" i="43" s="1"/>
  <c r="D115" i="43"/>
  <c r="E115" i="43" s="1"/>
  <c r="F115" i="43" s="1"/>
  <c r="G115" i="43" s="1"/>
  <c r="H115" i="43" s="1"/>
  <c r="D102" i="43"/>
  <c r="K102" i="43"/>
  <c r="D106" i="43"/>
  <c r="D104" i="43"/>
  <c r="G105" i="43"/>
  <c r="G104" i="43"/>
  <c r="E103" i="43"/>
  <c r="L104" i="43"/>
  <c r="L103" i="43"/>
  <c r="L106" i="43"/>
  <c r="M107" i="43"/>
  <c r="H102" i="43"/>
  <c r="C49" i="15"/>
  <c r="E237" i="3"/>
  <c r="E261" i="3"/>
  <c r="E304" i="3"/>
  <c r="E528" i="3"/>
  <c r="E565" i="3"/>
  <c r="E183" i="3"/>
  <c r="E213" i="3"/>
  <c r="E361" i="3"/>
  <c r="E503" i="3"/>
  <c r="E302" i="3"/>
  <c r="E388" i="3"/>
  <c r="O6" i="3"/>
  <c r="E555" i="3"/>
  <c r="E574" i="3"/>
  <c r="E410" i="3"/>
  <c r="E359" i="3"/>
  <c r="E337" i="3"/>
  <c r="E285" i="3"/>
  <c r="E143" i="3"/>
  <c r="E97" i="3"/>
  <c r="E397" i="3"/>
  <c r="E314" i="3"/>
  <c r="E568" i="3"/>
  <c r="E511" i="3"/>
  <c r="I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63" i="3"/>
  <c r="E81" i="3"/>
  <c r="E118" i="3"/>
  <c r="E264" i="3"/>
  <c r="E283"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9" i="3"/>
  <c r="E154" i="3"/>
  <c r="E179" i="3"/>
  <c r="E222" i="3"/>
  <c r="E323" i="3"/>
  <c r="E373" i="3"/>
  <c r="E82" i="3"/>
  <c r="E125" i="3"/>
  <c r="E366" i="3"/>
  <c r="E553" i="3"/>
  <c r="E282" i="3"/>
  <c r="N6"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3" i="3"/>
  <c r="E319" i="3"/>
  <c r="E501" i="3"/>
  <c r="E153" i="3"/>
  <c r="E426" i="3"/>
  <c r="E328" i="3"/>
  <c r="E539" i="3"/>
  <c r="E567" i="3"/>
  <c r="E461" i="3"/>
  <c r="E227" i="3"/>
  <c r="E165" i="3"/>
  <c r="E311" i="3"/>
  <c r="E514" i="3"/>
  <c r="E570" i="3"/>
  <c r="M6" i="3"/>
  <c r="AB6" i="3"/>
  <c r="E387" i="3"/>
  <c r="E335" i="3"/>
  <c r="E215" i="3"/>
  <c r="E189" i="3"/>
  <c r="E134" i="3"/>
  <c r="E91" i="3"/>
  <c r="E180" i="3"/>
  <c r="E77" i="3"/>
  <c r="E25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557" i="3"/>
  <c r="E513" i="3"/>
  <c r="E217" i="3"/>
  <c r="E268" i="3"/>
  <c r="AJ6" i="3"/>
  <c r="X6" i="3"/>
  <c r="E246" i="3"/>
  <c r="E390" i="3"/>
  <c r="E523" i="3"/>
  <c r="E418" i="3"/>
  <c r="E321" i="3"/>
  <c r="E169" i="3"/>
  <c r="E290" i="3"/>
  <c r="E252" i="3"/>
  <c r="E164" i="3"/>
  <c r="E519" i="3"/>
  <c r="E573" i="3"/>
  <c r="E458" i="3"/>
  <c r="E527" i="3"/>
  <c r="E457" i="3"/>
  <c r="E562" i="3"/>
  <c r="E571" i="3"/>
  <c r="E450" i="3"/>
  <c r="E433" i="3"/>
  <c r="E72" i="3"/>
  <c r="E111" i="3"/>
  <c r="E150" i="3"/>
  <c r="E279" i="3"/>
  <c r="E351" i="3"/>
  <c r="E318" i="3"/>
  <c r="E31" i="3"/>
  <c r="E75" i="3"/>
  <c r="E455" i="3"/>
  <c r="E170" i="3"/>
  <c r="E219" i="3"/>
  <c r="E392" i="3"/>
  <c r="E112" i="3"/>
  <c r="E340" i="3"/>
  <c r="E62" i="3"/>
  <c r="E365" i="3"/>
  <c r="E175" i="3"/>
  <c r="E343" i="3"/>
  <c r="E508" i="3"/>
  <c r="E545" i="3"/>
  <c r="E352" i="3"/>
  <c r="E128" i="3"/>
  <c r="E559" i="3"/>
  <c r="V6" i="3"/>
  <c r="E320" i="3"/>
  <c r="E230" i="3"/>
  <c r="E254" i="3"/>
  <c r="E149" i="3"/>
  <c r="E167" i="3"/>
  <c r="E393" i="3"/>
  <c r="E564" i="3"/>
  <c r="E427" i="3"/>
  <c r="E507" i="3"/>
  <c r="E440" i="3"/>
  <c r="E376" i="3"/>
  <c r="J6" i="3"/>
  <c r="E419" i="3"/>
  <c r="E401" i="3"/>
  <c r="E40" i="3"/>
  <c r="E108" i="3"/>
  <c r="E119" i="3"/>
  <c r="E242" i="3"/>
  <c r="E276" i="3"/>
  <c r="E333" i="3"/>
  <c r="L6" i="3"/>
  <c r="E43" i="3"/>
  <c r="E412" i="3"/>
  <c r="E129" i="3"/>
  <c r="E275" i="3"/>
  <c r="E342" i="3"/>
  <c r="E34" i="3"/>
  <c r="E251" i="3"/>
  <c r="E80" i="3"/>
  <c r="E308" i="3"/>
  <c r="E309" i="3"/>
  <c r="E21" i="3"/>
  <c r="E526" i="3"/>
  <c r="E322" i="3"/>
  <c r="E583" i="3"/>
  <c r="E336" i="3"/>
  <c r="E293" i="3"/>
  <c r="S6" i="3"/>
  <c r="E506" i="3"/>
  <c r="E338" i="3"/>
  <c r="E298" i="3"/>
  <c r="E61" i="3"/>
  <c r="E117" i="3"/>
  <c r="E204" i="3"/>
  <c r="E313" i="3"/>
  <c r="E532" i="3"/>
  <c r="E529" i="3"/>
  <c r="E474" i="3"/>
  <c r="E438" i="3"/>
  <c r="E288" i="3"/>
  <c r="W6" i="3"/>
  <c r="E537" i="3"/>
  <c r="E471" i="3"/>
  <c r="E475" i="3"/>
  <c r="E54" i="3"/>
  <c r="E168" i="3"/>
  <c r="E208" i="3"/>
  <c r="E257" i="3"/>
  <c r="E357" i="3"/>
  <c r="E14" i="3"/>
  <c r="E93" i="3"/>
  <c r="E473" i="3"/>
  <c r="E38" i="3"/>
  <c r="E194" i="3"/>
  <c r="E339" i="3"/>
  <c r="E52" i="3"/>
  <c r="E147" i="3"/>
  <c r="E50" i="3"/>
  <c r="E218" i="3"/>
  <c r="E101" i="3"/>
  <c r="E530" i="3"/>
  <c r="E305" i="3"/>
  <c r="E329" i="3"/>
  <c r="E510" i="3"/>
  <c r="E205" i="3"/>
  <c r="E358" i="3"/>
  <c r="E551" i="3"/>
  <c r="E407" i="3"/>
  <c r="E294" i="3"/>
  <c r="E130" i="3"/>
  <c r="E221" i="3"/>
  <c r="E212" i="3"/>
  <c r="E141" i="3"/>
  <c r="E493" i="3"/>
  <c r="E543" i="3"/>
  <c r="E486" i="3"/>
  <c r="E422" i="3"/>
  <c r="E490" i="3"/>
  <c r="AH6" i="3"/>
  <c r="E498" i="3"/>
  <c r="E483" i="3"/>
  <c r="E463" i="3"/>
  <c r="E25" i="3"/>
  <c r="E178" i="3"/>
  <c r="E202" i="3"/>
  <c r="E226" i="3"/>
  <c r="E346" i="3"/>
  <c r="E372" i="3"/>
  <c r="E60" i="3"/>
  <c r="E428" i="3"/>
  <c r="E96" i="3"/>
  <c r="E174" i="3"/>
  <c r="E324" i="3"/>
  <c r="E35" i="3"/>
  <c r="E206" i="3"/>
  <c r="AF6" i="3"/>
  <c r="E158" i="3"/>
  <c r="E22" i="3"/>
  <c r="K7" i="1"/>
  <c r="E16" i="3"/>
  <c r="E107" i="43"/>
  <c r="E109" i="43"/>
  <c r="E17" i="3"/>
  <c r="C49" i="78"/>
  <c r="AY6" i="3"/>
  <c r="E3" i="6"/>
  <c r="E27" i="6"/>
  <c r="E65" i="39"/>
  <c r="E60" i="40"/>
  <c r="E59" i="40"/>
  <c r="E64" i="39"/>
  <c r="M102" i="43"/>
  <c r="M109" i="43"/>
  <c r="I103" i="43"/>
  <c r="I109" i="43"/>
  <c r="I102" i="43"/>
  <c r="I105" i="43"/>
  <c r="I106" i="43"/>
  <c r="I104" i="43"/>
  <c r="I107" i="43"/>
  <c r="N103" i="43"/>
  <c r="N107" i="43"/>
  <c r="N104" i="43"/>
  <c r="N102" i="43"/>
  <c r="N105" i="43"/>
  <c r="N106" i="43"/>
  <c r="N109" i="43"/>
  <c r="H109" i="43"/>
  <c r="H103" i="43"/>
  <c r="F104" i="43"/>
  <c r="F102" i="43"/>
  <c r="F103" i="43"/>
  <c r="J103" i="43"/>
  <c r="J104" i="43"/>
  <c r="J107" i="43"/>
  <c r="J109" i="43"/>
  <c r="J106" i="43"/>
  <c r="J102" i="43"/>
  <c r="J105" i="43"/>
  <c r="F105" i="43"/>
  <c r="F106" i="43"/>
  <c r="H105" i="43"/>
  <c r="M106" i="43"/>
  <c r="H104" i="43"/>
  <c r="H107" i="43"/>
  <c r="M103" i="43"/>
  <c r="M104" i="43"/>
  <c r="E16" i="6"/>
  <c r="E61" i="39"/>
  <c r="E56" i="40"/>
  <c r="E62" i="39"/>
  <c r="E57" i="40"/>
  <c r="G107" i="43"/>
  <c r="G102" i="43"/>
  <c r="C105" i="43"/>
  <c r="C107" i="43"/>
  <c r="C106" i="43"/>
  <c r="C104" i="43"/>
  <c r="C109" i="43"/>
  <c r="C103" i="43"/>
  <c r="C102" i="43"/>
  <c r="K104" i="43"/>
  <c r="K109" i="43"/>
  <c r="D118" i="43"/>
  <c r="E118" i="43" s="1"/>
  <c r="F118" i="43" s="1"/>
  <c r="D116" i="43"/>
  <c r="E116" i="43" s="1"/>
  <c r="F116" i="43" s="1"/>
  <c r="G116" i="43" s="1"/>
  <c r="H116" i="43" s="1"/>
  <c r="B118" i="43"/>
  <c r="C118" i="43" s="1"/>
  <c r="B115" i="43"/>
  <c r="C115" i="43" s="1"/>
  <c r="G118" i="43"/>
  <c r="H118" i="43" s="1"/>
  <c r="M51" i="43"/>
  <c r="N51" i="43" s="1"/>
  <c r="K51" i="43"/>
  <c r="J51" i="43" s="1"/>
  <c r="M55" i="43"/>
  <c r="N55" i="43" s="1"/>
  <c r="K55" i="43"/>
  <c r="J55" i="43" s="1"/>
  <c r="D55" i="43" s="1"/>
  <c r="M48" i="43"/>
  <c r="N48" i="43" s="1"/>
  <c r="K48" i="43"/>
  <c r="J48" i="43" s="1"/>
  <c r="J49" i="43"/>
  <c r="D49" i="43"/>
  <c r="M56" i="43"/>
  <c r="N56" i="43" s="1"/>
  <c r="K56" i="43"/>
  <c r="J56" i="43" s="1"/>
  <c r="J53" i="43"/>
  <c r="D53" i="43"/>
  <c r="M50" i="43"/>
  <c r="N50" i="43" s="1"/>
  <c r="K50" i="43"/>
  <c r="C58" i="33"/>
  <c r="D58" i="33" s="1"/>
  <c r="E58" i="33" s="1"/>
  <c r="F58" i="33" s="1"/>
  <c r="G58" i="33" s="1"/>
  <c r="H58" i="33" s="1"/>
  <c r="I58" i="33" s="1"/>
  <c r="J58" i="33" s="1"/>
  <c r="K58" i="33" s="1"/>
  <c r="L58" i="33" s="1"/>
  <c r="M58" i="33" s="1"/>
  <c r="N58" i="33" s="1"/>
  <c r="O58" i="33" s="1"/>
  <c r="G7" i="33"/>
  <c r="E7" i="33"/>
  <c r="F7" i="33" s="1"/>
  <c r="I7" i="33"/>
  <c r="J7" i="33" s="1"/>
  <c r="D65" i="40"/>
  <c r="E63" i="40"/>
  <c r="S7" i="21"/>
  <c r="AA7" i="21"/>
  <c r="R48" i="21" s="1"/>
  <c r="W7" i="88"/>
  <c r="AC7" i="88"/>
  <c r="V48" i="88" s="1"/>
  <c r="I48" i="88" s="1"/>
  <c r="AA7" i="88"/>
  <c r="R48" i="88" s="1"/>
  <c r="S7" i="88"/>
  <c r="F7" i="36"/>
  <c r="F52" i="37"/>
  <c r="G52" i="37" s="1"/>
  <c r="H52" i="37" s="1"/>
  <c r="I52" i="37" s="1"/>
  <c r="J52" i="37" s="1"/>
  <c r="K52" i="37" s="1"/>
  <c r="L52" i="37" s="1"/>
  <c r="M52" i="37" s="1"/>
  <c r="N52" i="37" s="1"/>
  <c r="O52" i="37" s="1"/>
  <c r="F7" i="37"/>
  <c r="AC7" i="21"/>
  <c r="V48" i="21" s="1"/>
  <c r="I48" i="21" s="1"/>
  <c r="W7" i="21"/>
  <c r="AB7" i="88"/>
  <c r="T48" i="88" s="1"/>
  <c r="G48" i="88" s="1"/>
  <c r="U7" i="88"/>
  <c r="F59" i="34"/>
  <c r="J7" i="36"/>
  <c r="H7" i="36"/>
  <c r="J68" i="39"/>
  <c r="I70" i="39"/>
  <c r="J48" i="35"/>
  <c r="H7" i="21"/>
  <c r="J18" i="15"/>
  <c r="J18" i="78"/>
  <c r="C4" i="4"/>
  <c r="D9" i="49"/>
  <c r="D5" i="49"/>
  <c r="E4" i="4"/>
  <c r="B5" i="62" s="1"/>
  <c r="B73" i="72" s="1"/>
  <c r="Q61" i="15"/>
  <c r="Q74" i="15"/>
  <c r="M11" i="78"/>
  <c r="J10" i="78" s="1"/>
  <c r="J5" i="78" s="1"/>
  <c r="F11" i="15"/>
  <c r="C53" i="15" s="1"/>
  <c r="F11" i="67"/>
  <c r="F11" i="78"/>
  <c r="C53" i="78" s="1"/>
  <c r="M11" i="67"/>
  <c r="J10" i="67" s="1"/>
  <c r="M11" i="15"/>
  <c r="J10" i="15" s="1"/>
  <c r="J5" i="15" s="1"/>
  <c r="Q57" i="15"/>
  <c r="Q66" i="15"/>
  <c r="Q52" i="78"/>
  <c r="F1" i="78"/>
  <c r="C32" i="78"/>
  <c r="Q60" i="78"/>
  <c r="Q73" i="78"/>
  <c r="C19" i="68"/>
  <c r="D37" i="68"/>
  <c r="C37" i="68" s="1"/>
  <c r="C20" i="78"/>
  <c r="C26" i="78" s="1"/>
  <c r="Q52" i="67"/>
  <c r="F1" i="67"/>
  <c r="B2" i="70"/>
  <c r="Q73" i="15"/>
  <c r="Q60" i="15"/>
  <c r="Q74" i="67"/>
  <c r="Q61" i="67"/>
  <c r="Q60" i="67"/>
  <c r="Q73" i="67"/>
  <c r="Q52" i="15"/>
  <c r="F1" i="15"/>
  <c r="Q66" i="78"/>
  <c r="Q57" i="78"/>
  <c r="Q61" i="78"/>
  <c r="Q74" i="78"/>
  <c r="C20" i="15"/>
  <c r="C26" i="15" s="1"/>
  <c r="C32" i="15"/>
  <c r="F43" i="67"/>
  <c r="M29" i="67"/>
  <c r="F7" i="67"/>
  <c r="C13" i="87" l="1"/>
  <c r="C14" i="87" s="1"/>
  <c r="C20" i="87" s="1"/>
  <c r="C19" i="87" s="1"/>
  <c r="C39" i="68"/>
  <c r="C43" i="68" s="1"/>
  <c r="B20" i="31"/>
  <c r="B21" i="31" s="1"/>
  <c r="C48" i="78"/>
  <c r="C60" i="78" s="1"/>
  <c r="C48" i="15"/>
  <c r="C60" i="15" s="1"/>
  <c r="F71" i="67"/>
  <c r="F50" i="67"/>
  <c r="C49" i="67" s="1"/>
  <c r="M7" i="67"/>
  <c r="J6" i="67" s="1"/>
  <c r="J18" i="67" s="1"/>
  <c r="C6" i="67"/>
  <c r="C32" i="67" s="1"/>
  <c r="AC6" i="3"/>
  <c r="H6" i="3"/>
  <c r="H16" i="1"/>
  <c r="M7" i="1"/>
  <c r="M16" i="1" s="1"/>
  <c r="C34" i="11" s="1"/>
  <c r="C34" i="69"/>
  <c r="Q16" i="1"/>
  <c r="K16" i="1"/>
  <c r="G16" i="1"/>
  <c r="K26" i="6"/>
  <c r="M26" i="6" s="1"/>
  <c r="I26" i="6" s="1"/>
  <c r="S26" i="6" s="1"/>
  <c r="E31" i="6"/>
  <c r="K25" i="6"/>
  <c r="M25" i="6" s="1"/>
  <c r="I25" i="6" s="1"/>
  <c r="S25" i="6" s="1"/>
  <c r="K19" i="6"/>
  <c r="K23" i="6"/>
  <c r="M23" i="6" s="1"/>
  <c r="I23" i="6" s="1"/>
  <c r="S23" i="6" s="1"/>
  <c r="K21" i="6"/>
  <c r="M21" i="6" s="1"/>
  <c r="I21" i="6" s="1"/>
  <c r="S21" i="6" s="1"/>
  <c r="K24" i="6"/>
  <c r="M24" i="6" s="1"/>
  <c r="I24" i="6" s="1"/>
  <c r="S24" i="6" s="1"/>
  <c r="K22" i="6"/>
  <c r="M22" i="6" s="1"/>
  <c r="I22" i="6" s="1"/>
  <c r="S22" i="6" s="1"/>
  <c r="K20" i="6"/>
  <c r="AY103" i="3"/>
  <c r="AY50" i="3"/>
  <c r="AY160" i="3"/>
  <c r="AY289" i="3"/>
  <c r="AY183" i="3"/>
  <c r="AY261" i="3"/>
  <c r="AY284" i="3"/>
  <c r="AY209" i="3"/>
  <c r="AY319" i="3"/>
  <c r="AY455" i="3"/>
  <c r="AY497" i="3"/>
  <c r="AY116" i="3"/>
  <c r="AY212"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96" i="3"/>
  <c r="AY74" i="3"/>
  <c r="AY204" i="3"/>
  <c r="AY363" i="3"/>
  <c r="AY412" i="3"/>
  <c r="AY229"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67" i="3"/>
  <c r="AY139" i="3"/>
  <c r="AY123" i="3"/>
  <c r="AY252" i="3"/>
  <c r="AY489" i="3"/>
  <c r="AY43" i="3"/>
  <c r="AY379" i="3"/>
  <c r="AY481" i="3"/>
  <c r="AY404" i="3"/>
  <c r="AY562" i="3"/>
  <c r="BO6" i="3"/>
  <c r="AY89" i="3"/>
  <c r="AY36" i="3"/>
  <c r="AY146" i="3"/>
  <c r="AY302" i="3"/>
  <c r="AY222" i="3"/>
  <c r="BS6" i="3"/>
  <c r="AY40" i="3"/>
  <c r="AY279" i="3"/>
  <c r="AY356"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3" i="3"/>
  <c r="AY182" i="3"/>
  <c r="AY126" i="3"/>
  <c r="AY239" i="3"/>
  <c r="AY389" i="3"/>
  <c r="AY93" i="3"/>
  <c r="AY150" i="3"/>
  <c r="AY226" i="3"/>
  <c r="AY340"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57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23"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82" i="3"/>
  <c r="AY191" i="3"/>
  <c r="AY132" i="3"/>
  <c r="AY31" i="3"/>
  <c r="AY292" i="3"/>
  <c r="AY147" i="3"/>
  <c r="AY220" i="3"/>
  <c r="AY350" i="3"/>
  <c r="AY486" i="3"/>
  <c r="AY425" i="3"/>
  <c r="AY199" i="3"/>
  <c r="AY244" i="3"/>
  <c r="AY355" i="3"/>
  <c r="E66" i="39"/>
  <c r="D19" i="11"/>
  <c r="C19" i="11" s="1"/>
  <c r="C17" i="4"/>
  <c r="B4" i="52" s="1"/>
  <c r="B43" i="72" s="1"/>
  <c r="E6" i="6"/>
  <c r="D3" i="34"/>
  <c r="D37" i="11"/>
  <c r="C37" i="11" s="1"/>
  <c r="D3" i="37"/>
  <c r="D14" i="12"/>
  <c r="D3" i="21"/>
  <c r="D113" i="43"/>
  <c r="D50" i="43"/>
  <c r="E48" i="43" s="1"/>
  <c r="B46" i="43" s="1"/>
  <c r="C24" i="43" s="1"/>
  <c r="J50" i="43"/>
  <c r="K48" i="35"/>
  <c r="K68" i="39"/>
  <c r="J70" i="39"/>
  <c r="AA7" i="37"/>
  <c r="R42" i="37" s="1"/>
  <c r="S7" i="37"/>
  <c r="I52" i="88"/>
  <c r="J52" i="88" s="1"/>
  <c r="E48" i="21"/>
  <c r="R49" i="21"/>
  <c r="E65" i="40"/>
  <c r="F63" i="40"/>
  <c r="AC7" i="33"/>
  <c r="V48" i="33" s="1"/>
  <c r="I48" i="33" s="1"/>
  <c r="W7" i="33"/>
  <c r="H7" i="33"/>
  <c r="AB7" i="36"/>
  <c r="T36" i="36" s="1"/>
  <c r="G36" i="36" s="1"/>
  <c r="U7" i="36"/>
  <c r="I52" i="21"/>
  <c r="J52" i="21" s="1"/>
  <c r="I53" i="21"/>
  <c r="J53" i="21" s="1"/>
  <c r="U7" i="21"/>
  <c r="AB7" i="21"/>
  <c r="T48" i="21" s="1"/>
  <c r="G48" i="21" s="1"/>
  <c r="H7" i="37"/>
  <c r="AC7" i="36"/>
  <c r="V36" i="36" s="1"/>
  <c r="I36" i="36" s="1"/>
  <c r="W7" i="36"/>
  <c r="G59" i="34"/>
  <c r="G53" i="88"/>
  <c r="H53" i="88" s="1"/>
  <c r="G52" i="88"/>
  <c r="H52" i="88" s="1"/>
  <c r="J7" i="37"/>
  <c r="AA7" i="36"/>
  <c r="R36" i="36" s="1"/>
  <c r="S7" i="36"/>
  <c r="R49" i="88"/>
  <c r="E48" i="88"/>
  <c r="AA7" i="33"/>
  <c r="R48" i="33" s="1"/>
  <c r="S7" i="33"/>
  <c r="C10" i="15"/>
  <c r="C5" i="15" s="1"/>
  <c r="C38" i="15" s="1"/>
  <c r="J24" i="15"/>
  <c r="J26" i="15"/>
  <c r="J29" i="15" s="1"/>
  <c r="J26" i="78"/>
  <c r="J29" i="78" s="1"/>
  <c r="J24" i="78"/>
  <c r="C23" i="15"/>
  <c r="C29" i="15" s="1"/>
  <c r="C23" i="78"/>
  <c r="C29" i="78" s="1"/>
  <c r="C10" i="78"/>
  <c r="C5" i="78" s="1"/>
  <c r="C53" i="67"/>
  <c r="C10" i="67"/>
  <c r="K4" i="4"/>
  <c r="B46" i="48" s="1"/>
  <c r="B4" i="72" s="1"/>
  <c r="B4" i="62"/>
  <c r="B71" i="72" s="1"/>
  <c r="C24" i="68"/>
  <c r="C16" i="67"/>
  <c r="C17" i="87" l="1"/>
  <c r="C16" i="87" s="1"/>
  <c r="C66" i="78"/>
  <c r="J5" i="67"/>
  <c r="J24" i="67" s="1"/>
  <c r="C46" i="68"/>
  <c r="C45" i="68" s="1"/>
  <c r="C49" i="68" s="1"/>
  <c r="N16" i="1"/>
  <c r="F50" i="85" s="1"/>
  <c r="L16" i="1"/>
  <c r="E6" i="3"/>
  <c r="C5" i="67"/>
  <c r="C38" i="67" s="1"/>
  <c r="C66" i="15"/>
  <c r="C48" i="67"/>
  <c r="C66" i="67" s="1"/>
  <c r="F10" i="40"/>
  <c r="H10" i="39"/>
  <c r="J10" i="39"/>
  <c r="F10" i="39"/>
  <c r="J10" i="40"/>
  <c r="H10" i="40"/>
  <c r="F28" i="12"/>
  <c r="C29" i="12" s="1"/>
  <c r="D28" i="12" s="1"/>
  <c r="F27" i="11"/>
  <c r="F27" i="69"/>
  <c r="C23" i="87"/>
  <c r="C38" i="69"/>
  <c r="C35" i="69"/>
  <c r="C35" i="11"/>
  <c r="C38" i="11"/>
  <c r="S6" i="1"/>
  <c r="M19" i="6"/>
  <c r="K27" i="6"/>
  <c r="D17" i="12"/>
  <c r="C17" i="12" s="1"/>
  <c r="C14" i="12"/>
  <c r="C16" i="12" s="1"/>
  <c r="D10" i="11"/>
  <c r="C10" i="11" s="1"/>
  <c r="D10" i="69"/>
  <c r="D20" i="12"/>
  <c r="C20" i="12" s="1"/>
  <c r="C18" i="12" s="1"/>
  <c r="C20" i="11"/>
  <c r="C25" i="11" s="1"/>
  <c r="C24" i="11"/>
  <c r="C28" i="11"/>
  <c r="C27" i="11" s="1"/>
  <c r="F50" i="68"/>
  <c r="F50" i="69"/>
  <c r="D23" i="6"/>
  <c r="D6" i="6"/>
  <c r="D22" i="6"/>
  <c r="D10" i="6"/>
  <c r="D25" i="6"/>
  <c r="D5" i="6"/>
  <c r="D26" i="6"/>
  <c r="D12" i="6"/>
  <c r="E61" i="40"/>
  <c r="D21" i="6"/>
  <c r="D9" i="6"/>
  <c r="D24" i="6"/>
  <c r="D28" i="6"/>
  <c r="C18" i="4"/>
  <c r="D19" i="6"/>
  <c r="D8" i="6"/>
  <c r="D13" i="6"/>
  <c r="H26" i="6"/>
  <c r="D20" i="6"/>
  <c r="D29" i="6"/>
  <c r="D15" i="6"/>
  <c r="D11" i="6"/>
  <c r="H23" i="6"/>
  <c r="R23" i="6" s="1"/>
  <c r="H22" i="6"/>
  <c r="H24" i="6"/>
  <c r="H25" i="6"/>
  <c r="D14" i="6"/>
  <c r="H21" i="6"/>
  <c r="R21" i="6" s="1"/>
  <c r="S8" i="1"/>
  <c r="M20" i="6"/>
  <c r="I20" i="6" s="1"/>
  <c r="S7" i="1"/>
  <c r="T4" i="43"/>
  <c r="V4" i="43" s="1"/>
  <c r="T5" i="43"/>
  <c r="V5" i="43" s="1"/>
  <c r="T2" i="43"/>
  <c r="V2" i="43" s="1"/>
  <c r="C36" i="43"/>
  <c r="T16" i="43"/>
  <c r="V16" i="43" s="1"/>
  <c r="T8" i="43"/>
  <c r="V8" i="43" s="1"/>
  <c r="T7" i="43"/>
  <c r="V7" i="43" s="1"/>
  <c r="T6" i="43"/>
  <c r="V6" i="43" s="1"/>
  <c r="T15" i="43"/>
  <c r="V15" i="43" s="1"/>
  <c r="C29" i="43"/>
  <c r="T10" i="43"/>
  <c r="V10" i="43" s="1"/>
  <c r="T12" i="43"/>
  <c r="V12" i="43" s="1"/>
  <c r="T3" i="43"/>
  <c r="V3" i="43" s="1"/>
  <c r="C35" i="43"/>
  <c r="C34" i="43"/>
  <c r="C38" i="43"/>
  <c r="C33" i="43"/>
  <c r="T13" i="43"/>
  <c r="V13" i="43" s="1"/>
  <c r="T11" i="43"/>
  <c r="V11" i="43" s="1"/>
  <c r="T14" i="43"/>
  <c r="V14" i="43" s="1"/>
  <c r="T9" i="43"/>
  <c r="V9" i="43" s="1"/>
  <c r="C37" i="43"/>
  <c r="C39" i="43"/>
  <c r="E48" i="33"/>
  <c r="I53" i="33" s="1"/>
  <c r="J53" i="33" s="1"/>
  <c r="C48" i="88"/>
  <c r="C3" i="87" s="1"/>
  <c r="C49" i="88"/>
  <c r="E36" i="36"/>
  <c r="R37" i="36"/>
  <c r="E52" i="88"/>
  <c r="F52" i="88" s="1"/>
  <c r="E53" i="88"/>
  <c r="F53" i="88" s="1"/>
  <c r="AC7" i="37"/>
  <c r="V42" i="37" s="1"/>
  <c r="I42" i="37" s="1"/>
  <c r="W7" i="37"/>
  <c r="AB7" i="37"/>
  <c r="T42" i="37" s="1"/>
  <c r="G42" i="37" s="1"/>
  <c r="U7" i="37"/>
  <c r="G52" i="21"/>
  <c r="H52" i="21" s="1"/>
  <c r="G53" i="21"/>
  <c r="H53" i="21" s="1"/>
  <c r="F65" i="40"/>
  <c r="G63" i="40"/>
  <c r="C48" i="21"/>
  <c r="C49" i="21"/>
  <c r="B2" i="21" s="1"/>
  <c r="B3" i="21" s="1"/>
  <c r="I53" i="88"/>
  <c r="J53" i="88" s="1"/>
  <c r="H59" i="34"/>
  <c r="I40" i="36"/>
  <c r="J40" i="36" s="1"/>
  <c r="I41" i="36"/>
  <c r="J41" i="36" s="1"/>
  <c r="G40" i="36"/>
  <c r="H40" i="36" s="1"/>
  <c r="G41" i="36"/>
  <c r="H41" i="36" s="1"/>
  <c r="AB7" i="33"/>
  <c r="T48" i="33" s="1"/>
  <c r="G48" i="33" s="1"/>
  <c r="U7" i="33"/>
  <c r="I52" i="33"/>
  <c r="J52" i="33" s="1"/>
  <c r="E52" i="21"/>
  <c r="F52" i="21" s="1"/>
  <c r="E53" i="21"/>
  <c r="F53" i="21" s="1"/>
  <c r="E42" i="37"/>
  <c r="R43" i="37"/>
  <c r="K70" i="39"/>
  <c r="L68" i="39"/>
  <c r="L48" i="35"/>
  <c r="J14" i="15"/>
  <c r="C13" i="15"/>
  <c r="C57" i="15"/>
  <c r="Q49" i="15"/>
  <c r="C36" i="15"/>
  <c r="J19" i="15"/>
  <c r="J17" i="15" s="1"/>
  <c r="C33" i="15"/>
  <c r="C31" i="15" s="1"/>
  <c r="C38" i="78"/>
  <c r="J19" i="78"/>
  <c r="J17" i="78" s="1"/>
  <c r="C33" i="78"/>
  <c r="C31" i="78" s="1"/>
  <c r="C36" i="78"/>
  <c r="C57" i="78"/>
  <c r="C13" i="78"/>
  <c r="J14" i="78"/>
  <c r="Q49" i="78"/>
  <c r="C17" i="67"/>
  <c r="C14" i="67"/>
  <c r="D10" i="85"/>
  <c r="C51" i="68" l="1"/>
  <c r="J26" i="67"/>
  <c r="J29" i="67" s="1"/>
  <c r="F50" i="11"/>
  <c r="C60" i="67"/>
  <c r="C33" i="11"/>
  <c r="C42" i="11" s="1"/>
  <c r="C18" i="67"/>
  <c r="C15" i="67"/>
  <c r="C21" i="12"/>
  <c r="C22" i="12" s="1"/>
  <c r="D30" i="6"/>
  <c r="R24" i="6"/>
  <c r="R26" i="6"/>
  <c r="C29" i="11"/>
  <c r="D27" i="11" s="1"/>
  <c r="C47" i="11"/>
  <c r="D45" i="11" s="1"/>
  <c r="AB10" i="40"/>
  <c r="U10" i="40"/>
  <c r="S10" i="39"/>
  <c r="AA10" i="39"/>
  <c r="AB10" i="39"/>
  <c r="U10" i="39"/>
  <c r="C7" i="87"/>
  <c r="C28" i="87" s="1"/>
  <c r="C27" i="87"/>
  <c r="C47" i="69"/>
  <c r="D45" i="69" s="1"/>
  <c r="F45" i="69"/>
  <c r="C29" i="69"/>
  <c r="D27" i="69" s="1"/>
  <c r="W10" i="40"/>
  <c r="AC10" i="40"/>
  <c r="W10" i="39"/>
  <c r="AC10" i="39"/>
  <c r="AA10" i="40"/>
  <c r="S10" i="40"/>
  <c r="C10" i="85"/>
  <c r="D19" i="85"/>
  <c r="AR7" i="1"/>
  <c r="T7" i="1"/>
  <c r="AQ7" i="1"/>
  <c r="AQ8" i="1"/>
  <c r="AR8" i="1"/>
  <c r="T8" i="1"/>
  <c r="D27" i="6"/>
  <c r="D31" i="6" s="1"/>
  <c r="M19" i="9"/>
  <c r="C118" i="9" s="1"/>
  <c r="C10" i="69"/>
  <c r="C8" i="69" s="1"/>
  <c r="C5" i="69" s="1"/>
  <c r="D19" i="69"/>
  <c r="T6" i="1"/>
  <c r="AR6" i="1"/>
  <c r="E6" i="70"/>
  <c r="E2" i="70" s="1"/>
  <c r="B3" i="70" s="1"/>
  <c r="AQ6" i="1"/>
  <c r="S16" i="1"/>
  <c r="S20" i="6"/>
  <c r="H20" i="6"/>
  <c r="R20" i="6" s="1"/>
  <c r="R25" i="6"/>
  <c r="R22" i="6"/>
  <c r="D16" i="6"/>
  <c r="A7" i="51"/>
  <c r="B7" i="72" s="1"/>
  <c r="A10" i="51"/>
  <c r="B9" i="72" s="1"/>
  <c r="C4" i="52"/>
  <c r="B45" i="72" s="1"/>
  <c r="C22" i="11"/>
  <c r="C31" i="11" s="1"/>
  <c r="I19" i="6"/>
  <c r="M27" i="6"/>
  <c r="C39" i="11"/>
  <c r="C46" i="11" s="1"/>
  <c r="C45" i="11" s="1"/>
  <c r="R49" i="33"/>
  <c r="C48" i="33" s="1"/>
  <c r="D36" i="87" s="1"/>
  <c r="G39" i="43"/>
  <c r="I39" i="43" s="1"/>
  <c r="E39" i="43"/>
  <c r="G33" i="43"/>
  <c r="I33" i="43" s="1"/>
  <c r="E33" i="43"/>
  <c r="E34" i="43"/>
  <c r="G34" i="43"/>
  <c r="I34" i="43" s="1"/>
  <c r="G37" i="43"/>
  <c r="I37" i="43" s="1"/>
  <c r="E37" i="43"/>
  <c r="E38" i="43"/>
  <c r="C6" i="68" s="1"/>
  <c r="C7" i="68" s="1"/>
  <c r="C5" i="68" s="1"/>
  <c r="G38" i="43"/>
  <c r="I38" i="43" s="1"/>
  <c r="E35" i="43"/>
  <c r="G35" i="43"/>
  <c r="I35" i="43" s="1"/>
  <c r="E29" i="43"/>
  <c r="C6" i="85" s="1"/>
  <c r="C30" i="43"/>
  <c r="E30" i="43" s="1"/>
  <c r="G36" i="43"/>
  <c r="I36" i="43" s="1"/>
  <c r="E36" i="43"/>
  <c r="J7" i="35"/>
  <c r="E47" i="37"/>
  <c r="F47" i="37" s="1"/>
  <c r="E46" i="37"/>
  <c r="F46" i="37" s="1"/>
  <c r="G46" i="37"/>
  <c r="H46" i="37" s="1"/>
  <c r="G47" i="37"/>
  <c r="H47" i="37" s="1"/>
  <c r="I47" i="37"/>
  <c r="J47" i="37" s="1"/>
  <c r="I46" i="37"/>
  <c r="J46" i="37" s="1"/>
  <c r="E40" i="36"/>
  <c r="F40" i="36" s="1"/>
  <c r="E41" i="36"/>
  <c r="F41" i="36" s="1"/>
  <c r="C4" i="87"/>
  <c r="L70" i="39"/>
  <c r="M68" i="39"/>
  <c r="C43" i="37"/>
  <c r="B2" i="37" s="1"/>
  <c r="B3" i="37" s="1"/>
  <c r="C42" i="37"/>
  <c r="G52" i="33"/>
  <c r="H52" i="33" s="1"/>
  <c r="G53" i="33"/>
  <c r="H53" i="33" s="1"/>
  <c r="I59" i="34"/>
  <c r="G65" i="40"/>
  <c r="H63" i="40"/>
  <c r="C36" i="36"/>
  <c r="C37" i="36"/>
  <c r="B2" i="36" s="1"/>
  <c r="B3" i="36" s="1"/>
  <c r="B3" i="88"/>
  <c r="B2" i="88"/>
  <c r="E53" i="33"/>
  <c r="F53" i="33" s="1"/>
  <c r="E52" i="33"/>
  <c r="F52" i="33" s="1"/>
  <c r="M48" i="35"/>
  <c r="N48" i="35" s="1"/>
  <c r="O48" i="35" s="1"/>
  <c r="F7" i="35"/>
  <c r="H7" i="35"/>
  <c r="Q70" i="78"/>
  <c r="C37" i="78"/>
  <c r="C30" i="78" s="1"/>
  <c r="C39" i="78" s="1"/>
  <c r="C56" i="78"/>
  <c r="C65" i="78" s="1"/>
  <c r="C75" i="78"/>
  <c r="C61" i="15"/>
  <c r="C59" i="15" s="1"/>
  <c r="C64" i="15"/>
  <c r="J13" i="15"/>
  <c r="J23" i="15" s="1"/>
  <c r="J22" i="15"/>
  <c r="J13" i="78"/>
  <c r="J23" i="78" s="1"/>
  <c r="J22" i="78"/>
  <c r="C64" i="78"/>
  <c r="C61" i="78"/>
  <c r="C59" i="78" s="1"/>
  <c r="C75" i="15"/>
  <c r="Q70" i="15"/>
  <c r="C56" i="15"/>
  <c r="C65" i="15" s="1"/>
  <c r="C37" i="15"/>
  <c r="C30" i="15" s="1"/>
  <c r="C39" i="15" s="1"/>
  <c r="C34" i="85"/>
  <c r="C19" i="67" l="1"/>
  <c r="C20" i="67" s="1"/>
  <c r="C26" i="67" s="1"/>
  <c r="C27" i="12"/>
  <c r="C25" i="12" s="1"/>
  <c r="C30" i="12"/>
  <c r="C28" i="12" s="1"/>
  <c r="C49" i="33"/>
  <c r="B2" i="33" s="1"/>
  <c r="C24" i="87"/>
  <c r="C30" i="87" s="1"/>
  <c r="C31" i="87" s="1"/>
  <c r="C35" i="85"/>
  <c r="C38" i="85"/>
  <c r="C19" i="69"/>
  <c r="C24" i="69" s="1"/>
  <c r="D37" i="69"/>
  <c r="C37" i="69" s="1"/>
  <c r="C33" i="69" s="1"/>
  <c r="C19" i="85"/>
  <c r="C24" i="85" s="1"/>
  <c r="D37" i="85"/>
  <c r="C37" i="85" s="1"/>
  <c r="C43" i="11"/>
  <c r="C41" i="11" s="1"/>
  <c r="C49" i="11" s="1"/>
  <c r="C51" i="11" s="1"/>
  <c r="I27" i="6"/>
  <c r="H19" i="6"/>
  <c r="S19" i="6"/>
  <c r="S27" i="6" s="1"/>
  <c r="L18" i="9"/>
  <c r="R8" i="1"/>
  <c r="R7" i="1"/>
  <c r="T16" i="1"/>
  <c r="C23" i="69"/>
  <c r="I5" i="6"/>
  <c r="I6" i="6"/>
  <c r="C27" i="43"/>
  <c r="C26" i="43"/>
  <c r="C7" i="85"/>
  <c r="C5" i="85" s="1"/>
  <c r="C23" i="68"/>
  <c r="C22" i="68" s="1"/>
  <c r="C20" i="68"/>
  <c r="C25" i="68" s="1"/>
  <c r="S7" i="35"/>
  <c r="AA7" i="35"/>
  <c r="R38" i="35" s="1"/>
  <c r="H65" i="40"/>
  <c r="I63" i="40"/>
  <c r="J8" i="87"/>
  <c r="G14" i="74"/>
  <c r="B6" i="74" s="1"/>
  <c r="F14" i="74"/>
  <c r="B5" i="74"/>
  <c r="E14" i="74"/>
  <c r="AC7" i="35"/>
  <c r="V38" i="35" s="1"/>
  <c r="I38" i="35" s="1"/>
  <c r="W7" i="35"/>
  <c r="AB7" i="35"/>
  <c r="T38" i="35" s="1"/>
  <c r="G38" i="35" s="1"/>
  <c r="U7" i="35"/>
  <c r="J59" i="34"/>
  <c r="N68" i="39"/>
  <c r="M70" i="39"/>
  <c r="B3" i="33"/>
  <c r="J16" i="15"/>
  <c r="J25" i="15" s="1"/>
  <c r="C58" i="78"/>
  <c r="C67" i="78" s="1"/>
  <c r="C68" i="78" s="1"/>
  <c r="C71" i="78" s="1"/>
  <c r="J16" i="78"/>
  <c r="J25" i="78" s="1"/>
  <c r="C40" i="15"/>
  <c r="Q69" i="15"/>
  <c r="Q68" i="15" s="1"/>
  <c r="C80" i="15"/>
  <c r="C79" i="15" s="1"/>
  <c r="Q69" i="78"/>
  <c r="Q68" i="78" s="1"/>
  <c r="C40" i="78"/>
  <c r="C58" i="15"/>
  <c r="C67" i="15" s="1"/>
  <c r="C68" i="15" s="1"/>
  <c r="C80" i="78"/>
  <c r="C79" i="78" s="1"/>
  <c r="E6" i="76"/>
  <c r="F35" i="67"/>
  <c r="L51" i="15"/>
  <c r="M21" i="67"/>
  <c r="L51" i="78"/>
  <c r="J20" i="67" l="1"/>
  <c r="C34" i="67"/>
  <c r="F63" i="67"/>
  <c r="C62" i="67" s="1"/>
  <c r="C23" i="67"/>
  <c r="C29" i="67" s="1"/>
  <c r="C20" i="69"/>
  <c r="C25" i="69" s="1"/>
  <c r="C22" i="69" s="1"/>
  <c r="C33" i="85"/>
  <c r="C39" i="85" s="1"/>
  <c r="C32" i="12"/>
  <c r="B2" i="12" s="1"/>
  <c r="B3" i="12" s="1"/>
  <c r="J35" i="87"/>
  <c r="D37" i="87"/>
  <c r="D38" i="87" s="1"/>
  <c r="T3" i="97" s="1"/>
  <c r="J34" i="87"/>
  <c r="C52" i="11"/>
  <c r="B2" i="11" s="1"/>
  <c r="B3" i="11" s="1"/>
  <c r="L19" i="9"/>
  <c r="H27" i="6"/>
  <c r="R19" i="6"/>
  <c r="C42" i="69"/>
  <c r="C39" i="69"/>
  <c r="C43" i="69" s="1"/>
  <c r="E2" i="76"/>
  <c r="C23" i="85"/>
  <c r="C20" i="85"/>
  <c r="C25" i="85" s="1"/>
  <c r="C28" i="68"/>
  <c r="C27" i="68" s="1"/>
  <c r="C31" i="68" s="1"/>
  <c r="C52" i="68" s="1"/>
  <c r="B2" i="43"/>
  <c r="G42" i="35"/>
  <c r="H42" i="35" s="1"/>
  <c r="G43" i="35"/>
  <c r="H43" i="35" s="1"/>
  <c r="I42" i="35"/>
  <c r="J42" i="35" s="1"/>
  <c r="D5" i="74"/>
  <c r="C5" i="74"/>
  <c r="D6" i="74"/>
  <c r="C6" i="74"/>
  <c r="I65" i="40"/>
  <c r="J63" i="40"/>
  <c r="R39" i="35"/>
  <c r="E38" i="35"/>
  <c r="I43" i="35" s="1"/>
  <c r="J43" i="35" s="1"/>
  <c r="N70" i="39"/>
  <c r="O68" i="39"/>
  <c r="O70" i="39" s="1"/>
  <c r="K59" i="34"/>
  <c r="C46" i="78"/>
  <c r="Q67" i="78"/>
  <c r="Q67" i="15"/>
  <c r="B2" i="15"/>
  <c r="Q65" i="15"/>
  <c r="Q75" i="15" s="1"/>
  <c r="Q47" i="15"/>
  <c r="Q53" i="15" s="1"/>
  <c r="Q56" i="15"/>
  <c r="Q62" i="15" s="1"/>
  <c r="C43" i="15"/>
  <c r="C83" i="15"/>
  <c r="C82" i="15" s="1"/>
  <c r="C71" i="15"/>
  <c r="C46" i="15"/>
  <c r="Q47" i="78"/>
  <c r="Q53" i="78" s="1"/>
  <c r="Q65" i="78"/>
  <c r="Q75" i="78" s="1"/>
  <c r="B2" i="78"/>
  <c r="B3" i="78" s="1"/>
  <c r="C43" i="78"/>
  <c r="C44" i="78" s="1"/>
  <c r="Q56" i="78"/>
  <c r="Q62" i="78" s="1"/>
  <c r="C83" i="78"/>
  <c r="C82" i="78" s="1"/>
  <c r="B6" i="76"/>
  <c r="D19" i="9"/>
  <c r="U3" i="97" l="1"/>
  <c r="T7" i="97"/>
  <c r="T5" i="97"/>
  <c r="T6" i="97"/>
  <c r="T4" i="97"/>
  <c r="C28" i="69"/>
  <c r="C27" i="69" s="1"/>
  <c r="C31" i="69" s="1"/>
  <c r="C42" i="85"/>
  <c r="C13" i="67"/>
  <c r="C36" i="67"/>
  <c r="J14" i="67"/>
  <c r="J59" i="67"/>
  <c r="J60" i="67" s="1"/>
  <c r="J19" i="67"/>
  <c r="J17" i="67" s="1"/>
  <c r="Q49" i="67"/>
  <c r="C33" i="67"/>
  <c r="C31" i="67" s="1"/>
  <c r="C57" i="67"/>
  <c r="C56" i="11"/>
  <c r="C57" i="11" s="1"/>
  <c r="J9" i="87"/>
  <c r="G36" i="87"/>
  <c r="R27" i="6"/>
  <c r="R6" i="1"/>
  <c r="R16" i="1" s="1"/>
  <c r="C46" i="69"/>
  <c r="C45" i="69" s="1"/>
  <c r="C41" i="69"/>
  <c r="C43" i="85"/>
  <c r="C46" i="85"/>
  <c r="C45" i="85" s="1"/>
  <c r="B2" i="76"/>
  <c r="B3" i="76" s="1"/>
  <c r="B3" i="43"/>
  <c r="B2" i="68"/>
  <c r="C57" i="68"/>
  <c r="C56" i="68" s="1"/>
  <c r="C28" i="85"/>
  <c r="C27" i="85" s="1"/>
  <c r="C22" i="85"/>
  <c r="L59" i="34"/>
  <c r="C39" i="35"/>
  <c r="C38" i="35"/>
  <c r="H3" i="84"/>
  <c r="C39" i="87"/>
  <c r="C40" i="87" s="1"/>
  <c r="E39" i="87"/>
  <c r="E40" i="87" s="1"/>
  <c r="J10" i="87"/>
  <c r="H7" i="39"/>
  <c r="J7" i="39"/>
  <c r="E43" i="35"/>
  <c r="F43" i="35" s="1"/>
  <c r="E42" i="35"/>
  <c r="F42" i="35" s="1"/>
  <c r="K63" i="40"/>
  <c r="J65" i="40"/>
  <c r="F7" i="39"/>
  <c r="D102" i="9"/>
  <c r="D21" i="9"/>
  <c r="B3" i="15"/>
  <c r="D20" i="9"/>
  <c r="B3" i="68"/>
  <c r="C41" i="85" l="1"/>
  <c r="C49" i="85" s="1"/>
  <c r="C51" i="85" s="1"/>
  <c r="C75" i="67"/>
  <c r="Q70" i="67"/>
  <c r="C56" i="67"/>
  <c r="C65" i="67" s="1"/>
  <c r="C37" i="67"/>
  <c r="C30" i="67" s="1"/>
  <c r="C39" i="67" s="1"/>
  <c r="C61" i="67"/>
  <c r="C59" i="67" s="1"/>
  <c r="C64" i="67"/>
  <c r="L46" i="67"/>
  <c r="Q48" i="67"/>
  <c r="J22" i="67"/>
  <c r="J13" i="67"/>
  <c r="J23" i="67" s="1"/>
  <c r="C49" i="69"/>
  <c r="C51" i="69" s="1"/>
  <c r="C31" i="85"/>
  <c r="S7" i="39"/>
  <c r="AA7" i="39"/>
  <c r="R47" i="39" s="1"/>
  <c r="L63" i="40"/>
  <c r="K65" i="40"/>
  <c r="U7" i="39"/>
  <c r="AB7" i="39"/>
  <c r="T47" i="39" s="1"/>
  <c r="G47" i="39" s="1"/>
  <c r="H2" i="84"/>
  <c r="L3" i="84"/>
  <c r="I3" i="84" s="1"/>
  <c r="H5" i="84"/>
  <c r="L5" i="84" s="1"/>
  <c r="I5" i="84" s="1"/>
  <c r="H7" i="84"/>
  <c r="L7" i="84" s="1"/>
  <c r="I7" i="84" s="1"/>
  <c r="H4" i="84"/>
  <c r="L4" i="84" s="1"/>
  <c r="I4" i="84" s="1"/>
  <c r="H6" i="84"/>
  <c r="L6" i="84" s="1"/>
  <c r="I6" i="84" s="1"/>
  <c r="AC7" i="39"/>
  <c r="V47" i="39" s="1"/>
  <c r="I47" i="39" s="1"/>
  <c r="W7" i="39"/>
  <c r="B2" i="35"/>
  <c r="C40" i="35"/>
  <c r="B3" i="35"/>
  <c r="M59" i="34"/>
  <c r="D103" i="9"/>
  <c r="C19" i="9"/>
  <c r="L51" i="67"/>
  <c r="C20" i="9"/>
  <c r="C52" i="85" l="1"/>
  <c r="B2" i="85" s="1"/>
  <c r="J16" i="67"/>
  <c r="J25" i="67" s="1"/>
  <c r="C58" i="67"/>
  <c r="C67" i="67" s="1"/>
  <c r="C68" i="67" s="1"/>
  <c r="C71" i="67" s="1"/>
  <c r="L57" i="67"/>
  <c r="L60" i="67" s="1"/>
  <c r="Q67" i="67"/>
  <c r="Q69" i="67"/>
  <c r="Q68" i="67" s="1"/>
  <c r="C40" i="67"/>
  <c r="C80" i="67"/>
  <c r="C79" i="67" s="1"/>
  <c r="C52" i="69"/>
  <c r="B2" i="69" s="1"/>
  <c r="B3" i="69" s="1"/>
  <c r="C103" i="9"/>
  <c r="G20" i="9"/>
  <c r="I20" i="9" s="1"/>
  <c r="C102" i="9"/>
  <c r="C21" i="9"/>
  <c r="D22" i="9"/>
  <c r="G19" i="9"/>
  <c r="G21" i="9" s="1"/>
  <c r="N59" i="34"/>
  <c r="O59" i="34" s="1"/>
  <c r="F7" i="34"/>
  <c r="J6" i="84"/>
  <c r="K6" i="84"/>
  <c r="J7" i="84"/>
  <c r="K7" i="84"/>
  <c r="K3" i="84"/>
  <c r="J3" i="84"/>
  <c r="G51" i="39"/>
  <c r="H51" i="39" s="1"/>
  <c r="G52" i="39"/>
  <c r="H52" i="39" s="1"/>
  <c r="E47" i="39"/>
  <c r="I52" i="39" s="1"/>
  <c r="J52" i="39" s="1"/>
  <c r="R48" i="39"/>
  <c r="I51" i="39"/>
  <c r="J51" i="39" s="1"/>
  <c r="J4" i="84"/>
  <c r="K4" i="84"/>
  <c r="K5" i="84"/>
  <c r="J5" i="84"/>
  <c r="H10" i="84"/>
  <c r="L2" i="84"/>
  <c r="M63" i="40"/>
  <c r="L65" i="40"/>
  <c r="B3" i="85"/>
  <c r="C57" i="85" l="1"/>
  <c r="C56" i="85" s="1"/>
  <c r="Q66" i="67"/>
  <c r="Q57" i="67"/>
  <c r="C45" i="67"/>
  <c r="C46" i="67" s="1"/>
  <c r="Q65" i="67"/>
  <c r="Q47" i="67"/>
  <c r="Q53" i="67" s="1"/>
  <c r="C43" i="67"/>
  <c r="D2" i="67"/>
  <c r="C83" i="67"/>
  <c r="C82" i="67" s="1"/>
  <c r="Q56" i="67"/>
  <c r="C57" i="69"/>
  <c r="C56" i="69" s="1"/>
  <c r="C32" i="9"/>
  <c r="C35" i="9" s="1"/>
  <c r="C34" i="9" s="1"/>
  <c r="S7" i="34"/>
  <c r="AA7" i="34"/>
  <c r="R49" i="34" s="1"/>
  <c r="L8" i="84"/>
  <c r="I2" i="84"/>
  <c r="C48" i="39"/>
  <c r="C47" i="39"/>
  <c r="N63" i="40"/>
  <c r="M65" i="40"/>
  <c r="E52" i="39"/>
  <c r="F52" i="39" s="1"/>
  <c r="E51" i="39"/>
  <c r="F51" i="39" s="1"/>
  <c r="H7" i="34"/>
  <c r="J7" i="34"/>
  <c r="B2" i="67" l="1"/>
  <c r="B3" i="67"/>
  <c r="Q75" i="67"/>
  <c r="Q62" i="67"/>
  <c r="AC7" i="34"/>
  <c r="V49" i="34" s="1"/>
  <c r="I49" i="34" s="1"/>
  <c r="W7" i="34"/>
  <c r="K2" i="84"/>
  <c r="J2" i="84"/>
  <c r="E49" i="34"/>
  <c r="R50" i="34"/>
  <c r="U7" i="34"/>
  <c r="AB7" i="34"/>
  <c r="T49" i="34" s="1"/>
  <c r="G49" i="34" s="1"/>
  <c r="O63" i="40"/>
  <c r="O65" i="40" s="1"/>
  <c r="N65" i="40"/>
  <c r="B64" i="39"/>
  <c r="F64" i="39" s="1"/>
  <c r="B65" i="39"/>
  <c r="F65" i="39" s="1"/>
  <c r="B61" i="39"/>
  <c r="F61" i="39" s="1"/>
  <c r="B60" i="39"/>
  <c r="F60" i="39" s="1"/>
  <c r="B57" i="39"/>
  <c r="F57" i="39" s="1"/>
  <c r="B58" i="39"/>
  <c r="F58" i="39" s="1"/>
  <c r="B63" i="39"/>
  <c r="F63" i="39" s="1"/>
  <c r="B59" i="39"/>
  <c r="F59" i="39" s="1"/>
  <c r="B62" i="39"/>
  <c r="F62" i="39" s="1"/>
  <c r="B56" i="39"/>
  <c r="F56" i="39" s="1"/>
  <c r="F66" i="39" s="1"/>
  <c r="B2" i="39" s="1"/>
  <c r="B3" i="39" s="1"/>
  <c r="I8" i="84"/>
  <c r="L9" i="84"/>
  <c r="M9" i="84" s="1"/>
  <c r="M8" i="84"/>
  <c r="G53" i="34" l="1"/>
  <c r="H53" i="34" s="1"/>
  <c r="G54" i="34"/>
  <c r="H54" i="34" s="1"/>
  <c r="C50" i="34"/>
  <c r="B2" i="34" s="1"/>
  <c r="B3" i="34" s="1"/>
  <c r="C49" i="34"/>
  <c r="J8" i="84"/>
  <c r="K8" i="84"/>
  <c r="H7" i="40"/>
  <c r="F7" i="40"/>
  <c r="J7" i="40"/>
  <c r="E54" i="34"/>
  <c r="F54" i="34" s="1"/>
  <c r="E53" i="34"/>
  <c r="F53" i="34" s="1"/>
  <c r="I53" i="34"/>
  <c r="J53" i="34" s="1"/>
  <c r="I54" i="34"/>
  <c r="J54" i="34" s="1"/>
  <c r="AA7" i="40" l="1"/>
  <c r="R42" i="40" s="1"/>
  <c r="S7" i="40"/>
  <c r="W7" i="40"/>
  <c r="AC7" i="40"/>
  <c r="V42" i="40" s="1"/>
  <c r="I42" i="40" s="1"/>
  <c r="U7" i="40"/>
  <c r="AB7" i="40"/>
  <c r="T42" i="40" s="1"/>
  <c r="G42" i="40" s="1"/>
  <c r="I46" i="40" l="1"/>
  <c r="J46" i="40" s="1"/>
  <c r="G47" i="40"/>
  <c r="H47" i="40" s="1"/>
  <c r="G46" i="40"/>
  <c r="H46" i="40" s="1"/>
  <c r="R43" i="40"/>
  <c r="E42" i="40"/>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1" i="72"/>
  <c r="D7" i="53"/>
  <c r="H102" i="9"/>
  <c r="B31" i="72"/>
  <c r="D15" i="53"/>
  <c r="H108" i="9"/>
  <c r="B32" i="72"/>
  <c r="D14" i="53"/>
  <c r="B48" i="72"/>
  <c r="E4" i="52"/>
  <c r="M54" i="9"/>
  <c r="C97" i="9"/>
  <c r="D58" i="9"/>
  <c r="D56" i="9"/>
  <c r="B20" i="72"/>
  <c r="E97" i="9"/>
  <c r="E96" i="9"/>
  <c r="C85" i="9"/>
  <c r="C95" i="9"/>
  <c r="C96" i="9"/>
  <c r="B51" i="72"/>
  <c r="F4" i="52"/>
  <c r="B53" i="72"/>
  <c r="F5" i="52"/>
  <c r="F119" i="9"/>
  <c r="B47" i="72"/>
  <c r="D4" i="52"/>
  <c r="C80" i="9"/>
  <c r="E80" i="9"/>
  <c r="E81" i="9"/>
  <c r="C72" i="9"/>
  <c r="C79" i="9"/>
  <c r="C81" i="9"/>
  <c r="C86" i="9"/>
  <c r="C93" i="9"/>
  <c r="D8" i="52"/>
  <c r="M48" i="9"/>
  <c r="N60" i="9"/>
  <c r="N59" i="9"/>
  <c r="N61" i="9"/>
  <c r="I4" i="52"/>
  <c r="C105" i="9"/>
  <c r="D52" i="9"/>
  <c r="D53" i="9"/>
  <c r="D59" i="9"/>
  <c r="M55" i="9"/>
  <c r="D5" i="53"/>
  <c r="D6" i="53"/>
  <c r="B22" i="72"/>
  <c r="E118" i="9"/>
  <c r="D118" i="9"/>
  <c r="D119" i="9"/>
  <c r="D5" i="52"/>
  <c r="B49" i="72"/>
  <c r="D13" i="53"/>
  <c r="B30" i="72"/>
  <c r="F118" i="9"/>
  <c r="G118" i="9"/>
  <c r="G4" i="52"/>
  <c r="B52" i="72"/>
  <c r="C78" i="9"/>
  <c r="C73" i="9"/>
  <c r="C64" i="9"/>
  <c r="C63" i="9"/>
  <c r="C67" i="9"/>
  <c r="C68" i="9"/>
  <c r="D54" i="9"/>
  <c r="P57" i="9"/>
  <c r="D45" i="9"/>
  <c r="D55" i="9"/>
  <c r="M53" i="9"/>
  <c r="N57" i="9"/>
  <c r="N58" i="9"/>
  <c r="H4" i="52"/>
  <c r="C104" i="9"/>
  <c r="H101" i="9"/>
  <c r="H107" i="9"/>
  <c r="D122" i="9"/>
  <c r="D123" i="9"/>
  <c r="D9" i="5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<sst xmlns="http://schemas.openxmlformats.org/spreadsheetml/2006/main" count="10136" uniqueCount="3556">
  <si>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</si>
  <si>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</si>
  <si>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</si>
  <si>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</si>
  <si>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</si>
  <si>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</si>
  <si>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</si>
  <si>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</si>
  <si>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</si>
  <si>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</si>
  <si>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</si>
  <si>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</si>
  <si>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</si>
  <si>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</si>
  <si>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</si>
  <si>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</si>
  <si>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</si>
  <si>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</si>
  <si>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</si>
  <si>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</si>
  <si>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</si>
  <si>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</si>
  <si>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</si>
  <si>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</si>
  <si>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</si>
  <si>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</si>
  <si>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</si>
  <si>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</si>
  <si>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</si>
  <si>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</si>
  <si>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</si>
  <si>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</si>
  <si>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</si>
  <si>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</si>
  <si>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</si>
  <si>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</si>
  <si>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</si>
  <si>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</si>
  <si>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</si>
  <si>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</si>
  <si>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</si>
  <si>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</si>
  <si>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</si>
  <si>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</si>
  <si>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</si>
  <si>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</si>
  <si>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</si>
  <si>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</si>
  <si>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</si>
  <si>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</si>
  <si>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</si>
  <si>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</si>
  <si>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</si>
  <si>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</si>
  <si>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</si>
  <si>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</si>
  <si>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</si>
  <si>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</si>
  <si>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</si>
  <si>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</si>
  <si>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</si>
  <si>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</si>
  <si>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</si>
  <si>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</si>
  <si>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</si>
  <si>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</si>
  <si>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</si>
  <si>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</si>
  <si>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</si>
  <si>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</si>
  <si>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</si>
  <si>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</si>
  <si>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</si>
  <si>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</si>
  <si>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</si>
  <si>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</si>
  <si>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</si>
  <si>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</si>
  <si>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</si>
  <si>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</si>
  <si>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</si>
  <si>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</si>
  <si>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</si>
  <si>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</si>
  <si>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</si>
  <si>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</si>
  <si>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</si>
  <si>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</si>
  <si>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</si>
  <si>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</si>
  <si>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</si>
  <si>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</si>
  <si>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</si>
  <si>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</si>
  <si>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</si>
  <si>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</si>
  <si>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</si>
  <si>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</si>
  <si>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</si>
  <si>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</si>
  <si>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</si>
  <si>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</si>
  <si>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</si>
  <si>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</si>
  <si>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</si>
  <si>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</si>
  <si>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</si>
  <si>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</si>
  <si>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</si>
  <si>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</si>
  <si>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</si>
  <si>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</si>
  <si>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</si>
  <si>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</si>
  <si>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</si>
  <si>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</si>
  <si>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</si>
  <si>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</si>
  <si>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</si>
  <si>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</si>
  <si>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</si>
  <si>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</si>
  <si>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</si>
  <si>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</si>
  <si>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</si>
  <si>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</si>
  <si>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</si>
  <si>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</si>
  <si>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</si>
  <si>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</si>
  <si>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</si>
  <si>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</si>
  <si>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</si>
  <si>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</si>
  <si>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</si>
  <si>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</si>
  <si>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</si>
  <si>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</si>
  <si>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</si>
  <si>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</si>
  <si>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</si>
  <si>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</si>
  <si>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</si>
  <si>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</si>
  <si>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</si>
  <si>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</si>
  <si>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</si>
  <si>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</si>
  <si>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</si>
  <si>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</si>
  <si>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</si>
  <si>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</si>
  <si>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</si>
  <si>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</si>
  <si>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</si>
  <si>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</si>
  <si>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</si>
  <si>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</si>
  <si>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</si>
  <si>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</si>
  <si>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</si>
  <si>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</si>
  <si>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</si>
  <si>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</si>
  <si>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</si>
  <si>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</si>
  <si>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</si>
  <si>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</si>
  <si>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</si>
  <si>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</si>
  <si>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</si>
  <si>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</si>
  <si>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</si>
  <si>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</si>
  <si>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</si>
  <si>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</si>
  <si>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</si>
  <si>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</si>
  <si>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</si>
  <si>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</si>
  <si>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</si>
  <si>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</si>
  <si>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</si>
  <si>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</si>
  <si>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</si>
  <si>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</si>
  <si>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</si>
  <si>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</si>
  <si>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</si>
  <si>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</si>
  <si>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</si>
  <si>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</si>
  <si>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</si>
  <si>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</si>
  <si>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</si>
  <si>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</si>
  <si>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</si>
  <si>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</si>
  <si>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</si>
  <si>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</si>
  <si>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</si>
  <si>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</si>
  <si>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</si>
  <si>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</si>
  <si>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</si>
  <si>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</si>
  <si>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</si>
  <si>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</si>
  <si>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</si>
  <si>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</si>
  <si>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</si>
  <si>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</si>
  <si>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</si>
  <si>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</si>
  <si>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</si>
  <si>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</si>
  <si>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</si>
  <si>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</si>
  <si>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</si>
  <si>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</si>
  <si>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</si>
  <si>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</si>
  <si>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</si>
  <si>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</si>
  <si>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</si>
  <si>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</si>
  <si>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</si>
  <si>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</si>
  <si>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</si>
  <si>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</si>
  <si>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</si>
  <si>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</si>
  <si>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</si>
  <si>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</si>
  <si>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</si>
  <si>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</si>
  <si>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</si>
  <si>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</si>
  <si>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</si>
  <si>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</si>
  <si>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</si>
  <si>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</si>
  <si>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</si>
  <si>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</si>
  <si>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</si>
  <si>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</si>
  <si>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</si>
  <si>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</si>
  <si>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</si>
  <si>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</si>
  <si>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</si>
  <si>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</si>
  <si>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</si>
  <si>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</si>
  <si>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</si>
  <si>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</si>
  <si>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</si>
  <si>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</si>
  <si>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</si>
  <si>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</si>
  <si>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</si>
  <si>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</si>
  <si>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</si>
  <si>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</si>
  <si>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</si>
  <si>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</si>
  <si>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</si>
  <si>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</si>
  <si>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</si>
  <si>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</si>
  <si>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</si>
  <si>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</si>
  <si>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</si>
  <si>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</si>
  <si>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</si>
  <si>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</si>
  <si>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</si>
  <si>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</si>
  <si>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</si>
  <si>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</si>
  <si>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</si>
  <si>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</si>
  <si>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</si>
  <si>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</si>
  <si>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</si>
  <si>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</si>
  <si>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</si>
  <si>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</si>
  <si>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</si>
  <si>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</si>
  <si>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</si>
  <si>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</si>
  <si>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</si>
  <si>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</si>
  <si>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</si>
  <si>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</si>
  <si>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</si>
  <si>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</si>
  <si>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</si>
  <si>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</si>
  <si>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</si>
  <si>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</si>
  <si>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</si>
  <si>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</si>
  <si>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</si>
  <si>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</si>
  <si>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</si>
  <si>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</si>
  <si>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</si>
  <si>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</si>
  <si>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</si>
  <si>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</si>
  <si>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</si>
  <si>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</si>
  <si>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</si>
  <si>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</si>
  <si>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</si>
  <si>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</si>
  <si>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</si>
  <si>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</si>
  <si>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</si>
  <si>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</si>
  <si>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</si>
  <si>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</si>
  <si>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</si>
  <si>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</si>
  <si>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</si>
  <si>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</si>
  <si>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</si>
  <si>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</si>
  <si>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</si>
  <si>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</si>
  <si>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</si>
  <si>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</si>
  <si>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</si>
  <si>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</si>
  <si>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</si>
  <si>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</si>
  <si>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</si>
  <si>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</si>
  <si>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</si>
  <si>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</si>
  <si>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</si>
  <si>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</si>
  <si>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</si>
  <si>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</si>
  <si>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</si>
  <si>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</si>
  <si>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</si>
  <si>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</si>
  <si>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</si>
  <si>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</si>
  <si>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</si>
  <si>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</si>
  <si>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</si>
  <si>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</si>
  <si>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</si>
  <si>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</si>
  <si>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</si>
  <si>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</si>
  <si>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</si>
  <si>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</si>
  <si>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</si>
  <si>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</si>
  <si>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</si>
  <si>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</si>
  <si>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</si>
  <si>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</si>
  <si>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</si>
  <si>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</si>
  <si>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</si>
  <si>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</si>
  <si>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</si>
  <si>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</si>
  <si>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</si>
  <si>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</si>
  <si>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</si>
  <si>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</si>
  <si>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</si>
  <si>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</si>
  <si>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</si>
  <si>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</si>
  <si>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</si>
  <si>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</si>
  <si>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</si>
  <si>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</si>
  <si>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</si>
  <si>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</si>
  <si>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</si>
  <si>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</si>
  <si>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</si>
  <si>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</si>
  <si>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</si>
  <si>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</si>
  <si>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</si>
  <si>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</si>
  <si>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</si>
  <si>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</si>
  <si>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</si>
  <si>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</si>
  <si>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</si>
  <si>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</si>
  <si>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</si>
  <si>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</si>
  <si>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</si>
  <si>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</si>
  <si>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</si>
  <si>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</si>
  <si>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</si>
  <si>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</si>
  <si>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</si>
  <si>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</si>
  <si>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</si>
  <si>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</si>
  <si>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</si>
  <si>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</si>
  <si>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</si>
  <si>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</si>
  <si>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</si>
  <si>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</si>
  <si>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</si>
  <si>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</si>
  <si>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</si>
  <si>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</si>
  <si>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</si>
  <si>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</si>
  <si>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</si>
  <si>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</si>
  <si>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</si>
  <si>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</si>
  <si>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</si>
  <si>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</si>
  <si>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</si>
  <si>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</si>
  <si>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</si>
  <si>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</si>
  <si>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</si>
  <si>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</si>
  <si>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</si>
  <si>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</si>
  <si>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</si>
  <si>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</si>
  <si>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</si>
  <si>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</si>
  <si>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</si>
  <si>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</si>
  <si>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</si>
  <si>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</si>
  <si>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</si>
  <si>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</si>
  <si>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</si>
  <si>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</si>
  <si>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</si>
  <si>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</si>
  <si>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</si>
  <si>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</si>
  <si>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</si>
  <si>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</si>
  <si>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</si>
  <si>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</si>
  <si>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</si>
  <si>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</si>
  <si>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</si>
  <si>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</si>
  <si>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</si>
  <si>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</si>
  <si>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</si>
  <si>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</si>
  <si>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</si>
  <si>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</si>
  <si>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</si>
  <si>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</si>
  <si>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</si>
  <si>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</si>
  <si>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</si>
  <si>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</si>
  <si>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</si>
  <si>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</si>
  <si>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</si>
  <si>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</si>
  <si>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</si>
  <si>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</si>
  <si>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</si>
  <si>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</si>
  <si>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</si>
  <si>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</si>
  <si>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</si>
  <si>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</si>
  <si>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</si>
  <si>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</si>
  <si>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</si>
  <si>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</si>
  <si>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</si>
  <si>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</si>
  <si>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</si>
  <si>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</si>
  <si>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</si>
  <si>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</si>
  <si>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</si>
  <si>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</si>
  <si>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</si>
  <si>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</si>
  <si>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</si>
  <si>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</si>
  <si>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</si>
  <si>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</si>
  <si>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</si>
  <si>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</si>
  <si>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</si>
  <si>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</si>
  <si>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</si>
  <si>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</si>
  <si>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</si>
  <si>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</si>
  <si>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</si>
  <si>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</si>
  <si>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</si>
  <si>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</si>
  <si>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</si>
  <si>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</si>
  <si>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</si>
  <si>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</si>
  <si>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</si>
  <si>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</si>
  <si>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</si>
  <si>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</si>
  <si>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</si>
  <si>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</si>
  <si>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</si>
  <si>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</si>
  <si>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</si>
  <si>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</si>
  <si>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</si>
  <si>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</si>
  <si>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</si>
  <si>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</si>
  <si>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</si>
  <si>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</si>
  <si>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</si>
  <si>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</si>
  <si>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</si>
  <si>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</si>
  <si>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</si>
  <si>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</si>
  <si>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</si>
  <si>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</si>
  <si>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</si>
  <si>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</si>
  <si>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</si>
  <si>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</si>
  <si>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</si>
  <si>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</si>
  <si>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</si>
  <si>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</si>
  <si>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</si>
  <si>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</si>
  <si>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</si>
  <si>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</si>
  <si>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</si>
  <si>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</si>
  <si>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</si>
  <si>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</si>
  <si>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</si>
  <si>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</si>
  <si>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</si>
  <si>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</si>
  <si>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</si>
  <si>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</si>
  <si>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</si>
  <si>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</si>
  <si>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</si>
  <si>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</si>
  <si>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</si>
  <si>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</si>
  <si>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</si>
  <si>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</si>
  <si>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</si>
  <si>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</si>
  <si>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</si>
  <si>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</si>
  <si>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</si>
  <si>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</si>
  <si>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</si>
  <si>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</si>
  <si>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</si>
  <si>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</si>
  <si>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</si>
  <si>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</si>
  <si>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</si>
  <si>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</si>
  <si>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</si>
  <si>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</si>
  <si>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</si>
  <si>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</si>
  <si>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</si>
  <si>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</si>
  <si>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</si>
  <si>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</si>
  <si>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</si>
  <si>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</si>
  <si>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</si>
  <si>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</si>
  <si>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</si>
  <si>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</si>
  <si>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</si>
  <si>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</si>
  <si>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</si>
  <si>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</si>
  <si>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</si>
  <si>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</si>
  <si>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</si>
  <si>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</si>
  <si>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</si>
  <si>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</si>
  <si>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</si>
  <si>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</si>
  <si>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</si>
  <si>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</si>
  <si>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</si>
  <si>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</si>
  <si>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</si>
  <si>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</si>
  <si>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</si>
  <si>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</si>
  <si>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</si>
  <si>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</si>
  <si>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</si>
  <si>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</si>
  <si>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</si>
  <si>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</si>
  <si>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</si>
  <si>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</si>
  <si>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</si>
  <si>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</si>
  <si>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</si>
  <si>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</si>
  <si>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</si>
  <si>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</si>
  <si>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</si>
  <si>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</si>
  <si>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</si>
  <si>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</si>
  <si>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</si>
  <si>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</si>
  <si>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</si>
  <si>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</si>
  <si>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</si>
  <si>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</si>
  <si>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</si>
  <si>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</si>
  <si>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</si>
  <si>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</si>
  <si>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</si>
  <si>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</si>
  <si>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</si>
  <si>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</si>
  <si>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</si>
  <si>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</si>
  <si>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</si>
  <si>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</si>
  <si>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</si>
  <si>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</si>
  <si>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</si>
  <si>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</si>
  <si>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</si>
  <si>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</si>
  <si>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</si>
  <si>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</si>
  <si>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</si>
  <si>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</si>
  <si>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</si>
  <si>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</si>
  <si>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</si>
  <si>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</si>
  <si>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</si>
  <si>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</si>
  <si>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</si>
  <si>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</si>
  <si>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</si>
  <si>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</si>
  <si>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</si>
  <si>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</si>
  <si>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</si>
  <si>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</si>
  <si>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</si>
  <si>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</si>
  <si>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</si>
  <si>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</si>
  <si>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</si>
  <si>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</si>
  <si>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</si>
  <si>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</si>
  <si>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</si>
  <si>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</si>
  <si>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</si>
  <si>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</si>
  <si>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</si>
  <si>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</si>
  <si>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</si>
  <si>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</si>
  <si>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</si>
  <si>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</si>
  <si>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</si>
  <si>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</si>
  <si>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</si>
  <si>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</si>
  <si>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</si>
  <si>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</si>
  <si>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</si>
  <si>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</si>
  <si>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</si>
  <si>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</si>
  <si>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</si>
  <si>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</si>
  <si>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</si>
  <si>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</si>
  <si>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</si>
  <si>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</si>
  <si>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</si>
  <si>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</si>
  <si>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</si>
  <si>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</si>
  <si>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</si>
  <si>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</si>
  <si>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</si>
  <si>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</si>
  <si>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</si>
  <si>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</si>
  <si>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</si>
  <si>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</si>
  <si>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</si>
  <si>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</si>
  <si>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</si>
  <si>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</si>
  <si>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</si>
  <si>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</si>
  <si>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</si>
  <si>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</si>
  <si>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</si>
  <si>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</si>
  <si>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</si>
  <si>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</si>
  <si>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</si>
  <si>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</si>
  <si>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</si>
  <si>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</si>
  <si>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</si>
  <si>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</si>
  <si>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</si>
  <si>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</si>
  <si>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</si>
  <si>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</si>
  <si>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</si>
  <si>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</si>
  <si>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</si>
  <si>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</si>
  <si>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</si>
  <si>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</si>
  <si>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</si>
  <si>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</si>
  <si>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</si>
  <si>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</si>
  <si>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</si>
  <si>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</si>
  <si>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</si>
  <si>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</si>
  <si>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</si>
  <si>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</si>
  <si>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</si>
  <si>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</si>
  <si>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</si>
  <si>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</si>
  <si>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</si>
  <si>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</si>
  <si>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</si>
  <si>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</si>
  <si>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</si>
  <si>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</si>
  <si>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</si>
  <si>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</si>
  <si>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</si>
  <si>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</si>
  <si>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</si>
  <si>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</si>
  <si>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</si>
  <si>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</si>
  <si>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</si>
  <si>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</si>
  <si>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</si>
  <si>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</si>
  <si>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</si>
  <si>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</si>
  <si>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</si>
  <si>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</si>
  <si>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</si>
  <si>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</si>
  <si>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</si>
  <si>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</si>
  <si>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</si>
  <si>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</si>
  <si>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</si>
  <si>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</si>
  <si>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</si>
  <si>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</si>
  <si>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</si>
  <si>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</si>
  <si>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</si>
  <si>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</si>
  <si>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</si>
  <si>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</si>
  <si>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</si>
  <si>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</si>
  <si>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</si>
  <si>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</si>
  <si>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</si>
  <si>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</si>
  <si>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</si>
  <si>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</si>
  <si>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</si>
  <si>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</si>
  <si>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</si>
  <si>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</si>
  <si>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</si>
  <si>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</si>
  <si>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</si>
  <si>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</si>
  <si>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</si>
  <si>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</si>
  <si>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</si>
  <si>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</si>
  <si>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</si>
  <si>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</si>
  <si>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</si>
  <si>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</si>
  <si>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</si>
  <si>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</si>
  <si>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</si>
  <si>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</si>
  <si>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</si>
  <si>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</si>
  <si>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</si>
  <si>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</si>
  <si>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</si>
  <si>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</si>
  <si>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</si>
  <si>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</si>
  <si>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</si>
  <si>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</si>
  <si>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</si>
  <si>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</si>
  <si>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</si>
  <si>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</si>
  <si>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</si>
  <si>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</si>
  <si>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</si>
  <si>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</si>
  <si>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</si>
  <si>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</si>
  <si>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</si>
  <si>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</si>
  <si>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</si>
  <si>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</si>
  <si>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</si>
  <si>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</si>
  <si>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</si>
  <si>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</si>
  <si>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</si>
  <si>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</si>
  <si>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</si>
  <si>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</si>
  <si>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</si>
  <si>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</si>
  <si>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</si>
  <si>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</si>
  <si>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</si>
  <si>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</si>
  <si>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</si>
  <si>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</si>
  <si>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</si>
  <si>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</si>
  <si>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</si>
  <si>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</si>
  <si>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</si>
  <si>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</si>
  <si>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</si>
  <si>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</si>
  <si>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</si>
  <si>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</si>
  <si>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</si>
  <si>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</si>
  <si>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</si>
  <si>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</si>
  <si>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</si>
  <si>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</si>
  <si>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</si>
  <si>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</si>
  <si>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</si>
  <si>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</si>
  <si>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</si>
  <si>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</si>
  <si>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</si>
  <si>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</si>
  <si>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</si>
  <si>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</si>
  <si>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</si>
  <si>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</si>
  <si>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</si>
  <si>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</si>
  <si>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</si>
  <si>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</si>
  <si>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</si>
  <si>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</si>
  <si>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</si>
  <si>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</si>
  <si>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</si>
  <si>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</si>
  <si>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</si>
  <si>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</si>
  <si>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</si>
  <si>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</si>
  <si>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</si>
  <si>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</si>
  <si>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</si>
  <si>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</si>
  <si>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</si>
  <si>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</si>
  <si>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</si>
  <si>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</si>
  <si>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</si>
  <si>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</si>
  <si>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</si>
  <si>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</si>
  <si>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</si>
  <si>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</si>
  <si>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</si>
  <si>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</si>
  <si>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</si>
  <si>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</si>
  <si>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</si>
  <si>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</si>
  <si>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</si>
  <si>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</si>
  <si>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</si>
  <si>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</si>
  <si>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</si>
  <si>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</si>
  <si>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</si>
  <si>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</si>
  <si>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</si>
  <si>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</si>
  <si>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</si>
  <si>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</si>
  <si>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</si>
  <si>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</si>
  <si>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</si>
  <si>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</si>
  <si>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</si>
  <si>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</si>
  <si>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</si>
  <si>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</si>
  <si>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</si>
  <si>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</si>
  <si>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</si>
  <si>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</si>
  <si>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</si>
  <si>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</si>
  <si>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</si>
  <si>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</si>
  <si>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</si>
  <si>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</si>
  <si>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</si>
  <si>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</si>
  <si>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</si>
  <si>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</si>
  <si>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</si>
  <si>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</si>
  <si>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</si>
  <si>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</si>
  <si>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</si>
  <si>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</si>
  <si>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</si>
  <si>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</si>
  <si>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</si>
  <si>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</si>
  <si>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</si>
  <si>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</si>
  <si>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</si>
  <si>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</si>
  <si>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</si>
  <si>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</si>
  <si>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</si>
  <si>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</si>
  <si>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</si>
  <si>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</si>
  <si>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</si>
  <si>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</si>
  <si>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</si>
  <si>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</si>
  <si>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</si>
  <si>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</si>
  <si>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</si>
  <si>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</si>
  <si>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</si>
  <si>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</si>
  <si>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</si>
  <si>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</si>
  <si>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</si>
  <si>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</si>
  <si>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</si>
  <si>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</si>
  <si>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</si>
  <si>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</si>
  <si>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</si>
  <si>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</si>
  <si>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</si>
  <si>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</si>
  <si>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</si>
  <si>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</si>
  <si>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</si>
  <si>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</si>
  <si>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</si>
  <si>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</si>
  <si>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</si>
  <si>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</si>
  <si>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</si>
  <si>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</si>
  <si>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</si>
  <si>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</si>
  <si>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</si>
  <si>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</si>
  <si>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</si>
  <si>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</si>
  <si>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</si>
  <si>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</si>
  <si>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</si>
  <si>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</si>
  <si>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</si>
  <si>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</si>
  <si>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</si>
  <si>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</si>
  <si>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</si>
  <si>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</si>
  <si>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</si>
  <si>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</si>
  <si>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</si>
  <si>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</si>
  <si>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</si>
  <si>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</si>
  <si>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</si>
  <si>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</si>
  <si>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</si>
  <si>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</si>
  <si>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</si>
  <si>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</si>
  <si>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</si>
  <si>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</si>
  <si>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</si>
  <si>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</si>
  <si>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</si>
  <si>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</si>
  <si>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</si>
  <si>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</si>
  <si>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</si>
  <si>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</si>
  <si>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</si>
  <si>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</si>
  <si>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</si>
  <si>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</si>
  <si>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</si>
  <si>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</si>
  <si>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</si>
  <si>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</si>
  <si>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</si>
  <si>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</si>
  <si>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</si>
  <si>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</si>
  <si>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</si>
  <si>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</si>
  <si>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</si>
  <si>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</si>
  <si>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</si>
  <si>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</si>
  <si>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</si>
  <si>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</si>
  <si>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</si>
  <si>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</si>
  <si>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</si>
  <si>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</si>
  <si>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</si>
  <si>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</si>
  <si>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</si>
  <si>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</si>
  <si>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</si>
  <si>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</si>
  <si>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</si>
  <si>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</si>
  <si>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</si>
  <si>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</si>
  <si>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</si>
  <si>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</si>
  <si>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</si>
  <si>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</si>
  <si>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</si>
  <si>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</si>
  <si>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</si>
  <si>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</si>
  <si>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</si>
  <si>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</si>
  <si>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</si>
  <si>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</si>
  <si>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</si>
  <si>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</si>
  <si>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</si>
  <si>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</si>
  <si>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</si>
  <si>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</si>
  <si>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</si>
  <si>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</si>
  <si>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</si>
  <si>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</si>
  <si>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</si>
  <si>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</si>
  <si>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</si>
  <si>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</si>
  <si>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</si>
  <si>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</si>
  <si>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</si>
  <si>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</si>
  <si>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</si>
  <si>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</si>
  <si>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</si>
  <si>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</si>
  <si>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</si>
  <si>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</si>
  <si>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</si>
  <si>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</si>
  <si>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</si>
  <si>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</si>
  <si>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</si>
  <si>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</si>
  <si>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</si>
  <si>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</si>
  <si>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</si>
  <si>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</si>
  <si>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</si>
  <si>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</si>
  <si>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</si>
  <si>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</si>
  <si>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</si>
  <si>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</si>
  <si>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</si>
  <si>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</si>
  <si>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</si>
  <si>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</si>
  <si>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</si>
  <si>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</si>
  <si>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</si>
  <si>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</si>
  <si>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</si>
  <si>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</si>
  <si>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</si>
  <si>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</si>
  <si>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</si>
  <si>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</si>
  <si>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</si>
  <si>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</si>
  <si>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</si>
  <si>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</si>
  <si>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</si>
  <si>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</si>
  <si>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</si>
  <si>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</si>
  <si>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</si>
  <si>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</si>
  <si>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</si>
  <si>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</si>
  <si>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</si>
  <si>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</si>
  <si>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</si>
  <si>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</si>
  <si>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</si>
  <si>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</si>
  <si>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</si>
  <si>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</si>
  <si>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</si>
  <si>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</si>
  <si>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</si>
  <si>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</si>
  <si>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</si>
  <si>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</si>
  <si>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</si>
  <si>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</si>
  <si>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</si>
  <si>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</si>
  <si>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</si>
  <si>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</si>
  <si>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</si>
  <si>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</si>
  <si>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</si>
  <si>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</si>
  <si>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</si>
  <si>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</si>
  <si>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</si>
  <si>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</si>
  <si>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</si>
  <si>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</si>
  <si>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</si>
  <si>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</si>
  <si>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</si>
  <si>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</si>
  <si>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</si>
  <si>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</si>
  <si>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</si>
  <si>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</si>
  <si>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</si>
  <si>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</si>
  <si>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</si>
  <si>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</si>
  <si>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</si>
  <si>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</si>
  <si>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</si>
  <si>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</si>
  <si>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</si>
  <si>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</si>
  <si>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</si>
  <si>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</si>
  <si>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</si>
  <si>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</si>
  <si>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</si>
  <si>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</si>
  <si>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</si>
  <si>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</si>
  <si>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</si>
  <si>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</si>
  <si>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</si>
  <si>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</si>
  <si>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</si>
  <si>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</si>
  <si>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</si>
  <si>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</si>
  <si>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</si>
  <si>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</si>
  <si>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</si>
  <si>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</si>
  <si>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</si>
  <si>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</si>
  <si>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</si>
  <si>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</si>
  <si>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</si>
  <si>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</si>
  <si>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</si>
  <si>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</si>
  <si>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</si>
  <si>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</si>
  <si>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</si>
  <si>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</si>
  <si>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</si>
  <si>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</si>
  <si>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</si>
  <si>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</si>
  <si>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</si>
  <si>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</si>
  <si>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</si>
  <si>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</si>
  <si>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</si>
  <si>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</si>
  <si>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</si>
  <si>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</si>
  <si>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</si>
  <si>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</si>
  <si>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</si>
  <si>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</si>
  <si>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</si>
  <si>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</si>
  <si>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</si>
  <si>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</si>
  <si>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</si>
  <si>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</si>
  <si>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</si>
  <si>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</si>
  <si>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</si>
  <si>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</si>
  <si>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</si>
  <si>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</si>
  <si>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</si>
  <si>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</si>
  <si>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</si>
  <si>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</si>
  <si>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</si>
  <si>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</si>
  <si>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</si>
  <si>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</si>
  <si>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</si>
  <si>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</si>
  <si>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</si>
  <si>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</si>
  <si>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</si>
  <si>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</si>
  <si>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</si>
  <si>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</si>
  <si>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</si>
  <si>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</si>
  <si>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</si>
  <si>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</si>
  <si>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</si>
  <si>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</si>
  <si>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</si>
  <si>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</si>
  <si>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</si>
  <si>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</si>
  <si>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</si>
  <si>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</si>
  <si>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</si>
  <si>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</si>
  <si>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</si>
  <si>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</si>
  <si>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</si>
  <si>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</si>
  <si>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</si>
  <si>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</si>
  <si>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</si>
  <si>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</si>
  <si>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</si>
  <si>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</si>
  <si>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</si>
  <si>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</si>
  <si>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</si>
  <si>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</si>
  <si>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</si>
  <si>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</si>
  <si>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</si>
  <si>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</si>
  <si>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</si>
  <si>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</si>
  <si>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</si>
  <si>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</si>
  <si>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</si>
  <si>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</si>
  <si>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</si>
  <si>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</si>
  <si>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</si>
  <si>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</si>
  <si>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</si>
  <si>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</si>
  <si>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</si>
  <si>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</si>
  <si>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</si>
  <si>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</si>
  <si>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</si>
  <si>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</si>
  <si>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</si>
  <si>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</si>
  <si>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</si>
  <si>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</si>
  <si>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</si>
  <si>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</si>
  <si>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</si>
  <si>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</si>
  <si>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</si>
  <si>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</si>
  <si>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</si>
  <si>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</si>
  <si>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</si>
  <si>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</si>
  <si>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</si>
  <si>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</si>
  <si>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</si>
  <si>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</si>
  <si>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</si>
  <si>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</si>
  <si>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</si>
  <si>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</si>
  <si>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</si>
  <si>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</si>
  <si>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</si>
  <si>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</si>
  <si>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</si>
  <si>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</si>
  <si>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</si>
  <si>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</si>
  <si>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</si>
  <si>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</si>
  <si>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</si>
  <si>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</si>
  <si>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</si>
  <si>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</si>
  <si>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</si>
  <si>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</si>
  <si>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</si>
  <si>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</si>
  <si>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</si>
  <si>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</si>
  <si>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</si>
  <si>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</si>
  <si>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</si>
  <si>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</si>
  <si>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</si>
  <si>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</si>
  <si>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</si>
  <si>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</si>
  <si>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</si>
  <si>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</si>
  <si>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</si>
  <si>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</si>
  <si>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</si>
  <si>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</si>
  <si>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</si>
  <si>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</si>
  <si>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</si>
  <si>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</si>
  <si>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</si>
  <si>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</si>
  <si>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</si>
  <si>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</si>
  <si>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</si>
  <si>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</si>
  <si>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</si>
  <si>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</si>
  <si>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</si>
  <si>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</si>
  <si>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</si>
  <si>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</si>
  <si>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</si>
  <si>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</si>
  <si>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</si>
  <si>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</si>
  <si>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</si>
  <si>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</si>
  <si>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</si>
  <si>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</si>
  <si>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</si>
  <si>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</si>
  <si>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</si>
  <si>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</si>
  <si>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</si>
  <si>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</si>
  <si>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</si>
  <si>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</si>
  <si>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</si>
  <si>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</si>
  <si>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</si>
  <si>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</si>
  <si>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</si>
  <si>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</si>
  <si>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</si>
  <si>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</si>
  <si>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</si>
  <si>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</si>
  <si>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</si>
  <si>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</si>
  <si>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</si>
  <si>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</si>
  <si>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</si>
  <si>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</si>
  <si>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</si>
  <si>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</si>
  <si>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</si>
  <si>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</si>
  <si>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</si>
  <si>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</si>
  <si>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</si>
  <si>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</si>
  <si>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</si>
  <si>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</si>
  <si>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</si>
  <si>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</si>
  <si>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</si>
  <si>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</si>
  <si>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</si>
  <si>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</si>
  <si>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</si>
  <si>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</si>
  <si>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</si>
  <si>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</si>
  <si>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</si>
  <si>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</si>
  <si>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</si>
  <si>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</si>
  <si>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</si>
  <si>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</si>
  <si>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</si>
  <si>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</si>
  <si>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</si>
  <si>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</si>
  <si>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</si>
  <si>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</si>
  <si>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</si>
  <si>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</si>
  <si>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</si>
  <si>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</si>
  <si>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</si>
  <si>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</si>
  <si>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</si>
  <si>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</si>
  <si>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</si>
  <si>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</si>
  <si>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</si>
  <si>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</si>
  <si>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</si>
  <si>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</si>
  <si>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</si>
  <si>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</si>
  <si>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</si>
  <si>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</si>
  <si>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</si>
  <si>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</si>
  <si>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</si>
  <si>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</si>
  <si>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</si>
  <si>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</si>
  <si>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</si>
  <si>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</si>
  <si>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</si>
  <si>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</si>
  <si>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</si>
  <si>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</si>
  <si>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</si>
  <si>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</si>
  <si>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</si>
  <si>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</si>
  <si>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</si>
  <si>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</si>
  <si>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</si>
  <si>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</si>
  <si>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</si>
  <si>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</si>
  <si>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</si>
  <si>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</si>
  <si>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</si>
  <si>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</si>
  <si>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</si>
  <si>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</si>
  <si>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</si>
  <si>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</si>
  <si>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</si>
  <si>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</si>
  <si>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</si>
  <si>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</si>
  <si>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</si>
  <si>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</si>
  <si>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</si>
  <si>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</si>
  <si>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</si>
  <si>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</si>
  <si>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</si>
  <si>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</si>
  <si>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</si>
  <si>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</si>
  <si>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</si>
  <si>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</si>
  <si>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</si>
  <si>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</si>
  <si>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</si>
  <si>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</si>
  <si>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</si>
  <si>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</si>
  <si>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</si>
  <si>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</si>
  <si>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</si>
  <si>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</si>
  <si>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</si>
  <si>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</si>
  <si>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</si>
  <si>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</si>
  <si>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</si>
  <si>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</si>
  <si>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</si>
  <si>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</si>
  <si>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</si>
  <si>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</si>
  <si>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</si>
  <si>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</si>
  <si>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</si>
  <si>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</si>
  <si>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</si>
  <si>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</si>
  <si>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</si>
  <si>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</si>
  <si>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</si>
  <si>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</si>
  <si>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</si>
  <si>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</si>
  <si>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</si>
  <si>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</si>
  <si>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</si>
  <si>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</si>
  <si>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</si>
  <si>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</si>
  <si>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</si>
  <si>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</si>
  <si>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</si>
  <si>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</si>
  <si>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</si>
  <si>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</si>
  <si>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</si>
  <si>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</si>
  <si>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</si>
  <si>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</si>
  <si>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</si>
  <si>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</si>
  <si>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</si>
  <si>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</si>
  <si>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</si>
  <si>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</si>
  <si>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</si>
  <si>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</si>
  <si>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</si>
  <si>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</si>
  <si>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</si>
  <si>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</si>
  <si>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</si>
  <si>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</si>
  <si>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</si>
  <si>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</si>
  <si>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</si>
  <si>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</si>
  <si>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</si>
  <si>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</si>
  <si>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</si>
  <si>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</si>
  <si>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</si>
  <si>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</si>
  <si>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</si>
  <si>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</si>
  <si>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</si>
  <si>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</si>
  <si>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</si>
  <si>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</si>
  <si>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</si>
  <si>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</si>
  <si>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</si>
  <si>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</si>
  <si>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</si>
  <si>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</si>
  <si>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</si>
  <si>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</si>
  <si>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</si>
  <si>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</si>
  <si>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</si>
  <si>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</si>
  <si>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</si>
  <si>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</si>
  <si>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</si>
  <si>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</si>
  <si>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</si>
  <si>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</si>
  <si>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</si>
  <si>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</si>
  <si>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</si>
  <si>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</si>
  <si>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</si>
  <si>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</si>
  <si>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</si>
  <si>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</si>
  <si>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</si>
  <si>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</si>
  <si>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</si>
  <si>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</si>
  <si>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</si>
  <si>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</si>
  <si>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</si>
  <si>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</si>
  <si>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</si>
  <si>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</si>
  <si>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</si>
  <si>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</si>
  <si>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</si>
  <si>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</si>
  <si>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</si>
  <si>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</si>
  <si>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</si>
  <si>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</si>
  <si>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</si>
  <si>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</si>
  <si>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</si>
  <si>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</si>
  <si>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</si>
  <si>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</si>
  <si>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</si>
  <si>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</si>
  <si>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</si>
  <si>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</si>
  <si>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</si>
  <si>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</si>
  <si>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</si>
  <si>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</si>
  <si>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</si>
  <si>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</si>
  <si>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</si>
  <si>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</si>
  <si>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</si>
  <si>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</si>
  <si>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</si>
  <si>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</si>
  <si>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</si>
  <si>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</si>
  <si>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</si>
  <si>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</si>
  <si>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</si>
  <si>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</si>
  <si>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</si>
  <si>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</si>
  <si>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</si>
  <si>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</si>
  <si>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</si>
  <si>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</si>
  <si>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</si>
  <si>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</si>
  <si>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</si>
  <si>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</si>
  <si>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</si>
  <si>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</si>
  <si>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</si>
  <si>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</si>
  <si>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</si>
  <si>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</si>
  <si>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</si>
  <si>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</si>
  <si>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</si>
  <si>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</si>
  <si>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</si>
  <si>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</si>
  <si>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</si>
  <si>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</si>
  <si>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</si>
  <si>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</si>
  <si>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</si>
  <si>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</si>
  <si>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</si>
  <si>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</si>
  <si>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</si>
  <si>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</si>
  <si>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</si>
  <si>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</si>
  <si>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</si>
  <si>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</si>
  <si>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</si>
  <si>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</si>
  <si>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</si>
  <si>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</si>
  <si>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</si>
  <si>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</si>
  <si>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</si>
  <si>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</si>
  <si>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</si>
  <si>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</si>
  <si>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</si>
  <si>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</si>
  <si>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</si>
  <si>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</si>
  <si>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</si>
  <si>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</si>
  <si>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</si>
  <si>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</si>
  <si>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</si>
  <si>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</si>
  <si>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</si>
  <si>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</si>
  <si>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</si>
  <si>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</si>
  <si>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</si>
  <si>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</si>
  <si>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</si>
  <si>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</si>
  <si>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</si>
  <si>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</si>
  <si>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</si>
  <si>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</si>
  <si>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</si>
  <si>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</si>
  <si>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</si>
  <si>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</si>
  <si>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</si>
  <si>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</si>
  <si>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</si>
  <si>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</si>
  <si>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</si>
  <si>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</si>
  <si>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</si>
  <si>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</si>
  <si>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</si>
  <si>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</si>
  <si>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</si>
  <si>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</si>
  <si>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</si>
  <si>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</si>
  <si>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</si>
  <si>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</si>
  <si>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</si>
  <si>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</si>
  <si>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</si>
  <si>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</si>
  <si>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</si>
  <si>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</si>
  <si>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</si>
  <si>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</si>
  <si>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</si>
  <si>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</si>
  <si>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</si>
  <si>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</si>
  <si>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</si>
  <si>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</si>
  <si>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</si>
  <si>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</si>
  <si>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</si>
  <si>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</si>
  <si>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</si>
  <si>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</si>
  <si>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</si>
  <si>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</si>
  <si>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</si>
  <si>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</si>
  <si>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</si>
  <si>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</si>
  <si>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</si>
  <si>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</si>
  <si>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</si>
  <si>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</si>
  <si>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</si>
  <si>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</si>
  <si>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</si>
  <si>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</si>
  <si>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</si>
  <si>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</si>
  <si>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</si>
  <si>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</si>
  <si>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</si>
  <si>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</si>
  <si>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</si>
  <si>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</si>
  <si>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</si>
  <si>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</si>
  <si>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</si>
  <si>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</si>
  <si>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</si>
  <si>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</si>
  <si>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</si>
  <si>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</si>
  <si>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</si>
  <si>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</si>
  <si>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</si>
  <si>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</si>
  <si>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</si>
  <si>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</si>
  <si>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</si>
  <si>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</si>
  <si>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</si>
  <si>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</si>
  <si>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</si>
  <si>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</si>
  <si>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</si>
  <si>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</si>
  <si>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</si>
  <si>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</si>
  <si>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</si>
  <si>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</si>
  <si>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</si>
  <si>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</si>
  <si>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</si>
  <si>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</si>
  <si>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</si>
  <si>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</si>
  <si>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</si>
  <si>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</si>
  <si>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</si>
  <si>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</si>
  <si>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</si>
  <si>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</si>
  <si>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</si>
  <si>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</si>
  <si>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</si>
  <si>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</si>
  <si>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</si>
  <si>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</si>
  <si>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</si>
  <si>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</si>
  <si>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</si>
  <si>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</si>
  <si>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</si>
  <si>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</si>
  <si>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</si>
  <si>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</si>
  <si>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</si>
  <si>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</si>
  <si>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</si>
  <si>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</si>
  <si>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</si>
  <si>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</si>
  <si>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</si>
  <si>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</si>
  <si>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</si>
  <si>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</si>
  <si>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</si>
  <si>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</si>
  <si>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</si>
  <si>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</si>
  <si>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</si>
  <si>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</si>
  <si>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</si>
  <si>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</si>
  <si>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</si>
  <si>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</si>
  <si>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</si>
  <si>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</si>
  <si>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</si>
  <si>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</si>
  <si>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</si>
  <si>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</si>
  <si>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</si>
  <si>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</si>
  <si>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</si>
  <si>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</si>
  <si>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</si>
  <si>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</si>
  <si>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</si>
  <si>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</si>
  <si>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</si>
  <si>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</si>
  <si>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</si>
  <si>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</si>
  <si>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</si>
  <si>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</si>
  <si>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</si>
  <si>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</si>
  <si>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</si>
  <si>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</si>
  <si>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</si>
  <si>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</si>
  <si>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</si>
  <si>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</si>
  <si>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</si>
  <si>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</si>
  <si>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</si>
  <si>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</si>
  <si>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</si>
  <si>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</si>
  <si>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</si>
  <si>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</si>
  <si>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</si>
  <si>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</si>
  <si>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</si>
  <si>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</si>
  <si>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</si>
  <si>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</si>
  <si>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</si>
  <si>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</si>
  <si>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</si>
  <si>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</si>
  <si>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</si>
  <si>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</si>
  <si>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</si>
  <si>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</si>
  <si>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</si>
  <si>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</si>
  <si>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</si>
  <si>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</si>
  <si>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</si>
  <si>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</si>
  <si>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</si>
  <si>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</si>
  <si>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</si>
  <si>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</si>
  <si>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</si>
  <si>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</si>
  <si>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</si>
  <si>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</si>
  <si>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</si>
  <si>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</si>
  <si>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</si>
  <si>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</si>
  <si>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</si>
  <si>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</si>
  <si>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</si>
  <si>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</si>
  <si>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</si>
  <si>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</si>
  <si>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</si>
  <si>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</si>
  <si>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</si>
  <si>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</si>
  <si>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</si>
  <si>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</si>
  <si>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</si>
  <si>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</si>
  <si>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</si>
  <si>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</si>
  <si>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</si>
  <si>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</si>
  <si>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</si>
  <si>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</si>
  <si>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</si>
  <si>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</si>
  <si>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</si>
  <si>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</si>
  <si>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</si>
  <si>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</si>
  <si>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</si>
  <si>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</si>
  <si>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</si>
  <si>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</si>
  <si>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</si>
  <si>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</si>
  <si>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</si>
  <si>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</si>
  <si>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</si>
  <si>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</si>
  <si>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</si>
  <si>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</si>
  <si>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</si>
  <si>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</si>
  <si>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</si>
  <si>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</si>
  <si>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</si>
  <si>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</si>
  <si>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</si>
  <si>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</si>
  <si>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</si>
  <si>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</si>
  <si>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</si>
  <si>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</si>
  <si>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</si>
  <si>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</si>
  <si>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</si>
  <si>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</si>
  <si>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</si>
  <si>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</si>
  <si>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</si>
  <si>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</si>
  <si>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</si>
  <si>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</si>
  <si>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</si>
  <si>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</si>
  <si>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</si>
  <si>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</si>
  <si>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</si>
  <si>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</si>
  <si>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</si>
  <si>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</si>
  <si>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</si>
  <si>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</si>
  <si>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</si>
  <si>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</si>
  <si>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</si>
  <si>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</si>
  <si>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</si>
  <si>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</si>
  <si>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</si>
  <si>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</si>
  <si>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</si>
  <si>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</si>
  <si>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</si>
  <si>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</si>
  <si>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</si>
  <si>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</si>
  <si>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</si>
  <si>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</si>
  <si>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</si>
  <si>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</si>
  <si>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</si>
  <si>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</si>
  <si>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</si>
  <si>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</si>
  <si>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</si>
  <si>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</si>
  <si>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</si>
  <si>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</si>
  <si>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</si>
  <si>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</si>
  <si>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</si>
  <si>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</si>
  <si>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</si>
  <si>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</si>
  <si>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</si>
  <si>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</si>
  <si>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</si>
  <si>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</si>
  <si>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</si>
  <si>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</si>
  <si>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</si>
  <si>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</si>
  <si>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</si>
  <si>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</si>
  <si>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</si>
  <si>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</si>
  <si>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</si>
  <si>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</si>
  <si>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</si>
  <si>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</si>
  <si>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</si>
  <si>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</si>
  <si>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</si>
  <si>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</si>
  <si>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</si>
  <si>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</si>
  <si>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</si>
  <si>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</si>
  <si>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</si>
  <si>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</si>
  <si>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</si>
  <si>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</si>
  <si>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</si>
  <si>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</si>
  <si>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</si>
  <si>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</si>
  <si>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</si>
  <si>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</si>
  <si>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</si>
  <si>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</si>
  <si>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</si>
  <si>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</si>
  <si>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</si>
  <si>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</si>
  <si>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</si>
  <si>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</si>
  <si>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</si>
  <si>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</si>
  <si>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</si>
  <si>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</si>
  <si>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</si>
  <si>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</si>
  <si>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</si>
  <si>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</si>
  <si>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</si>
  <si>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</si>
  <si>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</si>
  <si>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</si>
  <si>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</si>
  <si>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</si>
  <si>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</si>
  <si>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</si>
  <si>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</si>
  <si>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</si>
  <si>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</si>
  <si>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</si>
  <si>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</si>
  <si>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</si>
  <si>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</si>
  <si>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</si>
  <si>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</si>
  <si>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</si>
  <si>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</si>
  <si>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</si>
  <si>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</si>
  <si>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</si>
  <si>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</si>
  <si>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</si>
  <si>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</si>
  <si>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</si>
  <si>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</si>
  <si>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</si>
  <si>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</si>
  <si>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</si>
  <si>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</si>
  <si>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</si>
  <si>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</si>
  <si>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</si>
  <si>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</si>
  <si>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</si>
  <si>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</si>
  <si>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</si>
  <si>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</si>
  <si>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</si>
  <si>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</si>
  <si>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</si>
  <si>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</si>
  <si>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</si>
  <si>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</si>
  <si>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</si>
  <si>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</si>
  <si>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</si>
  <si>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</si>
  <si>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</si>
  <si>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</si>
  <si>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</si>
  <si>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</si>
  <si>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</si>
  <si>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</si>
  <si>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</si>
  <si>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</si>
  <si>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</si>
  <si>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</si>
  <si>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</si>
  <si>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</si>
  <si>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</si>
  <si>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</si>
  <si>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</si>
  <si>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</si>
  <si>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</si>
  <si>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</si>
  <si>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</si>
  <si>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</si>
  <si>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</si>
  <si>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</si>
  <si>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</si>
  <si>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</si>
  <si>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</si>
  <si>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</si>
  <si>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</si>
  <si>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</si>
  <si>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</si>
  <si>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</si>
  <si>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</si>
  <si>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</si>
  <si>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</si>
  <si>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</si>
  <si>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</si>
  <si>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</si>
  <si>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</si>
  <si>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</si>
  <si>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</si>
  <si>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</si>
  <si>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</si>
  <si>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</si>
  <si>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</si>
  <si>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</si>
  <si>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</si>
  <si>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</si>
  <si>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</si>
  <si>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</si>
  <si>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</si>
  <si>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</si>
  <si>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</si>
  <si>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</si>
  <si>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</si>
  <si>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</si>
  <si>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</si>
  <si>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</si>
  <si>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</si>
  <si>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</si>
  <si>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</si>
  <si>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</si>
  <si>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</si>
  <si>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</si>
  <si>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</si>
  <si>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</si>
  <si>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</si>
  <si>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</si>
  <si>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</si>
  <si>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</si>
  <si>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</si>
  <si>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</si>
  <si>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</si>
  <si>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</si>
  <si>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</si>
  <si>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</si>
  <si>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</si>
  <si>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</si>
  <si>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</si>
  <si>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</si>
  <si>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</si>
  <si>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</si>
  <si>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</si>
  <si>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</si>
  <si>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</si>
  <si>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</si>
  <si>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</si>
  <si>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</si>
  <si>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</si>
  <si>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</si>
  <si>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</si>
  <si>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</si>
  <si>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</si>
  <si>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</si>
  <si>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</si>
  <si>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</si>
  <si>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</si>
  <si>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</si>
  <si>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</si>
  <si>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</si>
  <si>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</si>
  <si>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</si>
  <si>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</si>
  <si>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</si>
  <si>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</si>
  <si>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</si>
  <si>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</si>
  <si>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</si>
  <si>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</si>
  <si>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</si>
  <si>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</si>
  <si>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</si>
  <si>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</si>
  <si>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</si>
  <si>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</si>
  <si>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</si>
  <si>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</si>
  <si>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</si>
  <si>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</si>
  <si>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</si>
  <si>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</si>
  <si>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</si>
  <si>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</si>
  <si>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</si>
  <si>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</si>
  <si>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</si>
  <si>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</si>
  <si>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</si>
  <si>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</si>
  <si>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</si>
  <si>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</si>
  <si>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</si>
  <si>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</si>
  <si>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</si>
  <si>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</si>
  <si>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</si>
  <si>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</si>
  <si>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</si>
  <si>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</si>
  <si>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</si>
  <si>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</si>
  <si>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</si>
  <si>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</si>
  <si>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</si>
  <si>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</si>
  <si>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</si>
  <si>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</si>
  <si>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</si>
  <si>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</si>
  <si>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</si>
  <si>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</si>
  <si>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</si>
  <si>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</si>
  <si>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</si>
  <si>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</si>
  <si>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</si>
  <si>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</si>
  <si>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</si>
  <si>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</si>
  <si>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</si>
  <si>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</si>
  <si>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</si>
  <si>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</si>
  <si>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</si>
  <si>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</si>
  <si>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</si>
  <si>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</si>
  <si>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</si>
  <si>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</si>
  <si>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</si>
  <si>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</si>
  <si>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</si>
  <si>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</si>
  <si>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</si>
  <si>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</si>
  <si>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</si>
  <si>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</si>
  <si>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</si>
  <si>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</si>
  <si>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</si>
  <si>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</si>
  <si>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</si>
  <si>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</si>
  <si>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</si>
  <si>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</si>
  <si>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</si>
  <si>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</si>
  <si>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</si>
  <si>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</si>
  <si>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</si>
  <si>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</si>
  <si>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</si>
  <si>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</si>
  <si>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</si>
  <si>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</si>
  <si>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</si>
  <si>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</si>
  <si>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</si>
  <si>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</si>
  <si>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</si>
  <si>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</si>
  <si>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</si>
  <si>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</si>
  <si>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</si>
  <si>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</si>
  <si>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</si>
  <si>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</si>
  <si>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</si>
  <si>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</si>
  <si>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</si>
  <si>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</si>
  <si>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</si>
  <si>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</si>
  <si>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</si>
  <si>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</si>
  <si>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</si>
  <si>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</si>
  <si>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</si>
  <si>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</si>
  <si>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</si>
  <si>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</si>
  <si>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</si>
  <si>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</si>
  <si>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</si>
  <si>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</si>
  <si>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</si>
  <si>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</si>
  <si>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</si>
  <si>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</si>
  <si>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</si>
  <si>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</si>
  <si>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</si>
  <si>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</si>
  <si>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</si>
  <si>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</si>
  <si>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</si>
  <si>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</si>
  <si>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</si>
  <si>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</si>
  <si>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</si>
  <si>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</si>
  <si>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</si>
  <si>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</si>
  <si>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</si>
  <si>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</si>
  <si>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</si>
  <si>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</si>
  <si>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</si>
  <si>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</si>
  <si>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</si>
  <si>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</si>
  <si>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</si>
  <si>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</si>
  <si>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</si>
  <si>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</si>
  <si>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</si>
  <si>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</si>
  <si>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</si>
  <si>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</si>
  <si>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</si>
  <si>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</si>
  <si>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</si>
  <si>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</si>
  <si>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</si>
  <si>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</si>
  <si>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</si>
  <si>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</si>
  <si>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</si>
  <si>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</si>
  <si>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</si>
  <si>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</si>
  <si>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</si>
  <si>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</si>
  <si>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</si>
  <si>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</si>
  <si>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</si>
  <si>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</si>
  <si>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</si>
  <si>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</si>
  <si>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</si>
  <si>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</si>
  <si>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</si>
  <si>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</si>
  <si>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</si>
  <si>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</si>
  <si>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</si>
  <si>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</si>
  <si>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</si>
  <si>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</si>
  <si>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</si>
  <si>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</si>
  <si>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</si>
  <si>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</si>
  <si>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</si>
  <si>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</si>
  <si>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</si>
  <si>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</si>
  <si>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</si>
  <si>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</si>
  <si>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</si>
  <si>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</si>
  <si>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</si>
  <si>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</si>
  <si>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</si>
  <si>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</si>
  <si>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</si>
  <si>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</si>
  <si>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</si>
  <si>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</si>
  <si>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</si>
  <si>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</si>
  <si>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</si>
  <si>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</si>
  <si>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</si>
  <si>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</si>
  <si>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</si>
  <si>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</si>
  <si>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</si>
  <si>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</si>
  <si>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</si>
  <si>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</si>
  <si>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</si>
  <si>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</si>
  <si>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</si>
  <si>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</si>
  <si>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</si>
  <si>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</si>
  <si>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</si>
  <si>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</si>
  <si>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</si>
  <si>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</si>
  <si>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</si>
  <si>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</si>
  <si>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</si>
  <si>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</si>
  <si>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</si>
  <si>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</si>
  <si>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</si>
  <si>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</si>
  <si>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</si>
  <si>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</si>
  <si>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</si>
  <si>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</si>
  <si>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</si>
  <si>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</si>
  <si>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</si>
  <si>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</si>
  <si>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</si>
  <si>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</si>
  <si>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</si>
  <si>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</si>
  <si>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</si>
  <si>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</si>
  <si>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</si>
  <si>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</si>
  <si>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</si>
  <si>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</si>
  <si>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</si>
  <si>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</si>
  <si>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</si>
  <si>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</si>
  <si>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</si>
  <si>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</si>
  <si>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</si>
  <si>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</si>
  <si>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</si>
  <si>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</si>
  <si>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</si>
  <si>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</si>
  <si>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</si>
  <si>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</si>
  <si>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</si>
  <si>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</si>
  <si>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</si>
  <si>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</si>
  <si>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</si>
  <si>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</si>
  <si>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</si>
  <si>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</si>
  <si>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</si>
  <si>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</si>
  <si>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</si>
  <si>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</si>
  <si>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</si>
  <si>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</si>
  <si>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</si>
  <si>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</si>
  <si>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</si>
  <si>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</si>
  <si>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</si>
  <si>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</si>
  <si>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</si>
  <si>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</si>
  <si>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</si>
  <si>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</si>
  <si>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</si>
  <si>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</si>
  <si>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</si>
  <si>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</si>
  <si>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</si>
  <si>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</si>
  <si>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</si>
  <si>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</si>
  <si>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</si>
  <si>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</si>
  <si>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</si>
  <si>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</si>
  <si>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</si>
  <si>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</si>
  <si>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</si>
  <si>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</si>
  <si>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</si>
  <si>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</si>
  <si>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</si>
  <si>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</si>
  <si>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</si>
  <si>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</si>
  <si>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</si>
  <si>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</si>
  <si>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</si>
  <si>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</si>
  <si>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</si>
  <si>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</si>
  <si>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</si>
  <si>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</si>
  <si>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</si>
  <si>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</si>
  <si>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</si>
  <si>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</si>
  <si>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</si>
  <si>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</si>
  <si>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</si>
  <si>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</si>
  <si>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</si>
  <si>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</si>
  <si>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</si>
  <si>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</si>
  <si>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</si>
  <si>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</si>
  <si>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</si>
  <si>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</si>
  <si>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</si>
  <si>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</si>
  <si>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</si>
  <si>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</si>
  <si>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</si>
  <si>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</si>
  <si>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</si>
  <si>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</si>
  <si>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</si>
  <si>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</si>
  <si>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</si>
  <si>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</si>
  <si>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</si>
  <si>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</si>
  <si>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</si>
  <si>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</si>
  <si>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</si>
  <si>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</si>
  <si>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</si>
  <si>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</si>
  <si>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</si>
  <si>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</si>
  <si>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</si>
  <si>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</si>
  <si>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</si>
  <si>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</si>
  <si>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</si>
  <si>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</si>
  <si>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</si>
  <si>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</si>
  <si>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</si>
  <si>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</si>
  <si>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</si>
  <si>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</si>
  <si>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</si>
  <si>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</si>
  <si>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</si>
  <si>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</si>
  <si>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</si>
  <si>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</si>
  <si>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</si>
  <si>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</si>
  <si>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</si>
  <si>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</si>
  <si>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</si>
  <si>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</si>
  <si>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</si>
  <si>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</si>
  <si>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</si>
  <si>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</si>
  <si>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</si>
  <si>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</si>
  <si>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</si>
  <si>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</si>
  <si>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</si>
  <si>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</si>
  <si>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</si>
  <si>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</si>
  <si>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</si>
  <si>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</si>
  <si>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</si>
  <si>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</si>
  <si>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</si>
  <si>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</si>
  <si>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</si>
  <si>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</si>
  <si>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</si>
  <si>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</si>
  <si>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</si>
  <si>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</si>
  <si>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</si>
  <si>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</si>
  <si>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</si>
  <si>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</si>
  <si>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</si>
  <si>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</si>
  <si>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</si>
  <si>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</si>
  <si>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</si>
  <si>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</si>
  <si>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</si>
  <si>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</si>
  <si>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</si>
  <si>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</si>
  <si>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</si>
  <si>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</si>
  <si>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</si>
  <si>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</si>
  <si>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</si>
  <si>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</si>
  <si>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</si>
  <si>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</si>
  <si>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</si>
  <si>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</si>
  <si>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</si>
  <si>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</si>
  <si>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</si>
  <si>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</si>
  <si>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</si>
  <si>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</si>
  <si>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</si>
  <si>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</si>
  <si>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</si>
  <si>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</si>
  <si>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</si>
  <si>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</si>
  <si>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</si>
  <si>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</si>
  <si>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</si>
  <si>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</si>
  <si>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</si>
  <si>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</si>
  <si>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</si>
  <si>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</si>
  <si>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</si>
  <si>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</si>
  <si>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</si>
  <si>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</si>
  <si>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</si>
  <si>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</si>
  <si>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</si>
  <si>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</si>
  <si>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</si>
  <si>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</si>
  <si>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</si>
  <si>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</si>
  <si>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</si>
  <si>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</si>
  <si>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</si>
  <si>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</si>
  <si>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</si>
  <si>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</si>
  <si>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</si>
  <si>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</si>
  <si>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</si>
  <si>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</si>
  <si>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</si>
  <si>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</si>
  <si>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</si>
  <si>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</si>
  <si>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</si>
  <si>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</si>
  <si>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</si>
  <si>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</si>
  <si>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</si>
  <si>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</si>
  <si>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</si>
  <si>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</si>
  <si>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</si>
  <si>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</si>
  <si>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</si>
  <si>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</si>
  <si>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</si>
  <si>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</si>
  <si>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</si>
  <si>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</si>
  <si>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</si>
  <si>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</si>
  <si>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</si>
  <si>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</si>
  <si>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</si>
  <si>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</si>
  <si>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</si>
  <si>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</si>
  <si>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</si>
  <si>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</si>
  <si>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</si>
  <si>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</si>
  <si>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</si>
  <si>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</si>
  <si>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</si>
  <si>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</si>
  <si>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</si>
  <si>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</si>
  <si>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</si>
  <si>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</si>
  <si>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</si>
  <si>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</si>
  <si>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</si>
  <si>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</si>
  <si>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</si>
  <si>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</si>
  <si>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</si>
  <si>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</si>
  <si>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</si>
  <si>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</si>
  <si>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</si>
  <si>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</si>
  <si>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</si>
  <si>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</si>
  <si>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</si>
  <si>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</si>
  <si>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</si>
  <si>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</si>
  <si>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</si>
  <si>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</si>
  <si>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</si>
  <si>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</si>
  <si>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</si>
  <si>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</si>
  <si>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</si>
  <si>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</si>
  <si>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</si>
  <si>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</si>
  <si>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</si>
  <si>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</si>
  <si>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</si>
  <si>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</si>
  <si>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</si>
  <si>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</si>
  <si>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</si>
  <si>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</si>
  <si>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</si>
  <si>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</si>
  <si>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</si>
  <si>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</si>
  <si>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</si>
  <si>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</si>
  <si>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</si>
  <si>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</si>
  <si>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</si>
  <si>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</si>
  <si>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</si>
  <si>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</si>
  <si>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</si>
  <si>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</si>
  <si>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</si>
  <si>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</si>
  <si>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</si>
  <si>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</si>
  <si>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</si>
  <si>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</si>
  <si>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</si>
  <si>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</si>
  <si>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</si>
  <si>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</si>
  <si>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</si>
  <si>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</si>
  <si>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</si>
  <si>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</si>
  <si>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</si>
  <si>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</si>
  <si>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</si>
  <si>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</si>
  <si>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</si>
  <si>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</si>
  <si>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</si>
  <si>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</si>
  <si>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</si>
  <si>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</si>
  <si>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</si>
  <si>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</si>
  <si>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</si>
  <si>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</si>
  <si>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</si>
  <si>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</si>
  <si>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</si>
  <si>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</si>
  <si>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</si>
  <si>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</si>
  <si>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</si>
  <si>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</si>
  <si>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</si>
  <si>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</si>
  <si>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</si>
  <si>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</si>
  <si>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</si>
  <si>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</si>
  <si>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</si>
  <si>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</si>
  <si>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</si>
  <si>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</si>
  <si>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</si>
  <si>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</si>
  <si>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</si>
  <si>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</si>
  <si>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</si>
  <si>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</si>
  <si>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</si>
  <si>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</si>
  <si>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</si>
  <si>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</si>
  <si>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</si>
  <si>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</si>
  <si>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</si>
  <si>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</si>
  <si>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</si>
  <si>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</si>
  <si>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</si>
  <si>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</si>
  <si>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</si>
  <si>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</si>
  <si>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</si>
  <si>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</si>
  <si>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</si>
  <si>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</si>
  <si>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</si>
  <si>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</si>
  <si>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</si>
  <si>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</si>
  <si>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</si>
  <si>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</si>
  <si>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</si>
  <si>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</si>
  <si>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</si>
  <si>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</si>
  <si>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</si>
  <si>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</si>
  <si>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</si>
  <si>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</si>
  <si>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</si>
  <si>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</si>
  <si>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</si>
  <si>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</si>
  <si>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</si>
  <si>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</si>
  <si>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</si>
  <si>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</si>
  <si>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</si>
  <si>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</si>
  <si>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</si>
  <si>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</si>
  <si>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</si>
  <si>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</si>
  <si>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</si>
  <si>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</si>
  <si>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</si>
  <si>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</si>
  <si>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</si>
  <si>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</si>
  <si>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</si>
  <si>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</si>
  <si>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</si>
  <si>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</si>
  <si>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</si>
  <si>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</si>
  <si>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</si>
  <si>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</si>
  <si>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</si>
  <si>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</si>
  <si>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</si>
  <si>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</si>
  <si>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</si>
  <si>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</si>
  <si>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</si>
  <si>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</si>
  <si>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</si>
  <si>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</si>
  <si>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</si>
  <si>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</si>
  <si>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</si>
  <si>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</si>
  <si>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</si>
  <si>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</si>
  <si>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</si>
  <si>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</si>
  <si>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</si>
  <si>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</si>
  <si>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</si>
  <si>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</si>
  <si>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</si>
  <si>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</si>
  <si>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</si>
  <si>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</si>
  <si>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</si>
  <si>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</si>
  <si>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</si>
  <si>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</si>
  <si>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</si>
  <si>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</si>
  <si>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</si>
  <si>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</si>
  <si>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</si>
  <si>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</si>
  <si>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</si>
  <si>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</si>
  <si>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</si>
  <si>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</si>
  <si>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</si>
  <si>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</si>
  <si>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</si>
  <si>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</si>
  <si>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</si>
  <si>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</si>
  <si>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</si>
  <si>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</si>
  <si>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</si>
  <si>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</si>
  <si>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</si>
  <si>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</si>
  <si>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</si>
  <si>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</si>
  <si>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</si>
  <si>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</si>
  <si>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</si>
  <si>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</si>
  <si>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</si>
  <si>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</si>
  <si>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</si>
  <si>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</si>
  <si>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</si>
  <si>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</si>
  <si>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</si>
  <si>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</si>
  <si>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</si>
  <si>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</si>
  <si>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</si>
  <si>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</si>
  <si>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</si>
  <si>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</si>
  <si>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</si>
  <si>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</si>
  <si>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</si>
  <si>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</si>
  <si>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</si>
  <si>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</si>
  <si>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</si>
  <si>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</si>
  <si>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</si>
  <si>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</si>
  <si>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</si>
  <si>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</si>
  <si>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</si>
  <si>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</si>
  <si>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</si>
  <si>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</si>
  <si>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</si>
  <si>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</si>
  <si>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</si>
  <si>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</si>
  <si>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</si>
  <si>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</si>
  <si>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</si>
  <si>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</si>
  <si>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</si>
  <si>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</si>
  <si>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</si>
  <si>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</si>
  <si>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</si>
  <si>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</si>
  <si>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</si>
  <si>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</si>
  <si>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</si>
  <si>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</si>
  <si>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</si>
  <si>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</si>
  <si>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</si>
  <si>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</si>
  <si>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</si>
  <si>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</si>
  <si>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</si>
  <si>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</si>
  <si>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</si>
  <si>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</si>
  <si>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</si>
  <si>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</si>
  <si>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</si>
  <si>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</si>
  <si>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</si>
  <si>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</si>
  <si>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</si>
  <si>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</si>
  <si>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</si>
  <si>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</si>
  <si>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</si>
  <si>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</si>
  <si>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</si>
  <si>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</si>
  <si>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</si>
  <si>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</si>
  <si>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</si>
  <si>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</si>
  <si>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</si>
  <si>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</si>
  <si>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</si>
  <si>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</si>
  <si>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</si>
  <si>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</si>
  <si>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</si>
  <si>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</si>
  <si>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</si>
  <si>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</si>
  <si>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</si>
  <si>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</si>
  <si>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</si>
  <si>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</si>
  <si>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</si>
  <si>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</si>
  <si>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</si>
  <si>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</si>
  <si>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</si>
  <si>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</si>
  <si>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</si>
  <si>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</si>
  <si>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</si>
  <si>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</si>
  <si>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</si>
  <si>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</si>
  <si>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</si>
  <si>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</si>
  <si>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</si>
  <si>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</si>
  <si>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</si>
  <si>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</si>
  <si>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</si>
  <si>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</si>
  <si>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</si>
  <si>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</si>
  <si>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</si>
  <si>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</si>
  <si>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</si>
  <si>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</si>
  <si>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</si>
  <si>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</si>
  <si>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</si>
  <si>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</si>
  <si>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</si>
  <si>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</si>
  <si>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</si>
  <si>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</si>
  <si>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</si>
  <si>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</si>
  <si>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</si>
  <si>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</si>
  <si>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</si>
  <si>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</si>
  <si>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成新度</t>
  </si>
  <si>
    <t>收益法</t>
  </si>
  <si>
    <t>收益法-仓储</t>
    <phoneticPr fontId="16" type="noConversion"/>
  </si>
  <si>
    <t>收益法-车位</t>
  </si>
  <si>
    <t>收益法-车位</t>
    <phoneticPr fontId="16" type="noConversion"/>
  </si>
  <si>
    <t>成本法-仓储</t>
    <phoneticPr fontId="16" type="noConversion"/>
  </si>
  <si>
    <t>售价</t>
  </si>
  <si>
    <t>826工程</t>
    <phoneticPr fontId="3" type="noConversion"/>
  </si>
  <si>
    <t>西红门</t>
    <phoneticPr fontId="3" type="noConversion"/>
  </si>
  <si>
    <t>新城·熙红印</t>
    <phoneticPr fontId="3" type="noConversion"/>
  </si>
  <si>
    <t>首开龙湖熙悦宸著</t>
    <phoneticPr fontId="3" type="noConversion"/>
  </si>
  <si>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</si>
  <si>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</si>
  <si>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</si>
  <si>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</si>
  <si>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</si>
  <si>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</si>
  <si>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</si>
  <si>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</si>
  <si>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</si>
  <si>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</si>
  <si>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</si>
  <si>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</si>
  <si>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</si>
  <si>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</si>
  <si>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phoneticPr fontId="32" type="noConversion"/>
  </si>
  <si>
    <t>地面停车位</t>
    <phoneticPr fontId="32" type="noConversion"/>
  </si>
  <si>
    <t>地下车位</t>
  </si>
  <si>
    <t>地下车位</t>
    <phoneticPr fontId="32" type="noConversion"/>
  </si>
  <si>
    <t>人防车位</t>
    <phoneticPr fontId="32"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</si>
  <si>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</si>
  <si>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</si>
  <si>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</si>
  <si>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</si>
  <si>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</si>
  <si>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</si>
  <si>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</si>
  <si>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</si>
  <si>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</si>
  <si>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</si>
  <si>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</si>
  <si>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</si>
  <si>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</si>
  <si>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</si>
  <si>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</si>
  <si>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</si>
  <si>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</si>
  <si>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</si>
  <si>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</si>
  <si>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</si>
  <si>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</si>
  <si>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</si>
  <si>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</si>
  <si>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</si>
  <si>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一般</t>
  </si>
  <si>
    <t>好</t>
  </si>
  <si>
    <t>成本法-车位</t>
    <phoneticPr fontId="16" type="noConversion"/>
  </si>
  <si>
    <t>地上</t>
  </si>
  <si>
    <t>位置</t>
    <phoneticPr fontId="140" type="noConversion"/>
  </si>
  <si>
    <t>部位及房号</t>
    <phoneticPr fontId="140" type="noConversion"/>
  </si>
  <si>
    <t>建筑面积（㎡）</t>
    <phoneticPr fontId="140" type="noConversion"/>
  </si>
  <si>
    <t>套内（使用）面积（㎡）</t>
    <phoneticPr fontId="140" type="noConversion"/>
  </si>
  <si>
    <t>租金单价（元/平方米/天）</t>
    <phoneticPr fontId="140" type="noConversion"/>
  </si>
  <si>
    <t>租金总价（万元）</t>
    <phoneticPr fontId="140" type="noConversion"/>
  </si>
  <si>
    <t>合计</t>
    <phoneticPr fontId="140" type="noConversion"/>
  </si>
  <si>
    <t>1层1-101</t>
    <phoneticPr fontId="140"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</si>
  <si>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</si>
  <si>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</si>
  <si>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</si>
  <si>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</si>
  <si>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</si>
  <si>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</si>
  <si>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</si>
  <si>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</si>
  <si>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</si>
  <si>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</si>
  <si>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</si>
  <si>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</si>
  <si>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</si>
  <si>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</si>
  <si>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</si>
  <si>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</si>
  <si>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</si>
  <si>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</si>
  <si>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</si>
  <si>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</si>
  <si>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</si>
  <si>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</si>
  <si>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</si>
  <si>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</si>
  <si>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</si>
  <si>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</si>
  <si>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</si>
  <si>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</si>
  <si>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</si>
  <si>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</si>
  <si>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</si>
  <si>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</si>
  <si>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</si>
  <si>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</si>
  <si>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</si>
  <si>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</si>
  <si>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</si>
  <si>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</si>
  <si>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</si>
  <si>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</si>
  <si>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</si>
  <si>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</si>
  <si>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</si>
  <si>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</si>
  <si>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</si>
  <si>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</si>
  <si>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</si>
  <si>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</si>
  <si>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</si>
  <si>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</si>
  <si>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</si>
  <si>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</si>
  <si>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</si>
  <si>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</si>
  <si>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</si>
  <si>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</si>
  <si>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</si>
  <si>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</si>
  <si>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</si>
  <si>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</si>
  <si>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</si>
  <si>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</si>
  <si>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</si>
  <si>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</si>
  <si>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</si>
  <si>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</si>
  <si>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</si>
  <si>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</si>
  <si>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</si>
  <si>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</si>
  <si>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</si>
  <si>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</si>
  <si>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</si>
  <si>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</si>
  <si>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</si>
  <si>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</si>
  <si>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</si>
  <si>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</si>
  <si>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</si>
  <si>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</si>
  <si>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</si>
  <si>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</si>
  <si>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</si>
  <si>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</si>
  <si>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</si>
  <si>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</si>
  <si>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</si>
  <si>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</si>
  <si>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</si>
  <si>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</si>
  <si>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</si>
  <si>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</si>
  <si>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</si>
  <si>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</si>
  <si>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</si>
  <si>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</si>
  <si>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</si>
  <si>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</si>
  <si>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</si>
  <si>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</si>
  <si>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</si>
  <si>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</si>
  <si>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</si>
  <si>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</si>
  <si>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</si>
  <si>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</si>
  <si>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</si>
  <si>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</si>
  <si>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</si>
  <si>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</si>
  <si>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</si>
  <si>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一层</t>
    <phoneticPr fontId="3" type="noConversion"/>
  </si>
  <si>
    <t>比较法</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</si>
  <si>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</si>
  <si>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</si>
  <si>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</si>
  <si>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</si>
  <si>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</si>
  <si>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</si>
  <si>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</si>
  <si>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</si>
  <si>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</si>
  <si>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56" type="noConversion"/>
  </si>
  <si>
    <t>修正后房地产单价</t>
    <phoneticPr fontId="256" type="noConversion"/>
  </si>
  <si>
    <t>整体出租</t>
    <phoneticPr fontId="256" type="noConversion"/>
  </si>
  <si>
    <t>业态</t>
    <phoneticPr fontId="256" type="noConversion"/>
  </si>
  <si>
    <t>层高</t>
    <phoneticPr fontId="256" type="noConversion"/>
  </si>
  <si>
    <t>出让金</t>
    <phoneticPr fontId="256" type="noConversion"/>
  </si>
  <si>
    <t>元/平方米</t>
    <phoneticPr fontId="256" type="noConversion"/>
  </si>
  <si>
    <t>楼层修正系数</t>
    <phoneticPr fontId="140" type="noConversion"/>
  </si>
  <si>
    <t>地上一层商业</t>
  </si>
  <si>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</si>
  <si>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r>
      <rPr>
        <sz val="11"/>
        <color indexed="8"/>
        <rFont val="FangSong"/>
        <family val="3"/>
        <charset val="134"/>
      </rPr>
      <t>0.2%-0.3%</t>
    </r>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</si>
  <si>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</si>
  <si>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</si>
  <si>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租金</t>
  </si>
  <si>
    <t>挂牌</t>
  </si>
  <si>
    <t>挂牌</t>
    <phoneticPr fontId="140" type="noConversion"/>
  </si>
  <si>
    <t>商业</t>
    <phoneticPr fontId="140" type="noConversion"/>
  </si>
  <si>
    <t>单面临街</t>
  </si>
  <si>
    <t>单面临街</t>
    <phoneticPr fontId="140" type="noConversion"/>
  </si>
  <si>
    <t>双面临街</t>
    <phoneticPr fontId="140" type="noConversion"/>
  </si>
  <si>
    <t>较好</t>
    <phoneticPr fontId="140" type="noConversion"/>
  </si>
  <si>
    <t>一般</t>
    <phoneticPr fontId="140" type="noConversion"/>
  </si>
  <si>
    <t>好</t>
    <phoneticPr fontId="140" type="noConversion"/>
  </si>
  <si>
    <t>较差</t>
    <phoneticPr fontId="140" type="noConversion"/>
  </si>
  <si>
    <t>差</t>
    <phoneticPr fontId="140" type="noConversion"/>
  </si>
  <si>
    <r>
      <t>1</t>
    </r>
    <r>
      <rPr>
        <sz val="11"/>
        <color indexed="8"/>
        <rFont val="宋体"/>
        <family val="3"/>
        <charset val="134"/>
      </rPr>
      <t>层</t>
    </r>
    <phoneticPr fontId="140" type="noConversion"/>
  </si>
  <si>
    <t>钢混</t>
    <phoneticPr fontId="140" type="noConversion"/>
  </si>
  <si>
    <t>七通</t>
    <phoneticPr fontId="140" type="noConversion"/>
  </si>
  <si>
    <t>商业综合体</t>
  </si>
  <si>
    <t>商业综合体</t>
    <phoneticPr fontId="140" type="noConversion"/>
  </si>
  <si>
    <t>商业街商铺</t>
    <phoneticPr fontId="140" type="noConversion"/>
  </si>
  <si>
    <t>住宅底商</t>
  </si>
  <si>
    <t>住宅底商</t>
    <phoneticPr fontId="140" type="noConversion"/>
  </si>
  <si>
    <t>标准层高</t>
    <phoneticPr fontId="140" type="noConversion"/>
  </si>
  <si>
    <t>普装</t>
    <phoneticPr fontId="140" type="noConversion"/>
  </si>
  <si>
    <t>1层</t>
  </si>
  <si>
    <t>挂牌</t>
    <phoneticPr fontId="31" type="noConversion"/>
  </si>
  <si>
    <t>单面临街</t>
    <phoneticPr fontId="31" type="noConversion"/>
  </si>
  <si>
    <t>不临街</t>
    <phoneticPr fontId="31" type="noConversion"/>
  </si>
  <si>
    <t>双面临街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</si>
  <si>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</si>
  <si>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</si>
  <si>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</si>
  <si>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</si>
  <si>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</si>
  <si>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</si>
  <si>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钢混</t>
    <phoneticPr fontId="31" type="noConversion"/>
  </si>
  <si>
    <t>商业</t>
    <phoneticPr fontId="31" type="noConversion"/>
  </si>
  <si>
    <t>楼层修正</t>
  </si>
  <si>
    <t>整租</t>
    <phoneticPr fontId="140" type="noConversion"/>
  </si>
  <si>
    <t>平均租金（元/平方米/天）</t>
    <phoneticPr fontId="140" type="noConversion"/>
  </si>
  <si>
    <t>批发零售用地</t>
  </si>
  <si>
    <t>整租修正系数</t>
    <phoneticPr fontId="140" type="noConversion"/>
  </si>
  <si>
    <t>-1层1-01</t>
    <phoneticPr fontId="140" type="noConversion"/>
  </si>
  <si>
    <t>2层1-201</t>
    <phoneticPr fontId="140" type="noConversion"/>
  </si>
  <si>
    <t>3层1-301</t>
    <phoneticPr fontId="140" type="noConversion"/>
  </si>
  <si>
    <t>4层1-401</t>
    <phoneticPr fontId="140" type="noConversion"/>
  </si>
  <si>
    <t>5层1-501</t>
    <phoneticPr fontId="140" type="noConversion"/>
  </si>
  <si>
    <t>-</t>
    <phoneticPr fontId="140" type="noConversion"/>
  </si>
  <si>
    <t>出租情况</t>
    <phoneticPr fontId="31" type="noConversion"/>
  </si>
  <si>
    <t>一层</t>
    <phoneticPr fontId="140" type="noConversion"/>
  </si>
  <si>
    <t>二层</t>
    <phoneticPr fontId="140" type="noConversion"/>
  </si>
  <si>
    <t>三层</t>
    <phoneticPr fontId="140" type="noConversion"/>
  </si>
  <si>
    <t>四层</t>
    <phoneticPr fontId="140" type="noConversion"/>
  </si>
  <si>
    <t>五层</t>
    <phoneticPr fontId="140" type="noConversion"/>
  </si>
  <si>
    <t>房山区怡和北路3号院1号楼（首开福茂）</t>
    <phoneticPr fontId="140" type="noConversion"/>
  </si>
  <si>
    <t>业态（教培）</t>
    <phoneticPr fontId="140" type="noConversion"/>
  </si>
  <si>
    <t>整租分层租金总价（万元）</t>
    <phoneticPr fontId="140" type="noConversion"/>
  </si>
  <si>
    <t>建筑面积租金单价（元/平方米/天）</t>
    <phoneticPr fontId="140" type="noConversion"/>
  </si>
  <si>
    <t>套内（建筑）面积租金单价（元/平方米/天）</t>
    <phoneticPr fontId="140" type="noConversion"/>
  </si>
  <si>
    <t>大产证面积</t>
    <phoneticPr fontId="270" type="noConversion"/>
  </si>
  <si>
    <t>地块</t>
    <phoneticPr fontId="270" type="noConversion"/>
  </si>
  <si>
    <t>楼栋</t>
    <phoneticPr fontId="140" type="noConversion"/>
  </si>
  <si>
    <t>户型编号</t>
    <phoneticPr fontId="140" type="noConversion"/>
  </si>
  <si>
    <t>建筑面积</t>
    <phoneticPr fontId="140" type="noConversion"/>
  </si>
  <si>
    <t>套内面积</t>
    <phoneticPr fontId="140" type="noConversion"/>
  </si>
  <si>
    <t>备注</t>
    <phoneticPr fontId="140" type="noConversion"/>
  </si>
  <si>
    <t>042地块</t>
    <phoneticPr fontId="270" type="noConversion"/>
  </si>
  <si>
    <t>101</t>
  </si>
  <si>
    <t>102</t>
  </si>
  <si>
    <t>201</t>
  </si>
  <si>
    <t>202</t>
  </si>
  <si>
    <t>301</t>
  </si>
  <si>
    <t>302</t>
  </si>
  <si>
    <t>401</t>
  </si>
  <si>
    <t>402</t>
  </si>
  <si>
    <t>501</t>
  </si>
  <si>
    <t>502</t>
  </si>
  <si>
    <t>601</t>
  </si>
  <si>
    <t>602</t>
  </si>
  <si>
    <t>701</t>
  </si>
  <si>
    <t>702</t>
  </si>
  <si>
    <t>801</t>
  </si>
  <si>
    <t>802</t>
  </si>
  <si>
    <t>901</t>
  </si>
  <si>
    <t>902</t>
  </si>
  <si>
    <t>103</t>
  </si>
  <si>
    <t>104</t>
  </si>
  <si>
    <t>203</t>
  </si>
  <si>
    <t>-101</t>
  </si>
  <si>
    <t>-102</t>
  </si>
  <si>
    <t>-103</t>
  </si>
  <si>
    <t>-104</t>
  </si>
  <si>
    <t>-105</t>
  </si>
  <si>
    <t>-106</t>
    <phoneticPr fontId="140" type="noConversion"/>
  </si>
  <si>
    <t>-107</t>
  </si>
  <si>
    <t>-108</t>
  </si>
  <si>
    <t>-109</t>
  </si>
  <si>
    <t>044地块</t>
    <phoneticPr fontId="270" type="noConversion"/>
  </si>
  <si>
    <t>103</t>
    <phoneticPr fontId="140" type="noConversion"/>
  </si>
  <si>
    <t>201</t>
    <phoneticPr fontId="140" type="noConversion"/>
  </si>
  <si>
    <t>202</t>
    <phoneticPr fontId="140" type="noConversion"/>
  </si>
  <si>
    <t>203</t>
    <phoneticPr fontId="140" type="noConversion"/>
  </si>
  <si>
    <t>047地块</t>
    <phoneticPr fontId="270" type="noConversion"/>
  </si>
  <si>
    <t>301</t>
    <phoneticPr fontId="140" type="noConversion"/>
  </si>
  <si>
    <t>302</t>
    <phoneticPr fontId="140" type="noConversion"/>
  </si>
  <si>
    <t>401</t>
    <phoneticPr fontId="140" type="noConversion"/>
  </si>
  <si>
    <t>402</t>
    <phoneticPr fontId="140" type="noConversion"/>
  </si>
  <si>
    <t>501</t>
    <phoneticPr fontId="140" type="noConversion"/>
  </si>
  <si>
    <t>502</t>
    <phoneticPr fontId="140" type="noConversion"/>
  </si>
  <si>
    <t>601</t>
    <phoneticPr fontId="140" type="noConversion"/>
  </si>
  <si>
    <t>602</t>
    <phoneticPr fontId="140" type="noConversion"/>
  </si>
  <si>
    <t>701</t>
    <phoneticPr fontId="140" type="noConversion"/>
  </si>
  <si>
    <t>702</t>
    <phoneticPr fontId="140" type="noConversion"/>
  </si>
  <si>
    <t>801</t>
    <phoneticPr fontId="140" type="noConversion"/>
  </si>
  <si>
    <t>802</t>
    <phoneticPr fontId="140" type="noConversion"/>
  </si>
  <si>
    <t>901</t>
    <phoneticPr fontId="140" type="noConversion"/>
  </si>
  <si>
    <t>902</t>
    <phoneticPr fontId="140" type="noConversion"/>
  </si>
  <si>
    <t>1001</t>
    <phoneticPr fontId="140" type="noConversion"/>
  </si>
  <si>
    <t>1002</t>
    <phoneticPr fontId="140" type="noConversion"/>
  </si>
  <si>
    <t>1101</t>
    <phoneticPr fontId="140" type="noConversion"/>
  </si>
  <si>
    <t>1102</t>
    <phoneticPr fontId="140" type="noConversion"/>
  </si>
  <si>
    <t>1201</t>
    <phoneticPr fontId="140" type="noConversion"/>
  </si>
  <si>
    <t>1202</t>
    <phoneticPr fontId="140" type="noConversion"/>
  </si>
  <si>
    <t>1301</t>
    <phoneticPr fontId="140" type="noConversion"/>
  </si>
  <si>
    <t>1302</t>
    <phoneticPr fontId="140" type="noConversion"/>
  </si>
  <si>
    <t>-108</t>
    <phoneticPr fontId="140" type="noConversion"/>
  </si>
  <si>
    <t>-109</t>
    <phoneticPr fontId="140" type="noConversion"/>
  </si>
  <si>
    <t>地上/地下</t>
    <phoneticPr fontId="140" type="noConversion"/>
  </si>
  <si>
    <t>是否大产证面积</t>
    <phoneticPr fontId="140" type="noConversion"/>
  </si>
  <si>
    <t>租金单价</t>
    <phoneticPr fontId="140" type="noConversion"/>
  </si>
  <si>
    <t>租金合计</t>
    <phoneticPr fontId="140" type="noConversion"/>
  </si>
  <si>
    <t>均价</t>
    <phoneticPr fontId="140" type="noConversion"/>
  </si>
  <si>
    <t>地上</t>
    <phoneticPr fontId="140" type="noConversion"/>
  </si>
  <si>
    <t>是</t>
    <phoneticPr fontId="140" type="noConversion"/>
  </si>
  <si>
    <t>3</t>
    <phoneticPr fontId="140" type="noConversion"/>
  </si>
  <si>
    <t>办公</t>
    <phoneticPr fontId="140" type="noConversion"/>
  </si>
  <si>
    <t>3.4</t>
    <phoneticPr fontId="140" type="noConversion"/>
  </si>
  <si>
    <t>1.85</t>
    <phoneticPr fontId="140" type="noConversion"/>
  </si>
  <si>
    <t>1.85</t>
  </si>
  <si>
    <t>12399.78</t>
    <phoneticPr fontId="140" type="noConversion"/>
  </si>
  <si>
    <t>24496.37</t>
    <phoneticPr fontId="140" type="noConversion"/>
  </si>
  <si>
    <t>地下</t>
    <phoneticPr fontId="140" type="noConversion"/>
  </si>
  <si>
    <t>1.8</t>
    <phoneticPr fontId="140" type="noConversion"/>
  </si>
  <si>
    <t>否，暂未取得大产证</t>
    <phoneticPr fontId="140" type="noConversion"/>
  </si>
  <si>
    <t>分业态：</t>
    <phoneticPr fontId="270" type="noConversion"/>
  </si>
  <si>
    <t>业态</t>
    <phoneticPr fontId="270" type="noConversion"/>
  </si>
  <si>
    <t>楼号</t>
    <phoneticPr fontId="270" type="noConversion"/>
  </si>
  <si>
    <t>层数</t>
    <phoneticPr fontId="270" type="noConversion"/>
  </si>
  <si>
    <t>面积</t>
    <phoneticPr fontId="270" type="noConversion"/>
  </si>
  <si>
    <t>市场租金
(元/天/平米）</t>
    <phoneticPr fontId="270" type="noConversion"/>
  </si>
  <si>
    <t>办公</t>
    <phoneticPr fontId="270" type="noConversion"/>
  </si>
  <si>
    <t>1、2、4、5</t>
    <phoneticPr fontId="270" type="noConversion"/>
  </si>
  <si>
    <t>2-9层</t>
    <phoneticPr fontId="270" type="noConversion"/>
  </si>
  <si>
    <t>2-13层</t>
    <phoneticPr fontId="270" type="noConversion"/>
  </si>
  <si>
    <t>合计</t>
    <phoneticPr fontId="270" type="noConversion"/>
  </si>
  <si>
    <t>办公商业</t>
    <phoneticPr fontId="270" type="noConversion"/>
  </si>
  <si>
    <t>1、2、4、5、9</t>
    <phoneticPr fontId="270" type="noConversion"/>
  </si>
  <si>
    <t>1层</t>
    <phoneticPr fontId="270" type="noConversion"/>
  </si>
  <si>
    <t>独立商业</t>
    <phoneticPr fontId="270" type="noConversion"/>
  </si>
  <si>
    <t>1-2层</t>
    <phoneticPr fontId="270" type="noConversion"/>
  </si>
  <si>
    <t>地下商业</t>
    <phoneticPr fontId="270" type="noConversion"/>
  </si>
  <si>
    <t>042地下</t>
    <phoneticPr fontId="270" type="noConversion"/>
  </si>
  <si>
    <t>044地下</t>
    <phoneticPr fontId="270" type="noConversion"/>
  </si>
  <si>
    <t>047地下</t>
    <phoneticPr fontId="270" type="noConversion"/>
  </si>
  <si>
    <t>首开龙湖北京熙悦天街</t>
    <phoneticPr fontId="3" type="noConversion"/>
  </si>
  <si>
    <t>Ⅶ-房1</t>
  </si>
  <si>
    <t>商业</t>
    <phoneticPr fontId="269" type="noConversion"/>
  </si>
  <si>
    <t>1层</t>
    <phoneticPr fontId="269" type="noConversion"/>
  </si>
  <si>
    <t>2层</t>
    <phoneticPr fontId="269" type="noConversion"/>
  </si>
  <si>
    <t>楼层</t>
    <phoneticPr fontId="269" type="noConversion"/>
  </si>
  <si>
    <t>楼栋</t>
    <phoneticPr fontId="269" type="noConversion"/>
  </si>
  <si>
    <t>1、2、4、5</t>
    <phoneticPr fontId="269" type="noConversion"/>
  </si>
  <si>
    <t>建筑面积</t>
    <phoneticPr fontId="269" type="noConversion"/>
  </si>
  <si>
    <t>1栋101商业</t>
  </si>
  <si>
    <t>1栋101商业</t>
    <phoneticPr fontId="7" type="noConversion"/>
  </si>
  <si>
    <t>满糖街</t>
    <phoneticPr fontId="3" type="noConversion"/>
  </si>
  <si>
    <t>龙湖房山天街</t>
    <phoneticPr fontId="3" type="noConversion"/>
  </si>
  <si>
    <t>绿地诺亚方舟</t>
    <phoneticPr fontId="3" type="noConversion"/>
  </si>
  <si>
    <t>旭辉E天地</t>
    <phoneticPr fontId="3" type="noConversion"/>
  </si>
  <si>
    <t>小计</t>
    <phoneticPr fontId="140" type="noConversion"/>
  </si>
  <si>
    <t>小计</t>
    <phoneticPr fontId="269" type="noConversion"/>
  </si>
  <si>
    <t>楼栋</t>
    <phoneticPr fontId="269" type="noConversion"/>
  </si>
  <si>
    <t>地块</t>
    <phoneticPr fontId="269" type="noConversion"/>
  </si>
  <si>
    <t>楼层</t>
    <phoneticPr fontId="269" type="noConversion"/>
  </si>
  <si>
    <t>建筑面积</t>
    <phoneticPr fontId="269" type="noConversion"/>
  </si>
  <si>
    <t>小计</t>
    <phoneticPr fontId="269" type="noConversion"/>
  </si>
  <si>
    <t>合计</t>
    <phoneticPr fontId="269" type="noConversion"/>
  </si>
  <si>
    <t>总计</t>
    <phoneticPr fontId="269" type="noConversion"/>
  </si>
  <si>
    <t>套内面积</t>
    <phoneticPr fontId="269" type="noConversion"/>
  </si>
  <si>
    <t>楼栋</t>
    <phoneticPr fontId="269" type="noConversion"/>
  </si>
  <si>
    <r>
      <t>-</t>
    </r>
    <r>
      <rPr>
        <sz val="11"/>
        <color theme="1"/>
        <rFont val="DengXian"/>
        <charset val="134"/>
        <scheme val="minor"/>
      </rPr>
      <t>1</t>
    </r>
    <phoneticPr fontId="269" type="noConversion"/>
  </si>
  <si>
    <t>42、44、47</t>
    <phoneticPr fontId="269" type="noConversion"/>
  </si>
  <si>
    <t>1、2、4、5</t>
    <phoneticPr fontId="269" type="noConversion"/>
  </si>
  <si>
    <t>3、6</t>
    <phoneticPr fontId="269" type="noConversion"/>
  </si>
  <si>
    <r>
      <t>1</t>
    </r>
    <r>
      <rPr>
        <sz val="11"/>
        <color theme="1"/>
        <rFont val="DengXian"/>
        <charset val="134"/>
        <scheme val="minor"/>
      </rPr>
      <t>-2独立商业</t>
    </r>
    <phoneticPr fontId="269" type="noConversion"/>
  </si>
  <si>
    <t>2-9</t>
    <phoneticPr fontId="269" type="noConversion"/>
  </si>
  <si>
    <t>2-13</t>
    <phoneticPr fontId="269" type="noConversion"/>
  </si>
  <si>
    <t>1</t>
    <phoneticPr fontId="269" type="noConversion"/>
  </si>
  <si>
    <t>1、2、4、5、9</t>
    <phoneticPr fontId="269" type="noConversion"/>
  </si>
  <si>
    <t>楼层系数</t>
    <phoneticPr fontId="269" type="noConversion"/>
  </si>
  <si>
    <t>租金总价</t>
    <phoneticPr fontId="269" type="noConversion"/>
  </si>
  <si>
    <t>平均租金单价</t>
    <phoneticPr fontId="140" type="noConversion"/>
  </si>
  <si>
    <t>可视性</t>
    <phoneticPr fontId="269" type="noConversion"/>
  </si>
  <si>
    <t>写字楼配套</t>
    <phoneticPr fontId="140" type="noConversion"/>
  </si>
  <si>
    <t>龙湖房山天街</t>
    <phoneticPr fontId="31" type="noConversion"/>
  </si>
  <si>
    <t>万科长阳天地</t>
    <phoneticPr fontId="3" type="noConversion"/>
  </si>
  <si>
    <t>标准层高</t>
  </si>
  <si>
    <t>标准层高</t>
    <phoneticPr fontId="31" type="noConversion"/>
  </si>
  <si>
    <t>六通</t>
  </si>
  <si>
    <t>六通</t>
    <phoneticPr fontId="31" type="noConversion"/>
  </si>
  <si>
    <t>较好</t>
    <phoneticPr fontId="31" type="noConversion"/>
  </si>
  <si>
    <t>一般</t>
    <phoneticPr fontId="31" type="noConversion"/>
  </si>
  <si>
    <t>部位及房号</t>
    <phoneticPr fontId="269" type="noConversion"/>
  </si>
  <si>
    <t>套内建筑面积（㎡）</t>
    <phoneticPr fontId="140" type="noConversion"/>
  </si>
  <si>
    <t>用途</t>
    <phoneticPr fontId="140" type="noConversion"/>
  </si>
  <si>
    <t>是否取得不动产权证书</t>
    <phoneticPr fontId="140" type="noConversion"/>
  </si>
  <si>
    <t>否</t>
    <phoneticPr fontId="140" type="noConversion"/>
  </si>
  <si>
    <t>楼号</t>
    <phoneticPr fontId="140" type="noConversion"/>
  </si>
  <si>
    <t>-</t>
    <phoneticPr fontId="269" type="noConversion"/>
  </si>
  <si>
    <t>序号</t>
    <phoneticPr fontId="269" type="noConversion"/>
  </si>
  <si>
    <t>套内建筑面积</t>
    <phoneticPr fontId="26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</si>
</sst>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Red]\-#,##0.00\ "/>
  </numFmts>
  <fonts count="27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9"/>
      <name val="DengXian"/>
      <family val="4"/>
      <charset val="134"/>
      <scheme val="minor"/>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b/>
      <sz val="11"/>
      <color rgb="FFFF0000"/>
      <name val="FangSong"/>
      <family val="3"/>
      <charset val="134"/>
    </font>
    <font>
      <sz val="11"/>
      <name val="DengXian"/>
      <family val="3"/>
      <charset val="134"/>
      <scheme val="minor"/>
    </font>
    <font>
      <b/>
      <sz val="11"/>
      <name val="DengXian"/>
      <family val="3"/>
      <charset val="134"/>
      <scheme val="minor"/>
    </font>
    <font>
      <sz val="9"/>
      <name val="DengXian"/>
      <charset val="134"/>
      <scheme val="minor"/>
    </font>
    <font>
      <sz val="9"/>
      <name val="DengXian"/>
      <family val="2"/>
      <charset val="134"/>
      <scheme val="minor"/>
    </font>
    <font>
      <sz val="10"/>
      <color theme="1"/>
      <name val="微软雅黑"/>
      <family val="2"/>
      <charset val="134"/>
    </font>
    <font>
      <sz val="10"/>
      <name val="微软雅黑"/>
      <family val="2"/>
      <charset val="134"/>
    </font>
    <font>
      <sz val="10"/>
      <color indexed="8"/>
      <name val="微软雅黑"/>
      <family val="2"/>
      <charset val="134"/>
    </font>
    <font>
      <sz val="10"/>
      <color theme="1"/>
      <name val="DengXian"/>
      <family val="2"/>
      <scheme val="minor"/>
    </font>
    <font>
      <sz val="12"/>
      <color theme="1"/>
      <name val="微软雅黑"/>
      <family val="2"/>
      <charset val="134"/>
    </font>
    <font>
      <sz val="11"/>
      <color theme="1"/>
      <name val="DengXian"/>
      <charset val="134"/>
      <scheme val="minor"/>
    </font>
    <font>
      <sz val="10"/>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s>
  <borders count="1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hair">
        <color auto="1"/>
      </right>
      <top style="hair">
        <color auto="1"/>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top style="medium">
        <color indexed="64"/>
      </top>
      <bottom style="hair">
        <color auto="1"/>
      </bottom>
      <diagonal/>
    </border>
    <border>
      <left/>
      <right style="hair">
        <color auto="1"/>
      </right>
      <top style="medium">
        <color indexed="64"/>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55"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55" fillId="0" borderId="1" xfId="0" applyFont="1" applyBorder="1" applyAlignment="1" applyProtection="1">
      <alignment horizontal="center" vertical="center" wrapText="1"/>
      <protection locked="0"/>
    </xf>
    <xf numFmtId="10" fontId="49" fillId="8" borderId="61" xfId="0" applyNumberFormat="1" applyFont="1" applyFill="1" applyBorder="1" applyAlignment="1" applyProtection="1">
      <alignment horizontal="center" vertical="center"/>
    </xf>
    <xf numFmtId="0" fontId="258" fillId="0" borderId="0" xfId="10" applyFont="1">
      <alignment vertical="center"/>
    </xf>
    <xf numFmtId="0" fontId="259" fillId="0" borderId="1" xfId="10" applyFont="1" applyBorder="1" applyAlignment="1">
      <alignment horizontal="left" vertical="center" wrapText="1" shrinkToFit="1"/>
    </xf>
    <xf numFmtId="9" fontId="260" fillId="0" borderId="1" xfId="10" applyNumberFormat="1" applyFont="1" applyBorder="1" applyAlignment="1">
      <alignment horizontal="center" vertical="center" wrapText="1" shrinkToFit="1"/>
    </xf>
    <xf numFmtId="0" fontId="258" fillId="0" borderId="0" xfId="10" applyFont="1" applyAlignment="1"/>
    <xf numFmtId="0" fontId="258" fillId="0" borderId="0" xfId="10" applyFont="1" applyAlignment="1">
      <alignment vertical="center" wrapText="1"/>
    </xf>
    <xf numFmtId="49" fontId="258" fillId="0" borderId="1" xfId="10" applyNumberFormat="1" applyFont="1" applyBorder="1" applyAlignment="1">
      <alignment horizontal="center" vertical="center" wrapText="1" shrinkToFit="1"/>
    </xf>
    <xf numFmtId="0" fontId="258" fillId="0" borderId="1" xfId="10" applyFont="1" applyBorder="1" applyAlignment="1">
      <alignment vertical="center" wrapText="1" shrinkToFit="1"/>
    </xf>
    <xf numFmtId="0" fontId="258" fillId="0" borderId="1" xfId="10" applyFont="1" applyBorder="1" applyAlignment="1">
      <alignment horizontal="center" vertical="center" wrapText="1" shrinkToFit="1"/>
    </xf>
    <xf numFmtId="49" fontId="259" fillId="0" borderId="1" xfId="10" applyNumberFormat="1" applyFont="1" applyBorder="1" applyAlignment="1">
      <alignment horizontal="center" vertical="center" wrapText="1" shrinkToFit="1"/>
    </xf>
    <xf numFmtId="0" fontId="258" fillId="0" borderId="0" xfId="10" applyFont="1" applyAlignment="1">
      <alignment wrapText="1"/>
    </xf>
    <xf numFmtId="0" fontId="258" fillId="0" borderId="1" xfId="10" applyFont="1" applyBorder="1" applyAlignment="1">
      <alignment horizontal="left" vertical="center" wrapText="1" shrinkToFit="1"/>
    </xf>
    <xf numFmtId="179" fontId="258" fillId="21" borderId="1" xfId="10" applyNumberFormat="1" applyFont="1" applyFill="1" applyBorder="1" applyAlignment="1">
      <alignment horizontal="center" vertical="center" wrapText="1" shrinkToFit="1"/>
    </xf>
    <xf numFmtId="9" fontId="258" fillId="0" borderId="1" xfId="10" applyNumberFormat="1" applyFont="1" applyBorder="1" applyAlignment="1">
      <alignment horizontal="left" vertical="center" wrapText="1" shrinkToFit="1"/>
    </xf>
    <xf numFmtId="9" fontId="263" fillId="0" borderId="1" xfId="10" applyNumberFormat="1" applyFont="1" applyBorder="1" applyAlignment="1">
      <alignment horizontal="center" vertical="center" wrapText="1"/>
    </xf>
    <xf numFmtId="179" fontId="260" fillId="0" borderId="1" xfId="10" applyNumberFormat="1" applyFont="1" applyBorder="1" applyAlignment="1">
      <alignment horizontal="center" vertical="center" wrapText="1" shrinkToFit="1"/>
    </xf>
    <xf numFmtId="0" fontId="258" fillId="0" borderId="0" xfId="10" applyFont="1" applyAlignment="1">
      <alignment horizontal="center" vertical="center"/>
    </xf>
    <xf numFmtId="9" fontId="259" fillId="22" borderId="1" xfId="10" applyNumberFormat="1" applyFont="1" applyFill="1" applyBorder="1" applyAlignment="1">
      <alignment horizontal="center" vertical="center" wrapText="1"/>
    </xf>
    <xf numFmtId="0" fontId="258" fillId="0" borderId="0" xfId="10" applyFont="1" applyAlignment="1">
      <alignment vertical="center" wrapText="1" shrinkToFit="1"/>
    </xf>
    <xf numFmtId="179" fontId="258" fillId="0" borderId="0" xfId="10" applyNumberFormat="1" applyFont="1" applyAlignment="1">
      <alignment horizontal="center" vertical="center"/>
    </xf>
    <xf numFmtId="0" fontId="258" fillId="0" borderId="1" xfId="10" applyFont="1" applyBorder="1" applyAlignment="1">
      <alignment vertical="center" wrapText="1"/>
    </xf>
    <xf numFmtId="0" fontId="258" fillId="0" borderId="1" xfId="10" applyFont="1" applyBorder="1" applyAlignment="1">
      <alignment horizontal="center" vertical="center" wrapText="1"/>
    </xf>
    <xf numFmtId="9" fontId="259" fillId="0" borderId="1" xfId="10" applyNumberFormat="1" applyFont="1" applyBorder="1" applyAlignment="1">
      <alignment horizontal="center" vertical="center" wrapText="1"/>
    </xf>
    <xf numFmtId="9" fontId="258" fillId="0" borderId="1" xfId="10" applyNumberFormat="1" applyFont="1" applyBorder="1" applyAlignment="1">
      <alignment horizontal="center" vertical="center" wrapText="1"/>
    </xf>
    <xf numFmtId="179" fontId="258" fillId="0" borderId="0" xfId="10" applyNumberFormat="1" applyFont="1">
      <alignment vertical="center"/>
    </xf>
    <xf numFmtId="10" fontId="258" fillId="0" borderId="1" xfId="10" applyNumberFormat="1" applyFont="1" applyBorder="1" applyAlignment="1">
      <alignment horizontal="center" vertical="center" wrapText="1"/>
    </xf>
    <xf numFmtId="9" fontId="258" fillId="22" borderId="1" xfId="10" applyNumberFormat="1" applyFont="1" applyFill="1" applyBorder="1" applyAlignment="1">
      <alignment horizontal="center" vertical="center" wrapText="1"/>
    </xf>
    <xf numFmtId="10" fontId="257" fillId="0" borderId="1" xfId="10" applyNumberFormat="1" applyFont="1" applyBorder="1" applyAlignment="1">
      <alignment horizontal="center" vertical="center" wrapText="1"/>
    </xf>
    <xf numFmtId="0" fontId="258" fillId="0" borderId="1" xfId="10" applyFont="1" applyBorder="1" applyAlignment="1">
      <alignment wrapText="1"/>
    </xf>
    <xf numFmtId="0" fontId="258" fillId="0" borderId="0" xfId="1" applyFont="1" applyAlignment="1" applyProtection="1">
      <alignment horizontal="left" vertical="center"/>
      <protection hidden="1"/>
    </xf>
    <xf numFmtId="179" fontId="258" fillId="0" borderId="0" xfId="10" applyNumberFormat="1" applyFont="1" applyAlignment="1">
      <alignment vertical="center" wrapText="1" shrinkToFit="1"/>
    </xf>
    <xf numFmtId="181" fontId="258" fillId="0" borderId="0" xfId="10" applyNumberFormat="1" applyFont="1" applyAlignment="1">
      <alignment horizontal="center" vertical="center"/>
    </xf>
    <xf numFmtId="49" fontId="258" fillId="0" borderId="13" xfId="10" applyNumberFormat="1" applyFont="1" applyBorder="1" applyAlignment="1">
      <alignment horizontal="center" vertical="center" wrapText="1" shrinkToFit="1"/>
    </xf>
    <xf numFmtId="0" fontId="258" fillId="0" borderId="13" xfId="10" applyFont="1" applyBorder="1" applyAlignment="1">
      <alignment vertical="center" wrapText="1" shrinkToFi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180" fontId="258" fillId="0" borderId="54" xfId="10" applyNumberFormat="1" applyFont="1" applyBorder="1" applyAlignment="1">
      <alignment horizontal="center" vertical="center" wrapText="1" shrinkToFit="1"/>
    </xf>
    <xf numFmtId="0" fontId="258" fillId="0" borderId="3" xfId="10" applyFont="1" applyBorder="1" applyAlignment="1">
      <alignment horizontal="left" vertical="center" wrapText="1" shrinkToFit="1"/>
    </xf>
    <xf numFmtId="0" fontId="260" fillId="0" borderId="1" xfId="10" applyFont="1" applyBorder="1" applyAlignment="1">
      <alignment horizontal="center" vertical="center" wrapText="1" shrinkToFit="1"/>
    </xf>
    <xf numFmtId="10" fontId="258" fillId="0" borderId="1" xfId="10" applyNumberFormat="1" applyFont="1" applyBorder="1" applyAlignment="1">
      <alignment horizontal="center" vertical="center" wrapText="1" shrinkToFit="1"/>
    </xf>
    <xf numFmtId="9" fontId="258" fillId="0" borderId="0" xfId="10" applyNumberFormat="1" applyFont="1" applyAlignment="1">
      <alignment horizontal="center" vertical="center"/>
    </xf>
    <xf numFmtId="0" fontId="258" fillId="0" borderId="5" xfId="10" applyFont="1" applyBorder="1" applyAlignment="1">
      <alignment horizontal="right" vertical="center" wrapText="1" shrinkToFit="1"/>
    </xf>
    <xf numFmtId="49" fontId="258" fillId="0" borderId="54" xfId="10" applyNumberFormat="1" applyFont="1" applyBorder="1" applyAlignment="1">
      <alignment horizontal="center" vertical="center" wrapText="1" shrinkToFit="1"/>
    </xf>
    <xf numFmtId="10" fontId="257" fillId="0" borderId="0" xfId="10" applyNumberFormat="1" applyFont="1" applyAlignment="1">
      <alignment horizontal="center" vertical="center"/>
    </xf>
    <xf numFmtId="183" fontId="258" fillId="0" borderId="0" xfId="10" applyNumberFormat="1" applyFont="1" applyAlignment="1">
      <alignment horizontal="center" vertical="center"/>
    </xf>
    <xf numFmtId="10" fontId="258" fillId="0" borderId="0" xfId="10" applyNumberFormat="1" applyFont="1" applyAlignment="1">
      <alignment horizontal="center" vertical="center"/>
    </xf>
    <xf numFmtId="9" fontId="258" fillId="0" borderId="1" xfId="10" applyNumberFormat="1" applyFont="1" applyBorder="1" applyAlignment="1">
      <alignment horizontal="center" vertical="center" wrapText="1" shrinkToFit="1"/>
    </xf>
    <xf numFmtId="0" fontId="258" fillId="0" borderId="0" xfId="10" applyFont="1" applyAlignment="1">
      <alignment horizontal="left" vertical="center" wrapText="1"/>
    </xf>
    <xf numFmtId="0" fontId="258" fillId="0" borderId="0" xfId="10" applyFont="1" applyAlignment="1">
      <alignment horizontal="center" vertical="center" wrapText="1"/>
    </xf>
    <xf numFmtId="0" fontId="260" fillId="0" borderId="0" xfId="10" applyFont="1" applyAlignment="1">
      <alignment vertical="center" wrapText="1"/>
    </xf>
    <xf numFmtId="0" fontId="259" fillId="0" borderId="1" xfId="10" applyFont="1" applyBorder="1" applyAlignment="1">
      <alignment horizontal="center" vertical="center" wrapText="1"/>
    </xf>
    <xf numFmtId="178" fontId="259" fillId="0" borderId="1" xfId="10" applyNumberFormat="1" applyFont="1" applyBorder="1" applyAlignment="1">
      <alignment horizontal="center" vertical="center" wrapText="1"/>
    </xf>
    <xf numFmtId="0" fontId="260" fillId="0" borderId="0" xfId="10" applyFont="1" applyAlignment="1">
      <alignment horizontal="center" vertical="center" wrapText="1"/>
    </xf>
    <xf numFmtId="179" fontId="258" fillId="0" borderId="0" xfId="10" applyNumberFormat="1" applyFont="1" applyAlignment="1">
      <alignment vertical="center" wrapText="1"/>
    </xf>
    <xf numFmtId="0" fontId="258" fillId="7" borderId="1" xfId="10" applyFont="1" applyFill="1" applyBorder="1" applyAlignment="1">
      <alignment horizontal="center" vertical="center"/>
    </xf>
    <xf numFmtId="0" fontId="258" fillId="0" borderId="1" xfId="10" applyFont="1" applyBorder="1" applyAlignment="1">
      <alignment horizontal="center" vertical="center"/>
    </xf>
    <xf numFmtId="0" fontId="258" fillId="5" borderId="1" xfId="10" applyFont="1" applyFill="1" applyBorder="1" applyAlignment="1">
      <alignment horizontal="center" vertical="center"/>
    </xf>
    <xf numFmtId="0" fontId="258" fillId="25" borderId="1" xfId="10" applyFont="1" applyFill="1" applyBorder="1" applyAlignment="1">
      <alignment horizontal="center" vertical="center"/>
    </xf>
    <xf numFmtId="0" fontId="258" fillId="7" borderId="0" xfId="10" applyFont="1" applyFill="1" applyAlignment="1">
      <alignment horizontal="center" vertical="center"/>
    </xf>
    <xf numFmtId="0" fontId="258" fillId="5" borderId="0" xfId="10" applyFont="1" applyFill="1" applyAlignment="1">
      <alignment horizontal="center" vertical="center"/>
    </xf>
    <xf numFmtId="0" fontId="258" fillId="7" borderId="0" xfId="10" applyFont="1" applyFill="1" applyAlignment="1">
      <alignment vertical="center" wrapText="1"/>
    </xf>
    <xf numFmtId="178" fontId="258" fillId="7" borderId="0" xfId="10" applyNumberFormat="1" applyFont="1" applyFill="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0" xfId="0" applyFont="1" applyFill="1" applyAlignment="1" applyProtection="1">
      <alignment horizontal="center" vertical="center"/>
      <protection locked="0"/>
    </xf>
    <xf numFmtId="0" fontId="134" fillId="0" borderId="83" xfId="0" applyNumberFormat="1" applyFont="1" applyFill="1" applyBorder="1" applyAlignment="1" applyProtection="1">
      <alignment horizontal="center" vertical="center"/>
      <protection locked="0"/>
    </xf>
    <xf numFmtId="9" fontId="260" fillId="0" borderId="1" xfId="10" applyNumberFormat="1" applyFont="1" applyBorder="1" applyAlignment="1">
      <alignment horizontal="center" vertical="center" wrapText="1"/>
    </xf>
    <xf numFmtId="0" fontId="98" fillId="5" borderId="0" xfId="0" applyFont="1" applyFill="1" applyAlignment="1">
      <alignment horizontal="center" vertical="center" wrapText="1"/>
    </xf>
    <xf numFmtId="0" fontId="0" fillId="5" borderId="0" xfId="0" applyFill="1" applyAlignment="1">
      <alignment horizontal="center" vertical="center" wrapText="1"/>
    </xf>
    <xf numFmtId="181" fontId="266" fillId="5" borderId="1" xfId="10" applyNumberFormat="1" applyFont="1" applyFill="1" applyBorder="1" applyAlignment="1">
      <alignment horizontal="center" vertical="center" wrapText="1" shrinkToFit="1"/>
    </xf>
    <xf numFmtId="0" fontId="98" fillId="0" borderId="0" xfId="0" applyFont="1" applyAlignment="1">
      <alignment horizontal="center" vertical="center" wrapText="1"/>
    </xf>
    <xf numFmtId="0" fontId="267" fillId="7" borderId="1" xfId="0" applyFont="1" applyFill="1" applyBorder="1" applyAlignment="1">
      <alignment horizontal="center" vertical="center" wrapText="1"/>
    </xf>
    <xf numFmtId="49" fontId="267" fillId="7" borderId="1" xfId="0" applyNumberFormat="1" applyFont="1" applyFill="1" applyBorder="1" applyAlignment="1">
      <alignment horizontal="center" vertical="center" wrapText="1"/>
    </xf>
    <xf numFmtId="0" fontId="268" fillId="7" borderId="1" xfId="0" applyFont="1" applyFill="1" applyBorder="1" applyAlignment="1">
      <alignment horizontal="center" vertical="center" wrapText="1"/>
    </xf>
    <xf numFmtId="0" fontId="134" fillId="0" borderId="5" xfId="0" applyFont="1" applyFill="1" applyBorder="1" applyAlignment="1" applyProtection="1">
      <alignment horizontal="center" vertical="center" wrapText="1"/>
      <protection locked="0"/>
    </xf>
    <xf numFmtId="0" fontId="112" fillId="7" borderId="1" xfId="0" applyFont="1" applyFill="1" applyBorder="1" applyAlignment="1">
      <alignment horizontal="center" vertical="center" wrapText="1"/>
    </xf>
    <xf numFmtId="181" fontId="260" fillId="17" borderId="1" xfId="10" applyNumberFormat="1" applyFont="1" applyFill="1" applyBorder="1" applyAlignment="1">
      <alignment horizontal="center" vertical="center" wrapText="1" shrinkToFit="1"/>
    </xf>
    <xf numFmtId="0" fontId="60" fillId="17" borderId="3"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49" fontId="272" fillId="0" borderId="1" xfId="0" applyNumberFormat="1" applyFont="1" applyBorder="1" applyAlignment="1">
      <alignment horizontal="center" vertical="center" shrinkToFit="1"/>
    </xf>
    <xf numFmtId="0" fontId="272" fillId="0" borderId="1" xfId="0" applyFont="1" applyBorder="1" applyAlignment="1">
      <alignment horizontal="center" vertical="center" shrinkToFit="1"/>
    </xf>
    <xf numFmtId="176" fontId="273" fillId="0" borderId="1" xfId="0" applyNumberFormat="1" applyFont="1" applyBorder="1" applyAlignment="1">
      <alignment horizontal="center" vertical="center" shrinkToFit="1"/>
    </xf>
    <xf numFmtId="0" fontId="0" fillId="0" borderId="0" xfId="0" applyAlignment="1">
      <alignment horizontal="center" vertical="center"/>
    </xf>
    <xf numFmtId="40" fontId="0" fillId="0" borderId="0" xfId="0" applyNumberFormat="1" applyAlignment="1">
      <alignment horizontal="center" vertical="center"/>
    </xf>
    <xf numFmtId="0" fontId="0" fillId="0" borderId="1" xfId="0" applyBorder="1">
      <alignment vertical="center"/>
    </xf>
    <xf numFmtId="0" fontId="271" fillId="0" borderId="1" xfId="0" applyFont="1" applyBorder="1" applyAlignment="1">
      <alignment horizontal="center" vertical="center"/>
    </xf>
    <xf numFmtId="40" fontId="271" fillId="0" borderId="1" xfId="0" applyNumberFormat="1" applyFont="1" applyBorder="1" applyAlignment="1">
      <alignment horizontal="center" vertical="center"/>
    </xf>
    <xf numFmtId="0" fontId="271" fillId="0" borderId="1" xfId="0" applyFont="1" applyBorder="1">
      <alignment vertical="center"/>
    </xf>
    <xf numFmtId="40" fontId="272" fillId="0" borderId="1" xfId="0" applyNumberFormat="1" applyFont="1" applyBorder="1" applyAlignment="1">
      <alignment horizontal="center" vertical="center" shrinkToFit="1"/>
    </xf>
    <xf numFmtId="0" fontId="271" fillId="26" borderId="1" xfId="0" applyFont="1" applyFill="1" applyBorder="1">
      <alignment vertical="center"/>
    </xf>
    <xf numFmtId="49" fontId="272" fillId="26" borderId="1" xfId="0" applyNumberFormat="1" applyFont="1" applyFill="1" applyBorder="1" applyAlignment="1">
      <alignment horizontal="center" vertical="center" shrinkToFit="1"/>
    </xf>
    <xf numFmtId="40" fontId="272" fillId="26" borderId="1" xfId="0" applyNumberFormat="1" applyFont="1" applyFill="1" applyBorder="1" applyAlignment="1">
      <alignment horizontal="center" vertical="center" shrinkToFit="1"/>
    </xf>
    <xf numFmtId="0" fontId="271" fillId="0" borderId="1" xfId="0" applyFont="1" applyBorder="1" applyAlignment="1"/>
    <xf numFmtId="0" fontId="271" fillId="26" borderId="1" xfId="0" applyFont="1" applyFill="1" applyBorder="1" applyAlignment="1"/>
    <xf numFmtId="40" fontId="273" fillId="0" borderId="1" xfId="0" applyNumberFormat="1" applyFont="1" applyBorder="1" applyAlignment="1">
      <alignment horizontal="center" vertical="center" shrinkToFit="1"/>
    </xf>
    <xf numFmtId="0" fontId="274" fillId="0" borderId="0" xfId="0" applyFont="1" applyAlignment="1"/>
    <xf numFmtId="40" fontId="274" fillId="0" borderId="0" xfId="0" applyNumberFormat="1" applyFont="1" applyAlignment="1"/>
    <xf numFmtId="0" fontId="275" fillId="7" borderId="0" xfId="0" applyFont="1" applyFill="1" applyAlignment="1">
      <alignment horizontal="center" vertical="center"/>
    </xf>
    <xf numFmtId="0" fontId="275" fillId="7" borderId="160" xfId="0" applyFont="1" applyFill="1" applyBorder="1" applyAlignment="1">
      <alignment horizontal="center" vertical="center"/>
    </xf>
    <xf numFmtId="0" fontId="275" fillId="7" borderId="161" xfId="0" applyFont="1" applyFill="1" applyBorder="1" applyAlignment="1">
      <alignment horizontal="center" vertical="center"/>
    </xf>
    <xf numFmtId="0" fontId="275" fillId="7" borderId="162" xfId="0" applyFont="1" applyFill="1" applyBorder="1" applyAlignment="1">
      <alignment horizontal="center" vertical="center" wrapText="1"/>
    </xf>
    <xf numFmtId="0" fontId="275" fillId="7" borderId="164" xfId="0" applyFont="1" applyFill="1" applyBorder="1" applyAlignment="1">
      <alignment horizontal="center" vertical="center"/>
    </xf>
    <xf numFmtId="40" fontId="275" fillId="7" borderId="0" xfId="0" applyNumberFormat="1" applyFont="1" applyFill="1" applyAlignment="1">
      <alignment horizontal="center" vertical="center"/>
    </xf>
    <xf numFmtId="40" fontId="275" fillId="7" borderId="165" xfId="0" applyNumberFormat="1" applyFont="1" applyFill="1" applyBorder="1" applyAlignment="1">
      <alignment horizontal="center" vertical="center"/>
    </xf>
    <xf numFmtId="40" fontId="275" fillId="7" borderId="164" xfId="0" applyNumberFormat="1" applyFont="1" applyFill="1" applyBorder="1" applyAlignment="1">
      <alignment horizontal="center" vertical="center"/>
    </xf>
    <xf numFmtId="40" fontId="275" fillId="7" borderId="170" xfId="0" applyNumberFormat="1" applyFont="1" applyFill="1" applyBorder="1" applyAlignment="1">
      <alignment horizontal="center" vertical="center"/>
    </xf>
    <xf numFmtId="40" fontId="275" fillId="7" borderId="171" xfId="0" applyNumberFormat="1" applyFont="1" applyFill="1" applyBorder="1" applyAlignment="1">
      <alignment horizontal="center" vertical="center"/>
    </xf>
    <xf numFmtId="40" fontId="275" fillId="7" borderId="161" xfId="0" applyNumberFormat="1" applyFont="1" applyFill="1" applyBorder="1" applyAlignment="1">
      <alignment horizontal="center" vertical="center"/>
    </xf>
    <xf numFmtId="40" fontId="275" fillId="7" borderId="162" xfId="0" applyNumberFormat="1" applyFont="1" applyFill="1" applyBorder="1" applyAlignment="1">
      <alignment horizontal="center" vertical="center"/>
    </xf>
    <xf numFmtId="40" fontId="275" fillId="7" borderId="173" xfId="0" applyNumberFormat="1" applyFont="1" applyFill="1" applyBorder="1" applyAlignment="1">
      <alignment horizontal="center" vertical="center"/>
    </xf>
    <xf numFmtId="40" fontId="275" fillId="7" borderId="174" xfId="0" applyNumberFormat="1" applyFont="1" applyFill="1" applyBorder="1" applyAlignment="1">
      <alignment horizontal="center" vertical="center"/>
    </xf>
    <xf numFmtId="0" fontId="275" fillId="7" borderId="0" xfId="0" applyFont="1" applyFill="1" applyAlignment="1">
      <alignment horizontal="left" vertical="center"/>
    </xf>
    <xf numFmtId="197" fontId="275" fillId="7" borderId="0" xfId="0" applyNumberFormat="1" applyFont="1" applyFill="1" applyAlignment="1">
      <alignment horizontal="center" vertical="center"/>
    </xf>
    <xf numFmtId="0" fontId="0" fillId="0" borderId="1" xfId="0" applyBorder="1" applyAlignment="1">
      <alignment horizontal="center" vertical="center"/>
    </xf>
    <xf numFmtId="0" fontId="276" fillId="0" borderId="0" xfId="0" applyFont="1">
      <alignment vertical="center"/>
    </xf>
    <xf numFmtId="0" fontId="276" fillId="0" borderId="0" xfId="0" applyFont="1" applyFill="1" applyBorder="1">
      <alignment vertical="center"/>
    </xf>
    <xf numFmtId="49" fontId="272" fillId="0" borderId="1" xfId="0" applyNumberFormat="1" applyFont="1" applyBorder="1" applyAlignment="1" applyProtection="1">
      <alignment horizontal="center" vertical="center" shrinkToFit="1"/>
      <protection locked="0"/>
    </xf>
    <xf numFmtId="179" fontId="272" fillId="0" borderId="1" xfId="0" applyNumberFormat="1" applyFont="1" applyBorder="1" applyAlignment="1">
      <alignment horizontal="center" vertical="center" shrinkToFit="1"/>
    </xf>
    <xf numFmtId="0" fontId="276" fillId="0" borderId="0" xfId="0" applyFont="1" applyAlignment="1">
      <alignment horizontal="center" vertical="center"/>
    </xf>
    <xf numFmtId="49" fontId="272" fillId="0" borderId="58" xfId="0" applyNumberFormat="1" applyFont="1" applyBorder="1" applyAlignment="1">
      <alignment horizontal="center" vertical="center" shrinkToFit="1"/>
    </xf>
    <xf numFmtId="49" fontId="272" fillId="26" borderId="58" xfId="0" applyNumberFormat="1" applyFont="1" applyFill="1" applyBorder="1" applyAlignment="1">
      <alignment horizontal="center" vertical="center" shrinkToFit="1"/>
    </xf>
    <xf numFmtId="49" fontId="272" fillId="0" borderId="0" xfId="0" applyNumberFormat="1" applyFont="1" applyBorder="1" applyAlignment="1">
      <alignment horizontal="center" vertical="center" shrinkToFit="1"/>
    </xf>
    <xf numFmtId="179" fontId="272" fillId="0" borderId="0" xfId="0" applyNumberFormat="1" applyFont="1" applyBorder="1" applyAlignment="1">
      <alignment horizontal="center" vertical="center" shrinkToFit="1"/>
    </xf>
    <xf numFmtId="49" fontId="272" fillId="26" borderId="0" xfId="0" applyNumberFormat="1" applyFont="1" applyFill="1" applyBorder="1" applyAlignment="1">
      <alignment horizontal="center" vertical="center" shrinkToFit="1"/>
    </xf>
    <xf numFmtId="176" fontId="273" fillId="0" borderId="0" xfId="0" applyNumberFormat="1" applyFont="1" applyBorder="1" applyAlignment="1">
      <alignment horizontal="center" vertical="center" shrinkToFit="1"/>
    </xf>
    <xf numFmtId="0" fontId="272" fillId="0" borderId="0" xfId="0" applyFont="1" applyBorder="1" applyAlignment="1">
      <alignment horizontal="center" vertical="center" shrinkToFit="1"/>
    </xf>
    <xf numFmtId="49" fontId="0" fillId="0" borderId="0" xfId="0" applyNumberFormat="1" applyAlignment="1">
      <alignment horizontal="center" vertical="center"/>
    </xf>
    <xf numFmtId="0" fontId="271" fillId="0" borderId="58" xfId="0" applyFont="1" applyBorder="1" applyAlignment="1">
      <alignment horizontal="center" vertical="center"/>
    </xf>
    <xf numFmtId="0" fontId="271" fillId="28" borderId="1" xfId="0" applyFont="1" applyFill="1" applyBorder="1" applyAlignment="1">
      <alignment horizontal="center" vertical="center"/>
    </xf>
    <xf numFmtId="0" fontId="276" fillId="28" borderId="1" xfId="0" applyFont="1" applyFill="1" applyBorder="1" applyAlignment="1">
      <alignment horizontal="center" vertical="center"/>
    </xf>
    <xf numFmtId="0" fontId="276" fillId="27" borderId="1" xfId="0" applyFont="1" applyFill="1" applyBorder="1" applyAlignment="1">
      <alignment horizontal="center" vertical="center"/>
    </xf>
    <xf numFmtId="49" fontId="0" fillId="27" borderId="1" xfId="0" applyNumberFormat="1" applyFill="1" applyBorder="1" applyAlignment="1">
      <alignment horizontal="center" vertical="center"/>
    </xf>
    <xf numFmtId="0" fontId="0" fillId="27" borderId="1" xfId="0" applyFill="1" applyBorder="1" applyAlignment="1">
      <alignment horizontal="center" vertical="center"/>
    </xf>
    <xf numFmtId="49" fontId="0" fillId="28" borderId="1" xfId="0" applyNumberFormat="1" applyFill="1" applyBorder="1" applyAlignment="1">
      <alignment horizontal="center" vertical="center"/>
    </xf>
    <xf numFmtId="0" fontId="276" fillId="0" borderId="1" xfId="0" applyFont="1" applyBorder="1" applyAlignment="1">
      <alignment horizontal="center" vertical="center"/>
    </xf>
    <xf numFmtId="0" fontId="0" fillId="28" borderId="1" xfId="0" applyFill="1" applyBorder="1" applyAlignment="1">
      <alignment horizontal="center" vertical="center"/>
    </xf>
    <xf numFmtId="179" fontId="276" fillId="27" borderId="1" xfId="0" applyNumberFormat="1" applyFont="1" applyFill="1" applyBorder="1" applyAlignment="1">
      <alignment horizontal="center" vertical="center"/>
    </xf>
    <xf numFmtId="179" fontId="0" fillId="28" borderId="1" xfId="0" applyNumberFormat="1" applyFill="1" applyBorder="1" applyAlignment="1">
      <alignment horizontal="center" vertical="center"/>
    </xf>
    <xf numFmtId="176" fontId="0" fillId="27" borderId="1" xfId="0" applyNumberFormat="1" applyFill="1" applyBorder="1" applyAlignment="1">
      <alignment horizontal="center" vertical="center"/>
    </xf>
    <xf numFmtId="176" fontId="0" fillId="28" borderId="1" xfId="0" applyNumberFormat="1" applyFill="1" applyBorder="1" applyAlignment="1">
      <alignment horizontal="center" vertical="center"/>
    </xf>
    <xf numFmtId="0" fontId="276" fillId="29" borderId="1" xfId="0" applyFont="1" applyFill="1" applyBorder="1" applyAlignment="1">
      <alignment horizontal="center" vertical="center"/>
    </xf>
    <xf numFmtId="0" fontId="0" fillId="29" borderId="1" xfId="0" applyFill="1" applyBorder="1" applyAlignment="1">
      <alignment horizontal="center" vertical="center"/>
    </xf>
    <xf numFmtId="49" fontId="0" fillId="29" borderId="1" xfId="0" applyNumberFormat="1" applyFill="1" applyBorder="1" applyAlignment="1">
      <alignment horizontal="center" vertical="center"/>
    </xf>
    <xf numFmtId="176" fontId="0" fillId="29" borderId="1" xfId="0" applyNumberFormat="1" applyFill="1" applyBorder="1" applyAlignment="1">
      <alignment horizontal="center" vertical="center"/>
    </xf>
    <xf numFmtId="0" fontId="271" fillId="26" borderId="1" xfId="0" applyFont="1" applyFill="1" applyBorder="1" applyAlignment="1">
      <alignment horizontal="center" vertical="center"/>
    </xf>
    <xf numFmtId="176" fontId="0" fillId="0" borderId="0" xfId="0" applyNumberFormat="1" applyAlignment="1">
      <alignment horizontal="center" vertical="center"/>
    </xf>
    <xf numFmtId="0" fontId="277" fillId="0" borderId="1" xfId="0" applyFont="1" applyBorder="1" applyAlignment="1">
      <alignment horizontal="center" vertical="center"/>
    </xf>
    <xf numFmtId="49" fontId="277" fillId="0" borderId="1" xfId="0" applyNumberFormat="1" applyFont="1" applyBorder="1" applyAlignment="1">
      <alignment horizontal="center" vertical="center" shrinkToFit="1"/>
    </xf>
    <xf numFmtId="49" fontId="276" fillId="0" borderId="1" xfId="0" applyNumberFormat="1" applyFont="1" applyBorder="1" applyAlignment="1">
      <alignment horizontal="center" vertical="center"/>
    </xf>
    <xf numFmtId="176" fontId="276" fillId="0" borderId="1" xfId="0" applyNumberFormat="1" applyFont="1" applyFill="1" applyBorder="1" applyAlignment="1">
      <alignment horizontal="center" vertical="center"/>
    </xf>
    <xf numFmtId="176" fontId="276"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28" borderId="1" xfId="0" applyFill="1" applyBorder="1" applyAlignment="1">
      <alignment horizontal="center" vertical="center"/>
    </xf>
    <xf numFmtId="176" fontId="0" fillId="0" borderId="1" xfId="0" applyNumberFormat="1" applyFont="1" applyFill="1" applyBorder="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0" fillId="0" borderId="60"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71" fillId="0" borderId="5" xfId="0" applyFont="1" applyBorder="1" applyAlignment="1">
      <alignment horizontal="center"/>
    </xf>
    <xf numFmtId="0" fontId="271" fillId="0" borderId="3" xfId="0" applyFont="1" applyBorder="1" applyAlignment="1">
      <alignment horizontal="center"/>
    </xf>
    <xf numFmtId="0" fontId="0" fillId="0" borderId="22" xfId="0" applyBorder="1" applyAlignment="1">
      <alignment horizontal="center" vertical="center"/>
    </xf>
    <xf numFmtId="0" fontId="0" fillId="0" borderId="35" xfId="0" applyBorder="1" applyAlignment="1">
      <alignment horizontal="center" vertical="center"/>
    </xf>
    <xf numFmtId="0" fontId="275" fillId="7" borderId="163" xfId="0" applyFont="1" applyFill="1" applyBorder="1" applyAlignment="1">
      <alignment horizontal="center" vertical="center"/>
    </xf>
    <xf numFmtId="0" fontId="275" fillId="7" borderId="166" xfId="0" applyFont="1" applyFill="1" applyBorder="1" applyAlignment="1">
      <alignment horizontal="center" vertical="center"/>
    </xf>
    <xf numFmtId="0" fontId="275" fillId="7" borderId="167" xfId="0" applyFont="1" applyFill="1" applyBorder="1" applyAlignment="1">
      <alignment horizontal="center" vertical="center"/>
    </xf>
    <xf numFmtId="0" fontId="275" fillId="7" borderId="168" xfId="0" applyFont="1" applyFill="1" applyBorder="1" applyAlignment="1">
      <alignment horizontal="center" vertical="center"/>
    </xf>
    <xf numFmtId="0" fontId="275" fillId="7" borderId="169" xfId="0" applyFont="1" applyFill="1" applyBorder="1" applyAlignment="1">
      <alignment horizontal="center" vertical="center"/>
    </xf>
    <xf numFmtId="0" fontId="275" fillId="7" borderId="172" xfId="0" applyFont="1" applyFill="1" applyBorder="1" applyAlignment="1">
      <alignment horizontal="center" vertical="center"/>
    </xf>
    <xf numFmtId="0" fontId="275" fillId="7" borderId="16" xfId="0" applyFont="1" applyFill="1" applyBorder="1" applyAlignment="1">
      <alignment horizontal="center" vertical="center"/>
    </xf>
    <xf numFmtId="0" fontId="275" fillId="7" borderId="18" xfId="0" applyFont="1" applyFill="1" applyBorder="1" applyAlignment="1">
      <alignment horizontal="center" vertical="center"/>
    </xf>
    <xf numFmtId="0" fontId="275" fillId="7" borderId="42" xfId="0" applyFont="1" applyFill="1" applyBorder="1" applyAlignment="1">
      <alignment horizontal="center" vertical="center"/>
    </xf>
    <xf numFmtId="0" fontId="275" fillId="7" borderId="175" xfId="0" applyFont="1" applyFill="1" applyBorder="1" applyAlignment="1">
      <alignment horizontal="center" vertical="center"/>
    </xf>
    <xf numFmtId="0" fontId="275" fillId="7" borderId="176" xfId="0" applyFont="1" applyFill="1" applyBorder="1" applyAlignment="1">
      <alignment horizontal="center" vertical="center"/>
    </xf>
    <xf numFmtId="0" fontId="275" fillId="7" borderId="177" xfId="0" applyFont="1" applyFill="1" applyBorder="1" applyAlignment="1">
      <alignment horizontal="center" vertical="center"/>
    </xf>
    <xf numFmtId="0" fontId="275" fillId="7" borderId="178" xfId="0" applyFont="1" applyFill="1" applyBorder="1" applyAlignment="1">
      <alignment horizontal="center" vertical="center"/>
    </xf>
    <xf numFmtId="0" fontId="275" fillId="7" borderId="179" xfId="0" applyFont="1" applyFill="1" applyBorder="1" applyAlignment="1">
      <alignment horizontal="center" vertical="center"/>
    </xf>
    <xf numFmtId="49" fontId="272" fillId="28" borderId="1" xfId="0" applyNumberFormat="1" applyFont="1" applyFill="1" applyBorder="1" applyAlignment="1">
      <alignment horizontal="center" vertical="center" shrinkToFit="1"/>
    </xf>
    <xf numFmtId="0" fontId="0" fillId="28" borderId="1" xfId="0" applyFill="1" applyBorder="1" applyAlignment="1">
      <alignment horizontal="center" vertical="center"/>
    </xf>
    <xf numFmtId="0" fontId="271" fillId="0" borderId="5" xfId="0" applyFont="1" applyBorder="1" applyAlignment="1">
      <alignment horizontal="center" vertical="center"/>
    </xf>
    <xf numFmtId="0" fontId="271" fillId="0" borderId="3" xfId="0" applyFont="1" applyBorder="1" applyAlignment="1">
      <alignment horizontal="center" vertical="center"/>
    </xf>
    <xf numFmtId="0" fontId="267" fillId="7" borderId="13" xfId="0" applyFont="1" applyFill="1" applyBorder="1" applyAlignment="1">
      <alignment horizontal="center" vertical="center" wrapText="1"/>
    </xf>
    <xf numFmtId="0" fontId="267" fillId="7" borderId="15" xfId="0" applyFont="1" applyFill="1" applyBorder="1" applyAlignment="1">
      <alignment horizontal="center" vertical="center" wrapText="1"/>
    </xf>
    <xf numFmtId="0" fontId="267" fillId="7" borderId="2" xfId="0" applyFont="1" applyFill="1" applyBorder="1" applyAlignment="1">
      <alignment horizontal="center" vertical="center" wrapText="1"/>
    </xf>
    <xf numFmtId="0" fontId="267" fillId="7" borderId="5" xfId="0" applyFont="1" applyFill="1" applyBorder="1" applyAlignment="1">
      <alignment horizontal="center" vertical="center" wrapText="1"/>
    </xf>
    <xf numFmtId="0" fontId="267" fillId="7" borderId="3" xfId="0" applyFont="1" applyFill="1" applyBorder="1" applyAlignment="1">
      <alignment horizontal="center"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57" fillId="0" borderId="0" xfId="10" applyFont="1" applyAlignment="1">
      <alignment horizontal="center" vertical="center" wrapText="1"/>
    </xf>
    <xf numFmtId="0" fontId="258" fillId="0" borderId="1" xfId="10" applyFont="1" applyBorder="1" applyAlignment="1">
      <alignment horizontal="center" vertical="center" wrapTex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0" fontId="258" fillId="0" borderId="3" xfId="10" applyFont="1" applyBorder="1" applyAlignment="1">
      <alignment horizontal="center" vertical="center" wrapText="1" shrinkToFit="1"/>
    </xf>
    <xf numFmtId="0" fontId="258" fillId="0" borderId="1" xfId="10" applyFont="1" applyBorder="1" applyAlignment="1">
      <alignment horizontal="center" vertical="center" wrapText="1" shrinkToFit="1"/>
    </xf>
    <xf numFmtId="0" fontId="258" fillId="20" borderId="5" xfId="10" applyFont="1" applyFill="1" applyBorder="1" applyAlignment="1">
      <alignment horizontal="center" vertical="center" wrapText="1" shrinkToFit="1"/>
    </xf>
    <xf numFmtId="0" fontId="258" fillId="20" borderId="54" xfId="10" applyFont="1" applyFill="1" applyBorder="1" applyAlignment="1">
      <alignment horizontal="center" vertical="center" wrapText="1" shrinkToFit="1"/>
    </xf>
    <xf numFmtId="0" fontId="258" fillId="20" borderId="3" xfId="10" applyFont="1" applyFill="1" applyBorder="1" applyAlignment="1">
      <alignment horizontal="center" vertical="center" wrapText="1" shrinkToFit="1"/>
    </xf>
    <xf numFmtId="0" fontId="258" fillId="0" borderId="1" xfId="10" applyFont="1" applyBorder="1" applyAlignment="1">
      <alignment horizontal="left" vertical="center" wrapText="1" shrinkToFit="1"/>
    </xf>
    <xf numFmtId="0" fontId="258" fillId="0" borderId="46" xfId="10" applyFont="1" applyBorder="1" applyAlignment="1">
      <alignment horizontal="center" vertical="center" wrapText="1" shrinkToFit="1"/>
    </xf>
    <xf numFmtId="0" fontId="258" fillId="0" borderId="36" xfId="10" applyFont="1" applyBorder="1" applyAlignment="1">
      <alignment horizontal="center" vertical="center" wrapText="1" shrinkToFit="1"/>
    </xf>
    <xf numFmtId="0" fontId="258" fillId="0" borderId="22" xfId="10" applyFont="1" applyBorder="1" applyAlignment="1">
      <alignment horizontal="center" vertical="center" wrapText="1" shrinkToFit="1"/>
    </xf>
    <xf numFmtId="0" fontId="258" fillId="0" borderId="58" xfId="10" applyFont="1" applyBorder="1" applyAlignment="1">
      <alignment horizontal="center" vertical="center" wrapText="1" shrinkToFit="1"/>
    </xf>
    <xf numFmtId="0" fontId="258" fillId="0" borderId="0" xfId="10" applyFont="1" applyAlignment="1">
      <alignment horizontal="center" vertical="center" wrapText="1" shrinkToFit="1"/>
    </xf>
    <xf numFmtId="0" fontId="258" fillId="0" borderId="35" xfId="10" applyFont="1" applyBorder="1" applyAlignment="1">
      <alignment horizontal="center" vertical="center" wrapText="1" shrinkToFit="1"/>
    </xf>
    <xf numFmtId="0" fontId="258" fillId="0" borderId="4" xfId="10" applyFont="1" applyBorder="1" applyAlignment="1">
      <alignment horizontal="center" vertical="center" wrapText="1" shrinkToFit="1"/>
    </xf>
    <xf numFmtId="0" fontId="258" fillId="0" borderId="60" xfId="10" applyFont="1" applyBorder="1" applyAlignment="1">
      <alignment horizontal="center" vertical="center" wrapText="1" shrinkToFit="1"/>
    </xf>
    <xf numFmtId="0" fontId="258" fillId="0" borderId="7" xfId="10" applyFont="1" applyBorder="1" applyAlignment="1">
      <alignment horizontal="center" vertical="center" wrapText="1" shrinkToFit="1"/>
    </xf>
    <xf numFmtId="181" fontId="258" fillId="0" borderId="1" xfId="10" applyNumberFormat="1" applyFont="1" applyBorder="1" applyAlignment="1">
      <alignment horizontal="center" vertical="center" wrapText="1" shrinkToFit="1"/>
    </xf>
    <xf numFmtId="180" fontId="258" fillId="0" borderId="5" xfId="10" applyNumberFormat="1" applyFont="1" applyBorder="1" applyAlignment="1">
      <alignment horizontal="right" vertical="center" wrapText="1" shrinkToFit="1"/>
    </xf>
    <xf numFmtId="180" fontId="258" fillId="0" borderId="54" xfId="10" applyNumberFormat="1" applyFont="1" applyBorder="1" applyAlignment="1">
      <alignment horizontal="right" vertical="center" wrapText="1" shrinkToFit="1"/>
    </xf>
    <xf numFmtId="0" fontId="258" fillId="0" borderId="54" xfId="10" applyFont="1" applyBorder="1" applyAlignment="1">
      <alignment horizontal="left" vertical="center" wrapText="1" shrinkToFit="1"/>
    </xf>
    <xf numFmtId="0" fontId="258" fillId="0" borderId="3" xfId="10" applyFont="1" applyBorder="1" applyAlignment="1">
      <alignment horizontal="left" vertical="center" wrapText="1" shrinkToFit="1"/>
    </xf>
    <xf numFmtId="181" fontId="260" fillId="0" borderId="1" xfId="10" applyNumberFormat="1" applyFont="1" applyBorder="1" applyAlignment="1">
      <alignment horizontal="center" vertical="center" wrapText="1" shrinkToFit="1"/>
    </xf>
    <xf numFmtId="0" fontId="258" fillId="0" borderId="5" xfId="10" applyFont="1" applyBorder="1" applyAlignment="1">
      <alignment horizontal="right" vertical="center" wrapText="1" shrinkToFit="1"/>
    </xf>
    <xf numFmtId="0" fontId="258" fillId="0" borderId="54" xfId="10" applyFont="1" applyBorder="1" applyAlignment="1">
      <alignment horizontal="right" vertical="center" wrapText="1" shrinkToFit="1"/>
    </xf>
    <xf numFmtId="185" fontId="258" fillId="0" borderId="54" xfId="10" applyNumberFormat="1" applyFont="1" applyBorder="1" applyAlignment="1">
      <alignment horizontal="left" vertical="center" wrapText="1" shrinkToFit="1"/>
    </xf>
    <xf numFmtId="10" fontId="258" fillId="0" borderId="3" xfId="10" applyNumberFormat="1" applyFont="1" applyBorder="1" applyAlignment="1">
      <alignment horizontal="left" vertical="center" wrapText="1" shrinkToFit="1"/>
    </xf>
    <xf numFmtId="9" fontId="258" fillId="0" borderId="13" xfId="10" applyNumberFormat="1" applyFont="1" applyBorder="1" applyAlignment="1">
      <alignment horizontal="left" vertical="center" wrapText="1" shrinkToFit="1"/>
    </xf>
    <xf numFmtId="9" fontId="258" fillId="0" borderId="2" xfId="10" applyNumberFormat="1" applyFont="1" applyBorder="1" applyAlignment="1">
      <alignment horizontal="left" vertical="center" wrapText="1" shrinkToFit="1"/>
    </xf>
    <xf numFmtId="9" fontId="258" fillId="0" borderId="1" xfId="10" applyNumberFormat="1" applyFont="1" applyBorder="1" applyAlignment="1">
      <alignment horizontal="center" vertical="center" wrapText="1" shrinkToFit="1"/>
    </xf>
    <xf numFmtId="10" fontId="258" fillId="7" borderId="54" xfId="10" applyNumberFormat="1" applyFont="1" applyFill="1" applyBorder="1" applyAlignment="1">
      <alignment horizontal="left" vertical="center" wrapText="1" shrinkToFit="1"/>
    </xf>
    <xf numFmtId="10" fontId="258" fillId="7" borderId="3" xfId="10" applyNumberFormat="1" applyFont="1" applyFill="1" applyBorder="1" applyAlignment="1">
      <alignment horizontal="left" vertical="center" wrapText="1" shrinkToFit="1"/>
    </xf>
    <xf numFmtId="10" fontId="258" fillId="0" borderId="1" xfId="10" applyNumberFormat="1" applyFont="1" applyBorder="1" applyAlignment="1">
      <alignment horizontal="center" vertical="center" wrapText="1" shrinkToFit="1"/>
    </xf>
    <xf numFmtId="10" fontId="258" fillId="0" borderId="54" xfId="10" applyNumberFormat="1" applyFont="1" applyBorder="1" applyAlignment="1">
      <alignment horizontal="left" vertical="center" wrapText="1" shrinkToFit="1"/>
    </xf>
    <xf numFmtId="10" fontId="258" fillId="0" borderId="5" xfId="10" applyNumberFormat="1" applyFont="1" applyBorder="1" applyAlignment="1">
      <alignment horizontal="center" vertical="center" wrapText="1" shrinkToFit="1"/>
    </xf>
    <xf numFmtId="10" fontId="258" fillId="0" borderId="3" xfId="10" applyNumberFormat="1" applyFont="1" applyBorder="1" applyAlignment="1">
      <alignment horizontal="center" vertical="center" wrapText="1" shrinkToFit="1"/>
    </xf>
    <xf numFmtId="10" fontId="260" fillId="0" borderId="1" xfId="10" applyNumberFormat="1" applyFont="1" applyBorder="1" applyAlignment="1">
      <alignment horizontal="center" vertical="center" wrapText="1" shrinkToFit="1"/>
    </xf>
    <xf numFmtId="183" fontId="260" fillId="0" borderId="1" xfId="10" applyNumberFormat="1" applyFont="1" applyBorder="1" applyAlignment="1">
      <alignment horizontal="center" vertical="center" wrapText="1" shrinkToFit="1"/>
    </xf>
    <xf numFmtId="179" fontId="258" fillId="23" borderId="46" xfId="10" applyNumberFormat="1" applyFont="1" applyFill="1" applyBorder="1" applyAlignment="1">
      <alignment horizontal="center" vertical="center" wrapText="1" shrinkToFit="1"/>
    </xf>
    <xf numFmtId="179" fontId="258" fillId="23" borderId="36" xfId="10" applyNumberFormat="1" applyFont="1" applyFill="1" applyBorder="1" applyAlignment="1">
      <alignment horizontal="center" vertical="center" wrapText="1" shrinkToFit="1"/>
    </xf>
    <xf numFmtId="179" fontId="258" fillId="23" borderId="22" xfId="10" applyNumberFormat="1" applyFont="1" applyFill="1" applyBorder="1" applyAlignment="1">
      <alignment horizontal="center" vertical="center" wrapText="1" shrinkToFit="1"/>
    </xf>
    <xf numFmtId="179" fontId="258" fillId="23" borderId="4" xfId="10" applyNumberFormat="1" applyFont="1" applyFill="1" applyBorder="1" applyAlignment="1">
      <alignment horizontal="center" vertical="center" wrapText="1" shrinkToFit="1"/>
    </xf>
    <xf numFmtId="179" fontId="258" fillId="23" borderId="60" xfId="10" applyNumberFormat="1" applyFont="1" applyFill="1" applyBorder="1" applyAlignment="1">
      <alignment horizontal="center" vertical="center" wrapText="1" shrinkToFit="1"/>
    </xf>
    <xf numFmtId="179" fontId="258" fillId="23" borderId="7" xfId="10" applyNumberFormat="1" applyFont="1" applyFill="1" applyBorder="1" applyAlignment="1">
      <alignment horizontal="center" vertical="center" wrapText="1" shrinkToFit="1"/>
    </xf>
    <xf numFmtId="178" fontId="259" fillId="0" borderId="1" xfId="10" applyNumberFormat="1" applyFont="1" applyBorder="1" applyAlignment="1">
      <alignment horizontal="center" vertical="center" wrapText="1"/>
    </xf>
    <xf numFmtId="0" fontId="258" fillId="25" borderId="1" xfId="10" applyFont="1" applyFill="1" applyBorder="1" applyAlignment="1">
      <alignment horizontal="center" vertical="center"/>
    </xf>
    <xf numFmtId="0" fontId="263" fillId="24" borderId="0" xfId="10" applyFont="1" applyFill="1" applyAlignment="1">
      <alignment horizontal="center" vertical="center" wrapText="1"/>
    </xf>
    <xf numFmtId="0" fontId="259" fillId="0" borderId="1" xfId="10" applyFont="1" applyBorder="1" applyAlignment="1">
      <alignment horizontal="center" vertical="center" wrapText="1"/>
    </xf>
    <xf numFmtId="179" fontId="259" fillId="0" borderId="1" xfId="10" applyNumberFormat="1"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11"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218" fillId="0" borderId="37" xfId="0" applyFont="1" applyFill="1" applyBorder="1" applyAlignment="1" applyProtection="1">
      <alignment horizontal="center" vertical="center" wrapText="1"/>
      <protection locked="0"/>
    </xf>
    <xf numFmtId="0" fontId="218" fillId="0" borderId="48" xfId="0"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xf>
    <xf numFmtId="0" fontId="0" fillId="7" borderId="13" xfId="0" applyFill="1" applyBorder="1" applyAlignment="1">
      <alignment horizontal="center" vertical="center"/>
    </xf>
    <xf numFmtId="49" fontId="272" fillId="7" borderId="1" xfId="0" applyNumberFormat="1" applyFont="1" applyFill="1" applyBorder="1" applyAlignment="1">
      <alignment horizontal="center" vertical="center" shrinkToFit="1"/>
    </xf>
    <xf numFmtId="0" fontId="0" fillId="7" borderId="15" xfId="0" applyFill="1" applyBorder="1" applyAlignment="1">
      <alignment horizontal="center" vertical="center"/>
    </xf>
    <xf numFmtId="0" fontId="0" fillId="7" borderId="2" xfId="0" applyFill="1" applyBorder="1" applyAlignment="1">
      <alignment horizontal="center" vertical="center"/>
    </xf>
    <xf numFmtId="0" fontId="0" fillId="7" borderId="1" xfId="0" applyFill="1" applyBorder="1" applyAlignment="1">
      <alignment horizontal="center" vertical="center"/>
    </xf>
    <xf numFmtId="0" fontId="272" fillId="7" borderId="1" xfId="0" applyFont="1" applyFill="1" applyBorder="1" applyAlignment="1">
      <alignment horizontal="center" vertical="center" shrinkToFit="1"/>
    </xf>
    <xf numFmtId="176" fontId="273" fillId="7" borderId="1" xfId="0" applyNumberFormat="1" applyFont="1" applyFill="1" applyBorder="1" applyAlignment="1">
      <alignment horizontal="center" vertical="center" shrinkToFit="1"/>
    </xf>
    <xf numFmtId="0" fontId="0" fillId="7" borderId="0" xfId="0" applyFill="1" applyAlignment="1">
      <alignment horizontal="center" vertical="center"/>
    </xf>
    <xf numFmtId="0" fontId="271" fillId="7" borderId="1" xfId="0" applyFont="1" applyFill="1" applyBorder="1" applyAlignment="1">
      <alignment horizontal="center"/>
    </xf>
    <xf numFmtId="179" fontId="272" fillId="7" borderId="1" xfId="0" applyNumberFormat="1" applyFont="1" applyFill="1" applyBorder="1" applyAlignment="1">
      <alignment horizontal="center" vertical="center" shrinkToFit="1"/>
    </xf>
    <xf numFmtId="0" fontId="271" fillId="7" borderId="5" xfId="0" applyFont="1" applyFill="1" applyBorder="1" applyAlignment="1">
      <alignment horizontal="center"/>
    </xf>
    <xf numFmtId="176" fontId="272" fillId="7" borderId="1" xfId="0" applyNumberFormat="1" applyFont="1" applyFill="1" applyBorder="1" applyAlignment="1">
      <alignment horizontal="center" vertical="center" shrinkToFit="1"/>
    </xf>
    <xf numFmtId="0" fontId="0" fillId="7" borderId="1" xfId="0" applyFill="1" applyBorder="1" applyAlignment="1">
      <alignment horizontal="center" vertical="center"/>
    </xf>
    <xf numFmtId="176" fontId="0" fillId="7" borderId="1" xfId="0" applyNumberFormat="1" applyFill="1" applyBorder="1" applyAlignment="1">
      <alignment horizontal="center" vertical="center"/>
    </xf>
    <xf numFmtId="179" fontId="0" fillId="0" borderId="0" xfId="0" applyNumberFormat="1" applyAlignment="1">
      <alignment horizontal="center"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png"/><Relationship Id="rId4" Type="http://schemas.openxmlformats.org/officeDocument/2006/relationships/image" Target="../media/image4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85</xdr:row>
      <xdr:rowOff>0</xdr:rowOff>
    </xdr:from>
    <xdr:to>
      <xdr:col>18</xdr:col>
      <xdr:colOff>408986</xdr:colOff>
      <xdr:row>93</xdr:row>
      <xdr:rowOff>209314</xdr:rowOff>
    </xdr:to>
    <xdr:pic>
      <xdr:nvPicPr>
        <xdr:cNvPr id="2" name="图片 1">
          <a:extLst>
            <a:ext uri="{FF2B5EF4-FFF2-40B4-BE49-F238E27FC236}">
              <a16:creationId xmlns:a16="http://schemas.microsoft.com/office/drawing/2014/main" id="{4D522B1A-839E-4BF5-859C-4FF8D86953ED}"/>
            </a:ext>
          </a:extLst>
        </xdr:cNvPr>
        <xdr:cNvPicPr>
          <a:picLocks noChangeAspect="1"/>
        </xdr:cNvPicPr>
      </xdr:nvPicPr>
      <xdr:blipFill>
        <a:blip xmlns:r="http://schemas.openxmlformats.org/officeDocument/2006/relationships" r:embed="rId1"/>
        <a:stretch>
          <a:fillRect/>
        </a:stretch>
      </xdr:blipFill>
      <xdr:spPr>
        <a:xfrm>
          <a:off x="7239000" y="17783175"/>
          <a:ext cx="4714286" cy="1885714"/>
        </a:xfrm>
        <a:prstGeom prst="rect">
          <a:avLst/>
        </a:prstGeom>
      </xdr:spPr>
    </xdr:pic>
    <xdr:clientData/>
  </xdr:twoCellAnchor>
  <xdr:twoCellAnchor editAs="oneCell">
    <xdr:from>
      <xdr:col>13</xdr:col>
      <xdr:colOff>66675</xdr:colOff>
      <xdr:row>94</xdr:row>
      <xdr:rowOff>38100</xdr:rowOff>
    </xdr:from>
    <xdr:to>
      <xdr:col>18</xdr:col>
      <xdr:colOff>351851</xdr:colOff>
      <xdr:row>98</xdr:row>
      <xdr:rowOff>123710</xdr:rowOff>
    </xdr:to>
    <xdr:pic>
      <xdr:nvPicPr>
        <xdr:cNvPr id="3" name="图片 2">
          <a:extLst>
            <a:ext uri="{FF2B5EF4-FFF2-40B4-BE49-F238E27FC236}">
              <a16:creationId xmlns:a16="http://schemas.microsoft.com/office/drawing/2014/main" id="{EA2B0AC7-99F1-431B-8D69-5C0212304750}"/>
            </a:ext>
          </a:extLst>
        </xdr:cNvPr>
        <xdr:cNvPicPr>
          <a:picLocks noChangeAspect="1"/>
        </xdr:cNvPicPr>
      </xdr:nvPicPr>
      <xdr:blipFill>
        <a:blip xmlns:r="http://schemas.openxmlformats.org/officeDocument/2006/relationships" r:embed="rId2"/>
        <a:stretch>
          <a:fillRect/>
        </a:stretch>
      </xdr:blipFill>
      <xdr:spPr>
        <a:xfrm>
          <a:off x="7305675" y="19707225"/>
          <a:ext cx="4590476" cy="9238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66675</xdr:colOff>
      <xdr:row>0</xdr:row>
      <xdr:rowOff>209550</xdr:rowOff>
    </xdr:from>
    <xdr:to>
      <xdr:col>16</xdr:col>
      <xdr:colOff>265518</xdr:colOff>
      <xdr:row>11</xdr:row>
      <xdr:rowOff>74250</xdr:rowOff>
    </xdr:to>
    <xdr:pic>
      <xdr:nvPicPr>
        <xdr:cNvPr id="2" name="图片 1">
          <a:extLst>
            <a:ext uri="{FF2B5EF4-FFF2-40B4-BE49-F238E27FC236}">
              <a16:creationId xmlns:a16="http://schemas.microsoft.com/office/drawing/2014/main" id="{2965DE84-B852-4EA0-B91D-3212CC523DA6}"/>
            </a:ext>
          </a:extLst>
        </xdr:cNvPr>
        <xdr:cNvPicPr>
          <a:picLocks noChangeAspect="1"/>
        </xdr:cNvPicPr>
      </xdr:nvPicPr>
      <xdr:blipFill>
        <a:blip xmlns:r="http://schemas.openxmlformats.org/officeDocument/2006/relationships" r:embed="rId1"/>
        <a:stretch>
          <a:fillRect/>
        </a:stretch>
      </xdr:blipFill>
      <xdr:spPr>
        <a:xfrm>
          <a:off x="6276975" y="209550"/>
          <a:ext cx="5685243" cy="274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419100</xdr:colOff>
      <xdr:row>44</xdr:row>
      <xdr:rowOff>104775</xdr:rowOff>
    </xdr:from>
    <xdr:to>
      <xdr:col>22</xdr:col>
      <xdr:colOff>399414</xdr:colOff>
      <xdr:row>61</xdr:row>
      <xdr:rowOff>85282</xdr:rowOff>
    </xdr:to>
    <xdr:pic>
      <xdr:nvPicPr>
        <xdr:cNvPr id="2" name="图片 1">
          <a:extLst>
            <a:ext uri="{FF2B5EF4-FFF2-40B4-BE49-F238E27FC236}">
              <a16:creationId xmlns:a16="http://schemas.microsoft.com/office/drawing/2014/main" id="{D221BF75-E0D9-420C-B922-C84E76FF1DA7}"/>
            </a:ext>
          </a:extLst>
        </xdr:cNvPr>
        <xdr:cNvPicPr>
          <a:picLocks noChangeAspect="1"/>
        </xdr:cNvPicPr>
      </xdr:nvPicPr>
      <xdr:blipFill>
        <a:blip xmlns:r="http://schemas.openxmlformats.org/officeDocument/2006/relationships" r:embed="rId1"/>
        <a:stretch>
          <a:fillRect/>
        </a:stretch>
      </xdr:blipFill>
      <xdr:spPr>
        <a:xfrm>
          <a:off x="4410075" y="9296400"/>
          <a:ext cx="5085714" cy="3542857"/>
        </a:xfrm>
        <a:prstGeom prst="rect">
          <a:avLst/>
        </a:prstGeom>
      </xdr:spPr>
    </xdr:pic>
    <xdr:clientData/>
  </xdr:twoCellAnchor>
  <xdr:twoCellAnchor editAs="oneCell">
    <xdr:from>
      <xdr:col>24</xdr:col>
      <xdr:colOff>238125</xdr:colOff>
      <xdr:row>0</xdr:row>
      <xdr:rowOff>0</xdr:rowOff>
    </xdr:from>
    <xdr:to>
      <xdr:col>33</xdr:col>
      <xdr:colOff>161163</xdr:colOff>
      <xdr:row>7</xdr:row>
      <xdr:rowOff>199820</xdr:rowOff>
    </xdr:to>
    <xdr:pic>
      <xdr:nvPicPr>
        <xdr:cNvPr id="3" name="图片 2">
          <a:extLst>
            <a:ext uri="{FF2B5EF4-FFF2-40B4-BE49-F238E27FC236}">
              <a16:creationId xmlns:a16="http://schemas.microsoft.com/office/drawing/2014/main" id="{098AD288-34F0-4EB9-96EF-F508F95DD8CA}"/>
            </a:ext>
          </a:extLst>
        </xdr:cNvPr>
        <xdr:cNvPicPr>
          <a:picLocks noChangeAspect="1"/>
        </xdr:cNvPicPr>
      </xdr:nvPicPr>
      <xdr:blipFill>
        <a:blip xmlns:r="http://schemas.openxmlformats.org/officeDocument/2006/relationships" r:embed="rId2"/>
        <a:stretch>
          <a:fillRect/>
        </a:stretch>
      </xdr:blipFill>
      <xdr:spPr>
        <a:xfrm>
          <a:off x="11420475" y="0"/>
          <a:ext cx="6095238" cy="16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561975</xdr:colOff>
      <xdr:row>0</xdr:row>
      <xdr:rowOff>0</xdr:rowOff>
    </xdr:from>
    <xdr:to>
      <xdr:col>22</xdr:col>
      <xdr:colOff>466137</xdr:colOff>
      <xdr:row>24</xdr:row>
      <xdr:rowOff>113729</xdr:rowOff>
    </xdr:to>
    <xdr:pic>
      <xdr:nvPicPr>
        <xdr:cNvPr id="2" name="图片 1">
          <a:extLst>
            <a:ext uri="{FF2B5EF4-FFF2-40B4-BE49-F238E27FC236}">
              <a16:creationId xmlns:a16="http://schemas.microsoft.com/office/drawing/2014/main" id="{65591C14-FFFC-468C-BF48-56162149DF1F}"/>
            </a:ext>
          </a:extLst>
        </xdr:cNvPr>
        <xdr:cNvPicPr>
          <a:picLocks noChangeAspect="1"/>
        </xdr:cNvPicPr>
      </xdr:nvPicPr>
      <xdr:blipFill>
        <a:blip xmlns:r="http://schemas.openxmlformats.org/officeDocument/2006/relationships" r:embed="rId1"/>
        <a:stretch>
          <a:fillRect/>
        </a:stretch>
      </xdr:blipFill>
      <xdr:spPr>
        <a:xfrm>
          <a:off x="10201275" y="0"/>
          <a:ext cx="4704762" cy="4571429"/>
        </a:xfrm>
        <a:prstGeom prst="rect">
          <a:avLst/>
        </a:prstGeom>
      </xdr:spPr>
    </xdr:pic>
    <xdr:clientData/>
  </xdr:twoCellAnchor>
  <xdr:twoCellAnchor editAs="oneCell">
    <xdr:from>
      <xdr:col>13</xdr:col>
      <xdr:colOff>85725</xdr:colOff>
      <xdr:row>27</xdr:row>
      <xdr:rowOff>47625</xdr:rowOff>
    </xdr:from>
    <xdr:to>
      <xdr:col>21</xdr:col>
      <xdr:colOff>459519</xdr:colOff>
      <xdr:row>44</xdr:row>
      <xdr:rowOff>133351</xdr:rowOff>
    </xdr:to>
    <xdr:pic>
      <xdr:nvPicPr>
        <xdr:cNvPr id="3" name="图片 2">
          <a:extLst>
            <a:ext uri="{FF2B5EF4-FFF2-40B4-BE49-F238E27FC236}">
              <a16:creationId xmlns:a16="http://schemas.microsoft.com/office/drawing/2014/main" id="{434D6F7B-D678-4EB0-8CC7-2B04F3F4A7A1}"/>
            </a:ext>
          </a:extLst>
        </xdr:cNvPr>
        <xdr:cNvPicPr>
          <a:picLocks noChangeAspect="1"/>
        </xdr:cNvPicPr>
      </xdr:nvPicPr>
      <xdr:blipFill>
        <a:blip xmlns:r="http://schemas.openxmlformats.org/officeDocument/2006/relationships" r:embed="rId2"/>
        <a:stretch>
          <a:fillRect/>
        </a:stretch>
      </xdr:blipFill>
      <xdr:spPr>
        <a:xfrm>
          <a:off x="7572375" y="5019675"/>
          <a:ext cx="5860194" cy="3000376"/>
        </a:xfrm>
        <a:prstGeom prst="rect">
          <a:avLst/>
        </a:prstGeom>
      </xdr:spPr>
    </xdr:pic>
    <xdr:clientData/>
  </xdr:twoCellAnchor>
  <xdr:twoCellAnchor editAs="oneCell">
    <xdr:from>
      <xdr:col>0</xdr:col>
      <xdr:colOff>0</xdr:colOff>
      <xdr:row>14</xdr:row>
      <xdr:rowOff>38100</xdr:rowOff>
    </xdr:from>
    <xdr:to>
      <xdr:col>6</xdr:col>
      <xdr:colOff>916790</xdr:colOff>
      <xdr:row>35</xdr:row>
      <xdr:rowOff>56698</xdr:rowOff>
    </xdr:to>
    <xdr:pic>
      <xdr:nvPicPr>
        <xdr:cNvPr id="4" name="图片 3">
          <a:extLst>
            <a:ext uri="{FF2B5EF4-FFF2-40B4-BE49-F238E27FC236}">
              <a16:creationId xmlns:a16="http://schemas.microsoft.com/office/drawing/2014/main" id="{024468FB-A1B0-4A63-99F9-837709C87FB9}"/>
            </a:ext>
          </a:extLst>
        </xdr:cNvPr>
        <xdr:cNvPicPr>
          <a:picLocks noChangeAspect="1"/>
        </xdr:cNvPicPr>
      </xdr:nvPicPr>
      <xdr:blipFill>
        <a:blip xmlns:r="http://schemas.openxmlformats.org/officeDocument/2006/relationships" r:embed="rId3"/>
        <a:stretch>
          <a:fillRect/>
        </a:stretch>
      </xdr:blipFill>
      <xdr:spPr>
        <a:xfrm>
          <a:off x="0" y="2781300"/>
          <a:ext cx="6276190" cy="3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490694</xdr:colOff>
      <xdr:row>7</xdr:row>
      <xdr:rowOff>161925</xdr:rowOff>
    </xdr:to>
    <xdr:pic>
      <xdr:nvPicPr>
        <xdr:cNvPr id="17" name="图片 16">
          <a:extLst>
            <a:ext uri="{FF2B5EF4-FFF2-40B4-BE49-F238E27FC236}">
              <a16:creationId xmlns:a16="http://schemas.microsoft.com/office/drawing/2014/main" id="{942A03B4-8397-43EB-BAFA-C3CC2E6F9E8F}"/>
            </a:ext>
          </a:extLst>
        </xdr:cNvPr>
        <xdr:cNvPicPr>
          <a:picLocks noChangeAspect="1"/>
        </xdr:cNvPicPr>
      </xdr:nvPicPr>
      <xdr:blipFill>
        <a:blip xmlns:r="http://schemas.openxmlformats.org/officeDocument/2006/relationships" r:embed="rId1"/>
        <a:stretch>
          <a:fillRect/>
        </a:stretch>
      </xdr:blipFill>
      <xdr:spPr>
        <a:xfrm>
          <a:off x="0" y="0"/>
          <a:ext cx="9282269" cy="1428750"/>
        </a:xfrm>
        <a:prstGeom prst="rect">
          <a:avLst/>
        </a:prstGeom>
      </xdr:spPr>
    </xdr:pic>
    <xdr:clientData/>
  </xdr:twoCellAnchor>
  <xdr:twoCellAnchor editAs="oneCell">
    <xdr:from>
      <xdr:col>0</xdr:col>
      <xdr:colOff>0</xdr:colOff>
      <xdr:row>8</xdr:row>
      <xdr:rowOff>0</xdr:rowOff>
    </xdr:from>
    <xdr:to>
      <xdr:col>14</xdr:col>
      <xdr:colOff>67498</xdr:colOff>
      <xdr:row>16</xdr:row>
      <xdr:rowOff>9525</xdr:rowOff>
    </xdr:to>
    <xdr:pic>
      <xdr:nvPicPr>
        <xdr:cNvPr id="18" name="图片 17">
          <a:extLst>
            <a:ext uri="{FF2B5EF4-FFF2-40B4-BE49-F238E27FC236}">
              <a16:creationId xmlns:a16="http://schemas.microsoft.com/office/drawing/2014/main" id="{E18D49F8-98A6-4FA7-BD2F-8ACB7302E65A}"/>
            </a:ext>
          </a:extLst>
        </xdr:cNvPr>
        <xdr:cNvPicPr>
          <a:picLocks noChangeAspect="1"/>
        </xdr:cNvPicPr>
      </xdr:nvPicPr>
      <xdr:blipFill>
        <a:blip xmlns:r="http://schemas.openxmlformats.org/officeDocument/2006/relationships" r:embed="rId2"/>
        <a:stretch>
          <a:fillRect/>
        </a:stretch>
      </xdr:blipFill>
      <xdr:spPr>
        <a:xfrm>
          <a:off x="0" y="1447800"/>
          <a:ext cx="9535348" cy="1457325"/>
        </a:xfrm>
        <a:prstGeom prst="rect">
          <a:avLst/>
        </a:prstGeom>
      </xdr:spPr>
    </xdr:pic>
    <xdr:clientData/>
  </xdr:twoCellAnchor>
  <xdr:twoCellAnchor editAs="oneCell">
    <xdr:from>
      <xdr:col>0</xdr:col>
      <xdr:colOff>0</xdr:colOff>
      <xdr:row>17</xdr:row>
      <xdr:rowOff>0</xdr:rowOff>
    </xdr:from>
    <xdr:to>
      <xdr:col>13</xdr:col>
      <xdr:colOff>656044</xdr:colOff>
      <xdr:row>25</xdr:row>
      <xdr:rowOff>66486</xdr:rowOff>
    </xdr:to>
    <xdr:pic>
      <xdr:nvPicPr>
        <xdr:cNvPr id="19" name="图片 18">
          <a:extLst>
            <a:ext uri="{FF2B5EF4-FFF2-40B4-BE49-F238E27FC236}">
              <a16:creationId xmlns:a16="http://schemas.microsoft.com/office/drawing/2014/main" id="{B2B9E024-57C0-4164-B4EC-68CC223AC0C3}"/>
            </a:ext>
          </a:extLst>
        </xdr:cNvPr>
        <xdr:cNvPicPr>
          <a:picLocks noChangeAspect="1"/>
        </xdr:cNvPicPr>
      </xdr:nvPicPr>
      <xdr:blipFill>
        <a:blip xmlns:r="http://schemas.openxmlformats.org/officeDocument/2006/relationships" r:embed="rId3"/>
        <a:stretch>
          <a:fillRect/>
        </a:stretch>
      </xdr:blipFill>
      <xdr:spPr>
        <a:xfrm>
          <a:off x="0" y="3076575"/>
          <a:ext cx="9447619" cy="1514286"/>
        </a:xfrm>
        <a:prstGeom prst="rect">
          <a:avLst/>
        </a:prstGeom>
      </xdr:spPr>
    </xdr:pic>
    <xdr:clientData/>
  </xdr:twoCellAnchor>
  <xdr:twoCellAnchor editAs="oneCell">
    <xdr:from>
      <xdr:col>0</xdr:col>
      <xdr:colOff>0</xdr:colOff>
      <xdr:row>26</xdr:row>
      <xdr:rowOff>133350</xdr:rowOff>
    </xdr:from>
    <xdr:to>
      <xdr:col>14</xdr:col>
      <xdr:colOff>208340</xdr:colOff>
      <xdr:row>35</xdr:row>
      <xdr:rowOff>18861</xdr:rowOff>
    </xdr:to>
    <xdr:pic>
      <xdr:nvPicPr>
        <xdr:cNvPr id="20" name="图片 19">
          <a:extLst>
            <a:ext uri="{FF2B5EF4-FFF2-40B4-BE49-F238E27FC236}">
              <a16:creationId xmlns:a16="http://schemas.microsoft.com/office/drawing/2014/main" id="{5433D88F-8033-4583-B7BF-0BD1BC103C0C}"/>
            </a:ext>
          </a:extLst>
        </xdr:cNvPr>
        <xdr:cNvPicPr>
          <a:picLocks noChangeAspect="1"/>
        </xdr:cNvPicPr>
      </xdr:nvPicPr>
      <xdr:blipFill>
        <a:blip xmlns:r="http://schemas.openxmlformats.org/officeDocument/2006/relationships" r:embed="rId4"/>
        <a:stretch>
          <a:fillRect/>
        </a:stretch>
      </xdr:blipFill>
      <xdr:spPr>
        <a:xfrm>
          <a:off x="0" y="4838700"/>
          <a:ext cx="9676190" cy="1514286"/>
        </a:xfrm>
        <a:prstGeom prst="rect">
          <a:avLst/>
        </a:prstGeom>
      </xdr:spPr>
    </xdr:pic>
    <xdr:clientData/>
  </xdr:twoCellAnchor>
  <xdr:twoCellAnchor editAs="oneCell">
    <xdr:from>
      <xdr:col>0</xdr:col>
      <xdr:colOff>0</xdr:colOff>
      <xdr:row>35</xdr:row>
      <xdr:rowOff>0</xdr:rowOff>
    </xdr:from>
    <xdr:to>
      <xdr:col>14</xdr:col>
      <xdr:colOff>94055</xdr:colOff>
      <xdr:row>43</xdr:row>
      <xdr:rowOff>180771</xdr:rowOff>
    </xdr:to>
    <xdr:pic>
      <xdr:nvPicPr>
        <xdr:cNvPr id="21" name="图片 20">
          <a:extLst>
            <a:ext uri="{FF2B5EF4-FFF2-40B4-BE49-F238E27FC236}">
              <a16:creationId xmlns:a16="http://schemas.microsoft.com/office/drawing/2014/main" id="{C9BFDFFB-0BB7-4A5A-8955-87474D601B61}"/>
            </a:ext>
          </a:extLst>
        </xdr:cNvPr>
        <xdr:cNvPicPr>
          <a:picLocks noChangeAspect="1"/>
        </xdr:cNvPicPr>
      </xdr:nvPicPr>
      <xdr:blipFill>
        <a:blip xmlns:r="http://schemas.openxmlformats.org/officeDocument/2006/relationships" r:embed="rId5"/>
        <a:stretch>
          <a:fillRect/>
        </a:stretch>
      </xdr:blipFill>
      <xdr:spPr>
        <a:xfrm>
          <a:off x="0" y="6334125"/>
          <a:ext cx="9561905" cy="1628571"/>
        </a:xfrm>
        <a:prstGeom prst="rect">
          <a:avLst/>
        </a:prstGeom>
      </xdr:spPr>
    </xdr:pic>
    <xdr:clientData/>
  </xdr:twoCellAnchor>
  <xdr:twoCellAnchor editAs="oneCell">
    <xdr:from>
      <xdr:col>0</xdr:col>
      <xdr:colOff>0</xdr:colOff>
      <xdr:row>44</xdr:row>
      <xdr:rowOff>0</xdr:rowOff>
    </xdr:from>
    <xdr:to>
      <xdr:col>14</xdr:col>
      <xdr:colOff>189293</xdr:colOff>
      <xdr:row>53</xdr:row>
      <xdr:rowOff>123606</xdr:rowOff>
    </xdr:to>
    <xdr:pic>
      <xdr:nvPicPr>
        <xdr:cNvPr id="22" name="图片 21">
          <a:extLst>
            <a:ext uri="{FF2B5EF4-FFF2-40B4-BE49-F238E27FC236}">
              <a16:creationId xmlns:a16="http://schemas.microsoft.com/office/drawing/2014/main" id="{DFEB04E7-96C0-47E4-998C-C9144B23BE4D}"/>
            </a:ext>
          </a:extLst>
        </xdr:cNvPr>
        <xdr:cNvPicPr>
          <a:picLocks noChangeAspect="1"/>
        </xdr:cNvPicPr>
      </xdr:nvPicPr>
      <xdr:blipFill>
        <a:blip xmlns:r="http://schemas.openxmlformats.org/officeDocument/2006/relationships" r:embed="rId6"/>
        <a:stretch>
          <a:fillRect/>
        </a:stretch>
      </xdr:blipFill>
      <xdr:spPr>
        <a:xfrm>
          <a:off x="0" y="7962900"/>
          <a:ext cx="9657143" cy="1752381"/>
        </a:xfrm>
        <a:prstGeom prst="rect">
          <a:avLst/>
        </a:prstGeom>
      </xdr:spPr>
    </xdr:pic>
    <xdr:clientData/>
  </xdr:twoCellAnchor>
  <xdr:twoCellAnchor editAs="oneCell">
    <xdr:from>
      <xdr:col>0</xdr:col>
      <xdr:colOff>0</xdr:colOff>
      <xdr:row>54</xdr:row>
      <xdr:rowOff>0</xdr:rowOff>
    </xdr:from>
    <xdr:to>
      <xdr:col>14</xdr:col>
      <xdr:colOff>46436</xdr:colOff>
      <xdr:row>62</xdr:row>
      <xdr:rowOff>95057</xdr:rowOff>
    </xdr:to>
    <xdr:pic>
      <xdr:nvPicPr>
        <xdr:cNvPr id="23" name="图片 22">
          <a:extLst>
            <a:ext uri="{FF2B5EF4-FFF2-40B4-BE49-F238E27FC236}">
              <a16:creationId xmlns:a16="http://schemas.microsoft.com/office/drawing/2014/main" id="{F3A36A9D-8DA3-4650-8724-FE2CC4A6F611}"/>
            </a:ext>
          </a:extLst>
        </xdr:cNvPr>
        <xdr:cNvPicPr>
          <a:picLocks noChangeAspect="1"/>
        </xdr:cNvPicPr>
      </xdr:nvPicPr>
      <xdr:blipFill>
        <a:blip xmlns:r="http://schemas.openxmlformats.org/officeDocument/2006/relationships" r:embed="rId7"/>
        <a:stretch>
          <a:fillRect/>
        </a:stretch>
      </xdr:blipFill>
      <xdr:spPr>
        <a:xfrm>
          <a:off x="0" y="9772650"/>
          <a:ext cx="9514286" cy="1542857"/>
        </a:xfrm>
        <a:prstGeom prst="rect">
          <a:avLst/>
        </a:prstGeom>
      </xdr:spPr>
    </xdr:pic>
    <xdr:clientData/>
  </xdr:twoCellAnchor>
  <xdr:twoCellAnchor editAs="oneCell">
    <xdr:from>
      <xdr:col>0</xdr:col>
      <xdr:colOff>0</xdr:colOff>
      <xdr:row>63</xdr:row>
      <xdr:rowOff>0</xdr:rowOff>
    </xdr:from>
    <xdr:to>
      <xdr:col>14</xdr:col>
      <xdr:colOff>198817</xdr:colOff>
      <xdr:row>71</xdr:row>
      <xdr:rowOff>171248</xdr:rowOff>
    </xdr:to>
    <xdr:pic>
      <xdr:nvPicPr>
        <xdr:cNvPr id="24" name="图片 23">
          <a:extLst>
            <a:ext uri="{FF2B5EF4-FFF2-40B4-BE49-F238E27FC236}">
              <a16:creationId xmlns:a16="http://schemas.microsoft.com/office/drawing/2014/main" id="{182ABE40-BF75-4C02-9A75-A439C06243B8}"/>
            </a:ext>
          </a:extLst>
        </xdr:cNvPr>
        <xdr:cNvPicPr>
          <a:picLocks noChangeAspect="1"/>
        </xdr:cNvPicPr>
      </xdr:nvPicPr>
      <xdr:blipFill>
        <a:blip xmlns:r="http://schemas.openxmlformats.org/officeDocument/2006/relationships" r:embed="rId8"/>
        <a:stretch>
          <a:fillRect/>
        </a:stretch>
      </xdr:blipFill>
      <xdr:spPr>
        <a:xfrm>
          <a:off x="0" y="11401425"/>
          <a:ext cx="9666667" cy="1619048"/>
        </a:xfrm>
        <a:prstGeom prst="rect">
          <a:avLst/>
        </a:prstGeom>
      </xdr:spPr>
    </xdr:pic>
    <xdr:clientData/>
  </xdr:twoCellAnchor>
  <xdr:twoCellAnchor editAs="oneCell">
    <xdr:from>
      <xdr:col>0</xdr:col>
      <xdr:colOff>0</xdr:colOff>
      <xdr:row>73</xdr:row>
      <xdr:rowOff>0</xdr:rowOff>
    </xdr:from>
    <xdr:to>
      <xdr:col>14</xdr:col>
      <xdr:colOff>141674</xdr:colOff>
      <xdr:row>81</xdr:row>
      <xdr:rowOff>56962</xdr:rowOff>
    </xdr:to>
    <xdr:pic>
      <xdr:nvPicPr>
        <xdr:cNvPr id="25" name="图片 24">
          <a:extLst>
            <a:ext uri="{FF2B5EF4-FFF2-40B4-BE49-F238E27FC236}">
              <a16:creationId xmlns:a16="http://schemas.microsoft.com/office/drawing/2014/main" id="{2991C5D3-B3F3-4817-8BC3-BBBD7094E075}"/>
            </a:ext>
          </a:extLst>
        </xdr:cNvPr>
        <xdr:cNvPicPr>
          <a:picLocks noChangeAspect="1"/>
        </xdr:cNvPicPr>
      </xdr:nvPicPr>
      <xdr:blipFill>
        <a:blip xmlns:r="http://schemas.openxmlformats.org/officeDocument/2006/relationships" r:embed="rId9"/>
        <a:stretch>
          <a:fillRect/>
        </a:stretch>
      </xdr:blipFill>
      <xdr:spPr>
        <a:xfrm>
          <a:off x="0" y="13211175"/>
          <a:ext cx="9609524" cy="1504762"/>
        </a:xfrm>
        <a:prstGeom prst="rect">
          <a:avLst/>
        </a:prstGeom>
      </xdr:spPr>
    </xdr:pic>
    <xdr:clientData/>
  </xdr:twoCellAnchor>
  <xdr:twoCellAnchor editAs="oneCell">
    <xdr:from>
      <xdr:col>0</xdr:col>
      <xdr:colOff>0</xdr:colOff>
      <xdr:row>82</xdr:row>
      <xdr:rowOff>0</xdr:rowOff>
    </xdr:from>
    <xdr:to>
      <xdr:col>14</xdr:col>
      <xdr:colOff>141674</xdr:colOff>
      <xdr:row>91</xdr:row>
      <xdr:rowOff>37892</xdr:rowOff>
    </xdr:to>
    <xdr:pic>
      <xdr:nvPicPr>
        <xdr:cNvPr id="26" name="图片 25">
          <a:extLst>
            <a:ext uri="{FF2B5EF4-FFF2-40B4-BE49-F238E27FC236}">
              <a16:creationId xmlns:a16="http://schemas.microsoft.com/office/drawing/2014/main" id="{EAA41DCF-4BF1-4D94-BAC9-5ABEEC8131B1}"/>
            </a:ext>
          </a:extLst>
        </xdr:cNvPr>
        <xdr:cNvPicPr>
          <a:picLocks noChangeAspect="1"/>
        </xdr:cNvPicPr>
      </xdr:nvPicPr>
      <xdr:blipFill>
        <a:blip xmlns:r="http://schemas.openxmlformats.org/officeDocument/2006/relationships" r:embed="rId10"/>
        <a:stretch>
          <a:fillRect/>
        </a:stretch>
      </xdr:blipFill>
      <xdr:spPr>
        <a:xfrm>
          <a:off x="0" y="14839950"/>
          <a:ext cx="9609524" cy="1666667"/>
        </a:xfrm>
        <a:prstGeom prst="rect">
          <a:avLst/>
        </a:prstGeom>
      </xdr:spPr>
    </xdr:pic>
    <xdr:clientData/>
  </xdr:twoCellAnchor>
  <xdr:twoCellAnchor editAs="oneCell">
    <xdr:from>
      <xdr:col>0</xdr:col>
      <xdr:colOff>0</xdr:colOff>
      <xdr:row>92</xdr:row>
      <xdr:rowOff>0</xdr:rowOff>
    </xdr:from>
    <xdr:to>
      <xdr:col>13</xdr:col>
      <xdr:colOff>675092</xdr:colOff>
      <xdr:row>101</xdr:row>
      <xdr:rowOff>9320</xdr:rowOff>
    </xdr:to>
    <xdr:pic>
      <xdr:nvPicPr>
        <xdr:cNvPr id="27" name="图片 26">
          <a:extLst>
            <a:ext uri="{FF2B5EF4-FFF2-40B4-BE49-F238E27FC236}">
              <a16:creationId xmlns:a16="http://schemas.microsoft.com/office/drawing/2014/main" id="{B21CFADC-571D-4E5A-A35F-323230AA9604}"/>
            </a:ext>
          </a:extLst>
        </xdr:cNvPr>
        <xdr:cNvPicPr>
          <a:picLocks noChangeAspect="1"/>
        </xdr:cNvPicPr>
      </xdr:nvPicPr>
      <xdr:blipFill>
        <a:blip xmlns:r="http://schemas.openxmlformats.org/officeDocument/2006/relationships" r:embed="rId11"/>
        <a:stretch>
          <a:fillRect/>
        </a:stretch>
      </xdr:blipFill>
      <xdr:spPr>
        <a:xfrm>
          <a:off x="0" y="16649700"/>
          <a:ext cx="9466667" cy="1638095"/>
        </a:xfrm>
        <a:prstGeom prst="rect">
          <a:avLst/>
        </a:prstGeom>
      </xdr:spPr>
    </xdr:pic>
    <xdr:clientData/>
  </xdr:twoCellAnchor>
  <xdr:twoCellAnchor editAs="oneCell">
    <xdr:from>
      <xdr:col>0</xdr:col>
      <xdr:colOff>0</xdr:colOff>
      <xdr:row>102</xdr:row>
      <xdr:rowOff>0</xdr:rowOff>
    </xdr:from>
    <xdr:to>
      <xdr:col>14</xdr:col>
      <xdr:colOff>84531</xdr:colOff>
      <xdr:row>111</xdr:row>
      <xdr:rowOff>152177</xdr:rowOff>
    </xdr:to>
    <xdr:pic>
      <xdr:nvPicPr>
        <xdr:cNvPr id="28" name="图片 27">
          <a:extLst>
            <a:ext uri="{FF2B5EF4-FFF2-40B4-BE49-F238E27FC236}">
              <a16:creationId xmlns:a16="http://schemas.microsoft.com/office/drawing/2014/main" id="{148373FB-ACF2-47CF-B52A-69F277F7CF7C}"/>
            </a:ext>
          </a:extLst>
        </xdr:cNvPr>
        <xdr:cNvPicPr>
          <a:picLocks noChangeAspect="1"/>
        </xdr:cNvPicPr>
      </xdr:nvPicPr>
      <xdr:blipFill>
        <a:blip xmlns:r="http://schemas.openxmlformats.org/officeDocument/2006/relationships" r:embed="rId12"/>
        <a:stretch>
          <a:fillRect/>
        </a:stretch>
      </xdr:blipFill>
      <xdr:spPr>
        <a:xfrm>
          <a:off x="0" y="18459450"/>
          <a:ext cx="9552381" cy="1780952"/>
        </a:xfrm>
        <a:prstGeom prst="rect">
          <a:avLst/>
        </a:prstGeom>
      </xdr:spPr>
    </xdr:pic>
    <xdr:clientData/>
  </xdr:twoCellAnchor>
  <xdr:twoCellAnchor editAs="oneCell">
    <xdr:from>
      <xdr:col>0</xdr:col>
      <xdr:colOff>0</xdr:colOff>
      <xdr:row>112</xdr:row>
      <xdr:rowOff>0</xdr:rowOff>
    </xdr:from>
    <xdr:to>
      <xdr:col>14</xdr:col>
      <xdr:colOff>570245</xdr:colOff>
      <xdr:row>120</xdr:row>
      <xdr:rowOff>85533</xdr:rowOff>
    </xdr:to>
    <xdr:pic>
      <xdr:nvPicPr>
        <xdr:cNvPr id="29" name="图片 28">
          <a:extLst>
            <a:ext uri="{FF2B5EF4-FFF2-40B4-BE49-F238E27FC236}">
              <a16:creationId xmlns:a16="http://schemas.microsoft.com/office/drawing/2014/main" id="{689A7DEC-E06E-43ED-89AD-5EA76596A5FF}"/>
            </a:ext>
          </a:extLst>
        </xdr:cNvPr>
        <xdr:cNvPicPr>
          <a:picLocks noChangeAspect="1"/>
        </xdr:cNvPicPr>
      </xdr:nvPicPr>
      <xdr:blipFill>
        <a:blip xmlns:r="http://schemas.openxmlformats.org/officeDocument/2006/relationships" r:embed="rId13"/>
        <a:stretch>
          <a:fillRect/>
        </a:stretch>
      </xdr:blipFill>
      <xdr:spPr>
        <a:xfrm>
          <a:off x="0" y="20269200"/>
          <a:ext cx="10038095" cy="1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84343</xdr:colOff>
      <xdr:row>24</xdr:row>
      <xdr:rowOff>151838</xdr:rowOff>
    </xdr:to>
    <xdr:pic>
      <xdr:nvPicPr>
        <xdr:cNvPr id="2" name="图片 1">
          <a:extLst>
            <a:ext uri="{FF2B5EF4-FFF2-40B4-BE49-F238E27FC236}">
              <a16:creationId xmlns:a16="http://schemas.microsoft.com/office/drawing/2014/main" id="{3A4FAF68-8827-433E-8682-CB0B0AB21E43}"/>
            </a:ext>
          </a:extLst>
        </xdr:cNvPr>
        <xdr:cNvPicPr>
          <a:picLocks noChangeAspect="1"/>
        </xdr:cNvPicPr>
      </xdr:nvPicPr>
      <xdr:blipFill>
        <a:blip xmlns:r="http://schemas.openxmlformats.org/officeDocument/2006/relationships" r:embed="rId1"/>
        <a:stretch>
          <a:fillRect/>
        </a:stretch>
      </xdr:blipFill>
      <xdr:spPr>
        <a:xfrm>
          <a:off x="0" y="0"/>
          <a:ext cx="11057143" cy="4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656028</xdr:colOff>
      <xdr:row>25</xdr:row>
      <xdr:rowOff>104196</xdr:rowOff>
    </xdr:to>
    <xdr:pic>
      <xdr:nvPicPr>
        <xdr:cNvPr id="2" name="图片 1">
          <a:extLst>
            <a:ext uri="{FF2B5EF4-FFF2-40B4-BE49-F238E27FC236}">
              <a16:creationId xmlns:a16="http://schemas.microsoft.com/office/drawing/2014/main" id="{25F4AA68-8F04-4D04-9F6D-4A9B591E8500}"/>
            </a:ext>
          </a:extLst>
        </xdr:cNvPr>
        <xdr:cNvPicPr>
          <a:picLocks noChangeAspect="1"/>
        </xdr:cNvPicPr>
      </xdr:nvPicPr>
      <xdr:blipFill>
        <a:blip xmlns:r="http://schemas.openxmlformats.org/officeDocument/2006/relationships" r:embed="rId1"/>
        <a:stretch>
          <a:fillRect/>
        </a:stretch>
      </xdr:blipFill>
      <xdr:spPr>
        <a:xfrm>
          <a:off x="0" y="0"/>
          <a:ext cx="9571428" cy="4628571"/>
        </a:xfrm>
        <a:prstGeom prst="rect">
          <a:avLst/>
        </a:prstGeom>
      </xdr:spPr>
    </xdr:pic>
    <xdr:clientData/>
  </xdr:twoCellAnchor>
  <xdr:twoCellAnchor editAs="oneCell">
    <xdr:from>
      <xdr:col>0</xdr:col>
      <xdr:colOff>0</xdr:colOff>
      <xdr:row>26</xdr:row>
      <xdr:rowOff>0</xdr:rowOff>
    </xdr:from>
    <xdr:to>
      <xdr:col>14</xdr:col>
      <xdr:colOff>8324</xdr:colOff>
      <xdr:row>52</xdr:row>
      <xdr:rowOff>8936</xdr:rowOff>
    </xdr:to>
    <xdr:pic>
      <xdr:nvPicPr>
        <xdr:cNvPr id="3" name="图片 2">
          <a:extLst>
            <a:ext uri="{FF2B5EF4-FFF2-40B4-BE49-F238E27FC236}">
              <a16:creationId xmlns:a16="http://schemas.microsoft.com/office/drawing/2014/main" id="{CB3681C5-FD59-4419-B0D7-CC35EBEC5699}"/>
            </a:ext>
          </a:extLst>
        </xdr:cNvPr>
        <xdr:cNvPicPr>
          <a:picLocks noChangeAspect="1"/>
        </xdr:cNvPicPr>
      </xdr:nvPicPr>
      <xdr:blipFill>
        <a:blip xmlns:r="http://schemas.openxmlformats.org/officeDocument/2006/relationships" r:embed="rId2"/>
        <a:stretch>
          <a:fillRect/>
        </a:stretch>
      </xdr:blipFill>
      <xdr:spPr>
        <a:xfrm>
          <a:off x="0" y="4705350"/>
          <a:ext cx="9609524" cy="4714286"/>
        </a:xfrm>
        <a:prstGeom prst="rect">
          <a:avLst/>
        </a:prstGeom>
      </xdr:spPr>
    </xdr:pic>
    <xdr:clientData/>
  </xdr:twoCellAnchor>
  <xdr:twoCellAnchor editAs="oneCell">
    <xdr:from>
      <xdr:col>0</xdr:col>
      <xdr:colOff>0</xdr:colOff>
      <xdr:row>53</xdr:row>
      <xdr:rowOff>0</xdr:rowOff>
    </xdr:from>
    <xdr:to>
      <xdr:col>14</xdr:col>
      <xdr:colOff>198800</xdr:colOff>
      <xdr:row>79</xdr:row>
      <xdr:rowOff>75602</xdr:rowOff>
    </xdr:to>
    <xdr:pic>
      <xdr:nvPicPr>
        <xdr:cNvPr id="4" name="图片 3">
          <a:extLst>
            <a:ext uri="{FF2B5EF4-FFF2-40B4-BE49-F238E27FC236}">
              <a16:creationId xmlns:a16="http://schemas.microsoft.com/office/drawing/2014/main" id="{A5E39891-C8E0-4D64-AD07-36A7DC53C4BC}"/>
            </a:ext>
          </a:extLst>
        </xdr:cNvPr>
        <xdr:cNvPicPr>
          <a:picLocks noChangeAspect="1"/>
        </xdr:cNvPicPr>
      </xdr:nvPicPr>
      <xdr:blipFill>
        <a:blip xmlns:r="http://schemas.openxmlformats.org/officeDocument/2006/relationships" r:embed="rId3"/>
        <a:stretch>
          <a:fillRect/>
        </a:stretch>
      </xdr:blipFill>
      <xdr:spPr>
        <a:xfrm>
          <a:off x="0" y="9591675"/>
          <a:ext cx="9800000" cy="4780952"/>
        </a:xfrm>
        <a:prstGeom prst="rect">
          <a:avLst/>
        </a:prstGeom>
      </xdr:spPr>
    </xdr:pic>
    <xdr:clientData/>
  </xdr:twoCellAnchor>
  <xdr:twoCellAnchor editAs="oneCell">
    <xdr:from>
      <xdr:col>0</xdr:col>
      <xdr:colOff>0</xdr:colOff>
      <xdr:row>80</xdr:row>
      <xdr:rowOff>0</xdr:rowOff>
    </xdr:from>
    <xdr:to>
      <xdr:col>14</xdr:col>
      <xdr:colOff>322609</xdr:colOff>
      <xdr:row>108</xdr:row>
      <xdr:rowOff>170795</xdr:rowOff>
    </xdr:to>
    <xdr:pic>
      <xdr:nvPicPr>
        <xdr:cNvPr id="5" name="图片 4">
          <a:extLst>
            <a:ext uri="{FF2B5EF4-FFF2-40B4-BE49-F238E27FC236}">
              <a16:creationId xmlns:a16="http://schemas.microsoft.com/office/drawing/2014/main" id="{137F51B9-4715-459E-965D-FF6627ED1D43}"/>
            </a:ext>
          </a:extLst>
        </xdr:cNvPr>
        <xdr:cNvPicPr>
          <a:picLocks noChangeAspect="1"/>
        </xdr:cNvPicPr>
      </xdr:nvPicPr>
      <xdr:blipFill>
        <a:blip xmlns:r="http://schemas.openxmlformats.org/officeDocument/2006/relationships" r:embed="rId4"/>
        <a:stretch>
          <a:fillRect/>
        </a:stretch>
      </xdr:blipFill>
      <xdr:spPr>
        <a:xfrm>
          <a:off x="0" y="14478000"/>
          <a:ext cx="9923809" cy="5238095"/>
        </a:xfrm>
        <a:prstGeom prst="rect">
          <a:avLst/>
        </a:prstGeom>
      </xdr:spPr>
    </xdr:pic>
    <xdr:clientData/>
  </xdr:twoCellAnchor>
  <xdr:twoCellAnchor editAs="oneCell">
    <xdr:from>
      <xdr:col>13</xdr:col>
      <xdr:colOff>676275</xdr:colOff>
      <xdr:row>0</xdr:row>
      <xdr:rowOff>0</xdr:rowOff>
    </xdr:from>
    <xdr:to>
      <xdr:col>27</xdr:col>
      <xdr:colOff>513170</xdr:colOff>
      <xdr:row>21</xdr:row>
      <xdr:rowOff>113811</xdr:rowOff>
    </xdr:to>
    <xdr:pic>
      <xdr:nvPicPr>
        <xdr:cNvPr id="6" name="图片 5">
          <a:extLst>
            <a:ext uri="{FF2B5EF4-FFF2-40B4-BE49-F238E27FC236}">
              <a16:creationId xmlns:a16="http://schemas.microsoft.com/office/drawing/2014/main" id="{E0749D17-BFCC-4FF2-B8AD-E221A022B17F}"/>
            </a:ext>
          </a:extLst>
        </xdr:cNvPr>
        <xdr:cNvPicPr>
          <a:picLocks noChangeAspect="1"/>
        </xdr:cNvPicPr>
      </xdr:nvPicPr>
      <xdr:blipFill>
        <a:blip xmlns:r="http://schemas.openxmlformats.org/officeDocument/2006/relationships" r:embed="rId5"/>
        <a:stretch>
          <a:fillRect/>
        </a:stretch>
      </xdr:blipFill>
      <xdr:spPr>
        <a:xfrm>
          <a:off x="9591675" y="0"/>
          <a:ext cx="9438095" cy="3914286"/>
        </a:xfrm>
        <a:prstGeom prst="rect">
          <a:avLst/>
        </a:prstGeom>
      </xdr:spPr>
    </xdr:pic>
    <xdr:clientData/>
  </xdr:twoCellAnchor>
  <xdr:twoCellAnchor editAs="oneCell">
    <xdr:from>
      <xdr:col>13</xdr:col>
      <xdr:colOff>676275</xdr:colOff>
      <xdr:row>22</xdr:row>
      <xdr:rowOff>0</xdr:rowOff>
    </xdr:from>
    <xdr:to>
      <xdr:col>27</xdr:col>
      <xdr:colOff>436980</xdr:colOff>
      <xdr:row>31</xdr:row>
      <xdr:rowOff>152177</xdr:rowOff>
    </xdr:to>
    <xdr:pic>
      <xdr:nvPicPr>
        <xdr:cNvPr id="7" name="图片 6">
          <a:extLst>
            <a:ext uri="{FF2B5EF4-FFF2-40B4-BE49-F238E27FC236}">
              <a16:creationId xmlns:a16="http://schemas.microsoft.com/office/drawing/2014/main" id="{F515FE2A-A081-4617-A2D0-16A6F2961DFC}"/>
            </a:ext>
          </a:extLst>
        </xdr:cNvPr>
        <xdr:cNvPicPr>
          <a:picLocks noChangeAspect="1"/>
        </xdr:cNvPicPr>
      </xdr:nvPicPr>
      <xdr:blipFill>
        <a:blip xmlns:r="http://schemas.openxmlformats.org/officeDocument/2006/relationships" r:embed="rId6"/>
        <a:stretch>
          <a:fillRect/>
        </a:stretch>
      </xdr:blipFill>
      <xdr:spPr>
        <a:xfrm>
          <a:off x="9591675" y="3981450"/>
          <a:ext cx="9361905" cy="1780952"/>
        </a:xfrm>
        <a:prstGeom prst="rect">
          <a:avLst/>
        </a:prstGeom>
      </xdr:spPr>
    </xdr:pic>
    <xdr:clientData/>
  </xdr:twoCellAnchor>
  <xdr:twoCellAnchor editAs="oneCell">
    <xdr:from>
      <xdr:col>13</xdr:col>
      <xdr:colOff>676275</xdr:colOff>
      <xdr:row>32</xdr:row>
      <xdr:rowOff>0</xdr:rowOff>
    </xdr:from>
    <xdr:to>
      <xdr:col>27</xdr:col>
      <xdr:colOff>617932</xdr:colOff>
      <xdr:row>53</xdr:row>
      <xdr:rowOff>94763</xdr:rowOff>
    </xdr:to>
    <xdr:pic>
      <xdr:nvPicPr>
        <xdr:cNvPr id="8" name="图片 7">
          <a:extLst>
            <a:ext uri="{FF2B5EF4-FFF2-40B4-BE49-F238E27FC236}">
              <a16:creationId xmlns:a16="http://schemas.microsoft.com/office/drawing/2014/main" id="{7B4EC542-0EA2-43F8-BC17-2BDF7C62882D}"/>
            </a:ext>
          </a:extLst>
        </xdr:cNvPr>
        <xdr:cNvPicPr>
          <a:picLocks noChangeAspect="1"/>
        </xdr:cNvPicPr>
      </xdr:nvPicPr>
      <xdr:blipFill>
        <a:blip xmlns:r="http://schemas.openxmlformats.org/officeDocument/2006/relationships" r:embed="rId7"/>
        <a:stretch>
          <a:fillRect/>
        </a:stretch>
      </xdr:blipFill>
      <xdr:spPr>
        <a:xfrm>
          <a:off x="9591675" y="5791200"/>
          <a:ext cx="9542857" cy="3895238"/>
        </a:xfrm>
        <a:prstGeom prst="rect">
          <a:avLst/>
        </a:prstGeom>
      </xdr:spPr>
    </xdr:pic>
    <xdr:clientData/>
  </xdr:twoCellAnchor>
  <xdr:twoCellAnchor editAs="oneCell">
    <xdr:from>
      <xdr:col>13</xdr:col>
      <xdr:colOff>676275</xdr:colOff>
      <xdr:row>54</xdr:row>
      <xdr:rowOff>0</xdr:rowOff>
    </xdr:from>
    <xdr:to>
      <xdr:col>27</xdr:col>
      <xdr:colOff>417932</xdr:colOff>
      <xdr:row>64</xdr:row>
      <xdr:rowOff>18821</xdr:rowOff>
    </xdr:to>
    <xdr:pic>
      <xdr:nvPicPr>
        <xdr:cNvPr id="9" name="图片 8">
          <a:extLst>
            <a:ext uri="{FF2B5EF4-FFF2-40B4-BE49-F238E27FC236}">
              <a16:creationId xmlns:a16="http://schemas.microsoft.com/office/drawing/2014/main" id="{FF5A8468-A25A-46A8-8230-D92D63F2B5DA}"/>
            </a:ext>
          </a:extLst>
        </xdr:cNvPr>
        <xdr:cNvPicPr>
          <a:picLocks noChangeAspect="1"/>
        </xdr:cNvPicPr>
      </xdr:nvPicPr>
      <xdr:blipFill>
        <a:blip xmlns:r="http://schemas.openxmlformats.org/officeDocument/2006/relationships" r:embed="rId8"/>
        <a:stretch>
          <a:fillRect/>
        </a:stretch>
      </xdr:blipFill>
      <xdr:spPr>
        <a:xfrm>
          <a:off x="9591675" y="9772650"/>
          <a:ext cx="9342857" cy="1828571"/>
        </a:xfrm>
        <a:prstGeom prst="rect">
          <a:avLst/>
        </a:prstGeom>
      </xdr:spPr>
    </xdr:pic>
    <xdr:clientData/>
  </xdr:twoCellAnchor>
  <xdr:twoCellAnchor editAs="oneCell">
    <xdr:from>
      <xdr:col>13</xdr:col>
      <xdr:colOff>676275</xdr:colOff>
      <xdr:row>65</xdr:row>
      <xdr:rowOff>0</xdr:rowOff>
    </xdr:from>
    <xdr:to>
      <xdr:col>27</xdr:col>
      <xdr:colOff>617932</xdr:colOff>
      <xdr:row>75</xdr:row>
      <xdr:rowOff>47393</xdr:rowOff>
    </xdr:to>
    <xdr:pic>
      <xdr:nvPicPr>
        <xdr:cNvPr id="10" name="图片 9">
          <a:extLst>
            <a:ext uri="{FF2B5EF4-FFF2-40B4-BE49-F238E27FC236}">
              <a16:creationId xmlns:a16="http://schemas.microsoft.com/office/drawing/2014/main" id="{755AE6DD-120A-4295-8DD1-91B35C2B17CD}"/>
            </a:ext>
          </a:extLst>
        </xdr:cNvPr>
        <xdr:cNvPicPr>
          <a:picLocks noChangeAspect="1"/>
        </xdr:cNvPicPr>
      </xdr:nvPicPr>
      <xdr:blipFill>
        <a:blip xmlns:r="http://schemas.openxmlformats.org/officeDocument/2006/relationships" r:embed="rId9"/>
        <a:stretch>
          <a:fillRect/>
        </a:stretch>
      </xdr:blipFill>
      <xdr:spPr>
        <a:xfrm>
          <a:off x="9591675" y="11763375"/>
          <a:ext cx="9542857" cy="1857143"/>
        </a:xfrm>
        <a:prstGeom prst="rect">
          <a:avLst/>
        </a:prstGeom>
      </xdr:spPr>
    </xdr:pic>
    <xdr:clientData/>
  </xdr:twoCellAnchor>
  <xdr:twoCellAnchor editAs="oneCell">
    <xdr:from>
      <xdr:col>13</xdr:col>
      <xdr:colOff>676275</xdr:colOff>
      <xdr:row>76</xdr:row>
      <xdr:rowOff>0</xdr:rowOff>
    </xdr:from>
    <xdr:to>
      <xdr:col>27</xdr:col>
      <xdr:colOff>94123</xdr:colOff>
      <xdr:row>87</xdr:row>
      <xdr:rowOff>66418</xdr:rowOff>
    </xdr:to>
    <xdr:pic>
      <xdr:nvPicPr>
        <xdr:cNvPr id="11" name="图片 10">
          <a:extLst>
            <a:ext uri="{FF2B5EF4-FFF2-40B4-BE49-F238E27FC236}">
              <a16:creationId xmlns:a16="http://schemas.microsoft.com/office/drawing/2014/main" id="{23591E13-4BD9-4F1C-BE69-1E841131FD3E}"/>
            </a:ext>
          </a:extLst>
        </xdr:cNvPr>
        <xdr:cNvPicPr>
          <a:picLocks noChangeAspect="1"/>
        </xdr:cNvPicPr>
      </xdr:nvPicPr>
      <xdr:blipFill>
        <a:blip xmlns:r="http://schemas.openxmlformats.org/officeDocument/2006/relationships" r:embed="rId10"/>
        <a:stretch>
          <a:fillRect/>
        </a:stretch>
      </xdr:blipFill>
      <xdr:spPr>
        <a:xfrm>
          <a:off x="9591675" y="13754100"/>
          <a:ext cx="9019048" cy="2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3</xdr:row>
      <xdr:rowOff>18980</xdr:rowOff>
    </xdr:to>
    <xdr:pic>
      <xdr:nvPicPr>
        <xdr:cNvPr id="3" name="图片 2">
          <a:extLst>
            <a:ext uri="{FF2B5EF4-FFF2-40B4-BE49-F238E27FC236}">
              <a16:creationId xmlns:a16="http://schemas.microsoft.com/office/drawing/2014/main" id="{09E3F726-0CC4-416C-B41D-D876F00A484C}"/>
            </a:ext>
          </a:extLst>
        </xdr:cNvPr>
        <xdr:cNvPicPr>
          <a:picLocks noChangeAspect="1"/>
        </xdr:cNvPicPr>
      </xdr:nvPicPr>
      <xdr:blipFill>
        <a:blip xmlns:r="http://schemas.openxmlformats.org/officeDocument/2006/relationships" r:embed="rId1"/>
        <a:stretch>
          <a:fillRect/>
        </a:stretch>
      </xdr:blipFill>
      <xdr:spPr>
        <a:xfrm>
          <a:off x="0" y="0"/>
          <a:ext cx="4561905" cy="561905"/>
        </a:xfrm>
        <a:prstGeom prst="rect">
          <a:avLst/>
        </a:prstGeom>
      </xdr:spPr>
    </xdr:pic>
    <xdr:clientData/>
  </xdr:twoCellAnchor>
  <xdr:twoCellAnchor editAs="oneCell">
    <xdr:from>
      <xdr:col>0</xdr:col>
      <xdr:colOff>0</xdr:colOff>
      <xdr:row>2</xdr:row>
      <xdr:rowOff>171450</xdr:rowOff>
    </xdr:from>
    <xdr:to>
      <xdr:col>16</xdr:col>
      <xdr:colOff>189105</xdr:colOff>
      <xdr:row>9</xdr:row>
      <xdr:rowOff>76054</xdr:rowOff>
    </xdr:to>
    <xdr:pic>
      <xdr:nvPicPr>
        <xdr:cNvPr id="4" name="图片 3">
          <a:extLst>
            <a:ext uri="{FF2B5EF4-FFF2-40B4-BE49-F238E27FC236}">
              <a16:creationId xmlns:a16="http://schemas.microsoft.com/office/drawing/2014/main" id="{2E01314D-BAE6-4C0C-BCD8-F9C7645C878C}"/>
            </a:ext>
          </a:extLst>
        </xdr:cNvPr>
        <xdr:cNvPicPr>
          <a:picLocks noChangeAspect="1"/>
        </xdr:cNvPicPr>
      </xdr:nvPicPr>
      <xdr:blipFill>
        <a:blip xmlns:r="http://schemas.openxmlformats.org/officeDocument/2006/relationships" r:embed="rId2"/>
        <a:stretch>
          <a:fillRect/>
        </a:stretch>
      </xdr:blipFill>
      <xdr:spPr>
        <a:xfrm>
          <a:off x="0" y="533400"/>
          <a:ext cx="11161905" cy="1171429"/>
        </a:xfrm>
        <a:prstGeom prst="rect">
          <a:avLst/>
        </a:prstGeom>
      </xdr:spPr>
    </xdr:pic>
    <xdr:clientData/>
  </xdr:twoCellAnchor>
  <xdr:twoCellAnchor editAs="oneCell">
    <xdr:from>
      <xdr:col>0</xdr:col>
      <xdr:colOff>0</xdr:colOff>
      <xdr:row>8</xdr:row>
      <xdr:rowOff>152400</xdr:rowOff>
    </xdr:from>
    <xdr:to>
      <xdr:col>16</xdr:col>
      <xdr:colOff>160533</xdr:colOff>
      <xdr:row>32</xdr:row>
      <xdr:rowOff>132809</xdr:rowOff>
    </xdr:to>
    <xdr:pic>
      <xdr:nvPicPr>
        <xdr:cNvPr id="5" name="图片 4">
          <a:extLst>
            <a:ext uri="{FF2B5EF4-FFF2-40B4-BE49-F238E27FC236}">
              <a16:creationId xmlns:a16="http://schemas.microsoft.com/office/drawing/2014/main" id="{5F94AC7B-AF03-4696-B2CA-03E91F70B1B3}"/>
            </a:ext>
          </a:extLst>
        </xdr:cNvPr>
        <xdr:cNvPicPr>
          <a:picLocks noChangeAspect="1"/>
        </xdr:cNvPicPr>
      </xdr:nvPicPr>
      <xdr:blipFill>
        <a:blip xmlns:r="http://schemas.openxmlformats.org/officeDocument/2006/relationships" r:embed="rId3"/>
        <a:stretch>
          <a:fillRect/>
        </a:stretch>
      </xdr:blipFill>
      <xdr:spPr>
        <a:xfrm>
          <a:off x="0" y="1600200"/>
          <a:ext cx="11133333" cy="4323809"/>
        </a:xfrm>
        <a:prstGeom prst="rect">
          <a:avLst/>
        </a:prstGeom>
      </xdr:spPr>
    </xdr:pic>
    <xdr:clientData/>
  </xdr:twoCellAnchor>
  <xdr:twoCellAnchor editAs="oneCell">
    <xdr:from>
      <xdr:col>0</xdr:col>
      <xdr:colOff>0</xdr:colOff>
      <xdr:row>34</xdr:row>
      <xdr:rowOff>0</xdr:rowOff>
    </xdr:from>
    <xdr:to>
      <xdr:col>5</xdr:col>
      <xdr:colOff>113857</xdr:colOff>
      <xdr:row>36</xdr:row>
      <xdr:rowOff>104717</xdr:rowOff>
    </xdr:to>
    <xdr:pic>
      <xdr:nvPicPr>
        <xdr:cNvPr id="6" name="图片 5">
          <a:extLst>
            <a:ext uri="{FF2B5EF4-FFF2-40B4-BE49-F238E27FC236}">
              <a16:creationId xmlns:a16="http://schemas.microsoft.com/office/drawing/2014/main" id="{062A6255-E9EC-4C97-8E8F-914B4D6DC844}"/>
            </a:ext>
          </a:extLst>
        </xdr:cNvPr>
        <xdr:cNvPicPr>
          <a:picLocks noChangeAspect="1"/>
        </xdr:cNvPicPr>
      </xdr:nvPicPr>
      <xdr:blipFill>
        <a:blip xmlns:r="http://schemas.openxmlformats.org/officeDocument/2006/relationships" r:embed="rId4"/>
        <a:stretch>
          <a:fillRect/>
        </a:stretch>
      </xdr:blipFill>
      <xdr:spPr>
        <a:xfrm>
          <a:off x="0" y="6153150"/>
          <a:ext cx="3542857" cy="466667"/>
        </a:xfrm>
        <a:prstGeom prst="rect">
          <a:avLst/>
        </a:prstGeom>
      </xdr:spPr>
    </xdr:pic>
    <xdr:clientData/>
  </xdr:twoCellAnchor>
  <xdr:twoCellAnchor editAs="oneCell">
    <xdr:from>
      <xdr:col>0</xdr:col>
      <xdr:colOff>0</xdr:colOff>
      <xdr:row>37</xdr:row>
      <xdr:rowOff>0</xdr:rowOff>
    </xdr:from>
    <xdr:to>
      <xdr:col>16</xdr:col>
      <xdr:colOff>122438</xdr:colOff>
      <xdr:row>42</xdr:row>
      <xdr:rowOff>171315</xdr:rowOff>
    </xdr:to>
    <xdr:pic>
      <xdr:nvPicPr>
        <xdr:cNvPr id="7" name="图片 6">
          <a:extLst>
            <a:ext uri="{FF2B5EF4-FFF2-40B4-BE49-F238E27FC236}">
              <a16:creationId xmlns:a16="http://schemas.microsoft.com/office/drawing/2014/main" id="{3E327A67-319E-4470-ACA1-01E8530B6C93}"/>
            </a:ext>
          </a:extLst>
        </xdr:cNvPr>
        <xdr:cNvPicPr>
          <a:picLocks noChangeAspect="1"/>
        </xdr:cNvPicPr>
      </xdr:nvPicPr>
      <xdr:blipFill>
        <a:blip xmlns:r="http://schemas.openxmlformats.org/officeDocument/2006/relationships" r:embed="rId5"/>
        <a:stretch>
          <a:fillRect/>
        </a:stretch>
      </xdr:blipFill>
      <xdr:spPr>
        <a:xfrm>
          <a:off x="0" y="6696075"/>
          <a:ext cx="11095238" cy="10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27</xdr:row>
      <xdr:rowOff>170850</xdr:rowOff>
    </xdr:to>
    <xdr:pic>
      <xdr:nvPicPr>
        <xdr:cNvPr id="2" name="图片 1">
          <a:extLst>
            <a:ext uri="{FF2B5EF4-FFF2-40B4-BE49-F238E27FC236}">
              <a16:creationId xmlns:a16="http://schemas.microsoft.com/office/drawing/2014/main" id="{7E00EEFD-2FEC-44B1-B24F-3172E2C85C22}"/>
            </a:ext>
          </a:extLst>
        </xdr:cNvPr>
        <xdr:cNvPicPr>
          <a:picLocks noChangeAspect="1"/>
        </xdr:cNvPicPr>
      </xdr:nvPicPr>
      <xdr:blipFill>
        <a:blip xmlns:r="http://schemas.openxmlformats.org/officeDocument/2006/relationships" r:embed="rId1"/>
        <a:stretch>
          <a:fillRect/>
        </a:stretch>
      </xdr:blipFill>
      <xdr:spPr>
        <a:xfrm>
          <a:off x="0" y="0"/>
          <a:ext cx="7733333" cy="4800000"/>
        </a:xfrm>
        <a:prstGeom prst="rect">
          <a:avLst/>
        </a:prstGeom>
      </xdr:spPr>
    </xdr:pic>
    <xdr:clientData/>
  </xdr:twoCellAnchor>
  <xdr:twoCellAnchor editAs="oneCell">
    <xdr:from>
      <xdr:col>0</xdr:col>
      <xdr:colOff>0</xdr:colOff>
      <xdr:row>28</xdr:row>
      <xdr:rowOff>0</xdr:rowOff>
    </xdr:from>
    <xdr:to>
      <xdr:col>11</xdr:col>
      <xdr:colOff>180009</xdr:colOff>
      <xdr:row>56</xdr:row>
      <xdr:rowOff>113686</xdr:rowOff>
    </xdr:to>
    <xdr:pic>
      <xdr:nvPicPr>
        <xdr:cNvPr id="3" name="图片 2">
          <a:extLst>
            <a:ext uri="{FF2B5EF4-FFF2-40B4-BE49-F238E27FC236}">
              <a16:creationId xmlns:a16="http://schemas.microsoft.com/office/drawing/2014/main" id="{1FE863EA-F9F8-4345-85A3-9F091E66B10B}"/>
            </a:ext>
          </a:extLst>
        </xdr:cNvPr>
        <xdr:cNvPicPr>
          <a:picLocks noChangeAspect="1"/>
        </xdr:cNvPicPr>
      </xdr:nvPicPr>
      <xdr:blipFill>
        <a:blip xmlns:r="http://schemas.openxmlformats.org/officeDocument/2006/relationships" r:embed="rId2"/>
        <a:stretch>
          <a:fillRect/>
        </a:stretch>
      </xdr:blipFill>
      <xdr:spPr>
        <a:xfrm>
          <a:off x="0" y="4800600"/>
          <a:ext cx="7723809" cy="4914286"/>
        </a:xfrm>
        <a:prstGeom prst="rect">
          <a:avLst/>
        </a:prstGeom>
      </xdr:spPr>
    </xdr:pic>
    <xdr:clientData/>
  </xdr:twoCellAnchor>
  <xdr:twoCellAnchor editAs="oneCell">
    <xdr:from>
      <xdr:col>0</xdr:col>
      <xdr:colOff>0</xdr:colOff>
      <xdr:row>57</xdr:row>
      <xdr:rowOff>0</xdr:rowOff>
    </xdr:from>
    <xdr:to>
      <xdr:col>11</xdr:col>
      <xdr:colOff>456200</xdr:colOff>
      <xdr:row>86</xdr:row>
      <xdr:rowOff>94617</xdr:rowOff>
    </xdr:to>
    <xdr:pic>
      <xdr:nvPicPr>
        <xdr:cNvPr id="4" name="图片 3">
          <a:extLst>
            <a:ext uri="{FF2B5EF4-FFF2-40B4-BE49-F238E27FC236}">
              <a16:creationId xmlns:a16="http://schemas.microsoft.com/office/drawing/2014/main" id="{B5EE258A-B148-477B-A636-95C9932A2B57}"/>
            </a:ext>
          </a:extLst>
        </xdr:cNvPr>
        <xdr:cNvPicPr>
          <a:picLocks noChangeAspect="1"/>
        </xdr:cNvPicPr>
      </xdr:nvPicPr>
      <xdr:blipFill>
        <a:blip xmlns:r="http://schemas.openxmlformats.org/officeDocument/2006/relationships" r:embed="rId3"/>
        <a:stretch>
          <a:fillRect/>
        </a:stretch>
      </xdr:blipFill>
      <xdr:spPr>
        <a:xfrm>
          <a:off x="0" y="9772650"/>
          <a:ext cx="8000000" cy="5066667"/>
        </a:xfrm>
        <a:prstGeom prst="rect">
          <a:avLst/>
        </a:prstGeom>
      </xdr:spPr>
    </xdr:pic>
    <xdr:clientData/>
  </xdr:twoCellAnchor>
  <xdr:twoCellAnchor editAs="oneCell">
    <xdr:from>
      <xdr:col>0</xdr:col>
      <xdr:colOff>0</xdr:colOff>
      <xdr:row>87</xdr:row>
      <xdr:rowOff>0</xdr:rowOff>
    </xdr:from>
    <xdr:to>
      <xdr:col>11</xdr:col>
      <xdr:colOff>103819</xdr:colOff>
      <xdr:row>113</xdr:row>
      <xdr:rowOff>94681</xdr:rowOff>
    </xdr:to>
    <xdr:pic>
      <xdr:nvPicPr>
        <xdr:cNvPr id="5" name="图片 4">
          <a:extLst>
            <a:ext uri="{FF2B5EF4-FFF2-40B4-BE49-F238E27FC236}">
              <a16:creationId xmlns:a16="http://schemas.microsoft.com/office/drawing/2014/main" id="{49757FE7-C698-49B2-81BE-0E9D4A18E86A}"/>
            </a:ext>
          </a:extLst>
        </xdr:cNvPr>
        <xdr:cNvPicPr>
          <a:picLocks noChangeAspect="1"/>
        </xdr:cNvPicPr>
      </xdr:nvPicPr>
      <xdr:blipFill>
        <a:blip xmlns:r="http://schemas.openxmlformats.org/officeDocument/2006/relationships" r:embed="rId4"/>
        <a:stretch>
          <a:fillRect/>
        </a:stretch>
      </xdr:blipFill>
      <xdr:spPr>
        <a:xfrm>
          <a:off x="0" y="14916150"/>
          <a:ext cx="7647619"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苏海</v>
          </cell>
        </row>
        <row r="15">
          <cell r="A15"/>
        </row>
        <row r="16">
          <cell r="A16"/>
        </row>
        <row r="17">
          <cell r="A17"/>
        </row>
        <row r="18">
          <cell r="A18" t="str">
            <v>赵璠</v>
          </cell>
        </row>
        <row r="19">
          <cell r="A19"/>
        </row>
        <row r="20">
          <cell r="A20"/>
        </row>
        <row r="21">
          <cell r="A21"/>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cell r="B32" t="str">
            <v>*</v>
          </cell>
        </row>
        <row r="33">
          <cell r="A33"/>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双面临街</v>
          </cell>
          <cell r="D86" t="str">
            <v>单面临街</v>
          </cell>
          <cell r="E86" t="str">
            <v>不临街</v>
          </cell>
          <cell r="F86"/>
          <cell r="G86"/>
          <cell r="H86"/>
          <cell r="I86"/>
          <cell r="J86"/>
          <cell r="K86"/>
          <cell r="L86"/>
          <cell r="M86"/>
        </row>
        <row r="90">
          <cell r="B90" t="str">
            <v>人流量</v>
          </cell>
          <cell r="C90" t="str">
            <v>好</v>
          </cell>
          <cell r="D90" t="str">
            <v>较好</v>
          </cell>
          <cell r="E90" t="str">
            <v>一般</v>
          </cell>
          <cell r="F90" t="str">
            <v>较差</v>
          </cell>
          <cell r="G90" t="str">
            <v>差</v>
          </cell>
          <cell r="H90"/>
          <cell r="I90"/>
          <cell r="J90"/>
          <cell r="K90"/>
          <cell r="L90"/>
          <cell r="M90"/>
        </row>
        <row r="92">
          <cell r="B92" t="str">
            <v>楼层</v>
          </cell>
          <cell r="C92" t="str">
            <v>一层</v>
          </cell>
          <cell r="D92"/>
          <cell r="E92"/>
          <cell r="F92"/>
          <cell r="G92"/>
          <cell r="H92"/>
          <cell r="I92"/>
          <cell r="J92"/>
          <cell r="K92"/>
          <cell r="L92"/>
          <cell r="M92"/>
        </row>
        <row r="100">
          <cell r="B100" t="str">
            <v>商业类型</v>
          </cell>
          <cell r="C100" t="str">
            <v>商业街</v>
          </cell>
          <cell r="D100" t="str">
            <v>住宅底商</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t="str">
            <v>好</v>
          </cell>
          <cell r="D120" t="str">
            <v>较好</v>
          </cell>
          <cell r="E120" t="str">
            <v>一般</v>
          </cell>
          <cell r="F120" t="str">
            <v>较差</v>
          </cell>
          <cell r="G120" t="str">
            <v>差</v>
          </cell>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2">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cell r="B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v>4</v>
          </cell>
          <cell r="G17">
            <v>5</v>
          </cell>
          <cell r="H17">
            <v>-1</v>
          </cell>
          <cell r="I17">
            <v>-2</v>
          </cell>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6.5" thickTop="1">
      <c r="A2" s="1329" t="s">
        <v>1128</v>
      </c>
      <c r="B2" s="1330" t="str">
        <f>'预评函-封皮'!B37:I37</f>
        <v>北京市房地产市场价值预评估</v>
      </c>
    </row>
    <row r="3" spans="1:2" s="1334" customFormat="1">
      <c r="A3" s="1332" t="s">
        <v>1129</v>
      </c>
      <c r="B3" s="1333">
        <f>'预评函-封皮'!B40</f>
        <v>0</v>
      </c>
    </row>
    <row r="4" spans="1:2" s="1334" customFormat="1">
      <c r="A4" s="1332" t="s">
        <v>1130</v>
      </c>
      <c r="B4" s="1333" t="str">
        <f ca="1">'预评函-封皮'!B46</f>
        <v>陈颖（注册号：0)、叶凌（注册号：1119970111)</v>
      </c>
    </row>
    <row r="5" spans="1:2" s="1328" customFormat="1" ht="16.5" thickBot="1">
      <c r="A5" s="1335" t="s">
        <v>1131</v>
      </c>
      <c r="B5" s="1336" t="str">
        <f>'预评函-封皮'!B49</f>
        <v>康正预评字号</v>
      </c>
    </row>
    <row r="6" spans="1:2" s="1331" customFormat="1" ht="16.5" thickTop="1">
      <c r="A6" s="1329" t="s">
        <v>1132</v>
      </c>
      <c r="B6" s="1330" t="str">
        <f>'预评函-1'!A4</f>
        <v>受贵公司委托，我公司对北京市房地产市场价值进行了预评估。</v>
      </c>
    </row>
    <row r="7" spans="1:2" s="1334" customFormat="1">
      <c r="A7" s="1332" t="s">
        <v>1172</v>
      </c>
      <c r="B7" s="1333" t="str">
        <f>'预评函-1'!A7</f>
        <v>估价对象为北京市房地产，为所有。根据《国有土地使用证》[]，估价对象（分摊）出让国有建设用地使用权面积为273.42平方米，建筑面积为683.55平方米。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估价对象为北京市房地产,属开发建设的，该项目尚在开发建设中。根据《国有土地使用证》[]，估价对象（分摊）出让国有建设用地使用权面积为273.42平方米，规划建筑面积为683.55平方米。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为估价委托人了解估价对象房地产市场价值提供参考依据。</v>
      </c>
    </row>
    <row r="12" spans="1:2" s="1334" customFormat="1">
      <c r="A12" s="1332" t="s">
        <v>1134</v>
      </c>
      <c r="B12" s="1333" t="str">
        <f>'预评函-1'!A15</f>
        <v>2022年7月20日（评估专业人员实地查勘之日）</v>
      </c>
    </row>
    <row r="13" spans="1:2" s="1334" customFormat="1">
      <c r="A13" s="1332" t="s">
        <v>1135</v>
      </c>
      <c r="B13" s="1333" t="str">
        <f>'预评函-1'!A18</f>
        <v>本次估价的“房地产价值”是指在正常市场情况下，在价值时点2022年7月20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v>
      </c>
    </row>
    <row r="16" spans="1:2" s="1334" customFormat="1">
      <c r="A16" s="1332" t="s">
        <v>1138</v>
      </c>
      <c r="B16" s="1333" t="str">
        <f>'预评函-1'!A21</f>
        <v>——</v>
      </c>
    </row>
    <row r="17" spans="1:2" s="1334" customFormat="1">
      <c r="A17" s="1332" t="s">
        <v>1139</v>
      </c>
      <c r="B17" s="1333" t="str">
        <f>'预评函-1'!A22</f>
        <v>——</v>
      </c>
    </row>
    <row r="18" spans="1:2" s="1328" customFormat="1" ht="16.5" thickBot="1">
      <c r="A18" s="1335" t="s">
        <v>1140</v>
      </c>
      <c r="B18" s="1336" t="str">
        <f>'预评函-1'!A24</f>
        <v>本次评估采用的主估价方法为比较法和收益法。</v>
      </c>
    </row>
    <row r="19" spans="1:2" s="1331" customFormat="1" ht="16.5" thickTop="1">
      <c r="A19" s="1329" t="s">
        <v>1141</v>
      </c>
      <c r="B19" s="13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4" customFormat="1">
      <c r="A20" s="1332" t="s">
        <v>1142</v>
      </c>
      <c r="B20" s="1333" t="e">
        <f ca="1">'预评函-2'!D5</f>
        <v>#REF!</v>
      </c>
    </row>
    <row r="21" spans="1:2" s="1334" customFormat="1">
      <c r="A21" s="1332" t="s">
        <v>1143</v>
      </c>
      <c r="B21" s="1333" t="e">
        <f ca="1">'预评函-2'!D7</f>
        <v>#REF!</v>
      </c>
    </row>
    <row r="22" spans="1:2" s="1334" customFormat="1">
      <c r="A22" s="1332" t="s">
        <v>1144</v>
      </c>
      <c r="B22" s="1333" t="e">
        <f ca="1">'预评函-2'!D6</f>
        <v>#REF!</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t="e">
        <f ca="1">'预评函-2'!D13</f>
        <v>#REF!</v>
      </c>
    </row>
    <row r="31" spans="1:2" s="1334" customFormat="1">
      <c r="A31" s="1332" t="s">
        <v>1182</v>
      </c>
      <c r="B31" s="1333" t="e">
        <f ca="1">'预评函-2'!D15</f>
        <v>#REF!</v>
      </c>
    </row>
    <row r="32" spans="1:2" s="1334" customFormat="1">
      <c r="A32" s="1332" t="s">
        <v>1149</v>
      </c>
      <c r="B32" s="1333" t="e">
        <f ca="1">'预评函-2'!D14</f>
        <v>#REF!</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683.55</v>
      </c>
    </row>
    <row r="44" spans="1:2" s="1334" customFormat="1">
      <c r="A44" s="1332" t="s">
        <v>1181</v>
      </c>
      <c r="B44" s="1333" t="str">
        <f>'预评函-3'!C2</f>
        <v>(分摊)土地面积</v>
      </c>
    </row>
    <row r="45" spans="1:2" s="1334" customFormat="1">
      <c r="A45" s="1332" t="s">
        <v>1153</v>
      </c>
      <c r="B45" s="1333">
        <f>'预评函-3'!C4</f>
        <v>273.42</v>
      </c>
    </row>
    <row r="46" spans="1:2" s="1334" customFormat="1">
      <c r="A46" s="1332" t="s">
        <v>1179</v>
      </c>
      <c r="B46" s="1333" t="str">
        <f>'预评函-3'!D2</f>
        <v>出让国有建设用地使用权价值</v>
      </c>
    </row>
    <row r="47" spans="1:2" s="1334" customFormat="1">
      <c r="A47" s="1332" t="s">
        <v>1154</v>
      </c>
      <c r="B47" s="1333" t="e">
        <f ca="1">'预评函-3'!D4</f>
        <v>#REF!</v>
      </c>
    </row>
    <row r="48" spans="1:2" s="1334" customFormat="1">
      <c r="A48" s="1332" t="s">
        <v>1155</v>
      </c>
      <c r="B48" s="1333" t="e">
        <f ca="1">'预评函-3'!E4</f>
        <v>#REF!</v>
      </c>
    </row>
    <row r="49" spans="1:2" s="1334" customFormat="1">
      <c r="A49" s="1332" t="s">
        <v>1156</v>
      </c>
      <c r="B49" s="1333" t="e">
        <f ca="1">'预评函-3'!D5</f>
        <v>#REF!</v>
      </c>
    </row>
    <row r="50" spans="1:2" s="1334" customFormat="1">
      <c r="A50" s="1332" t="s">
        <v>1180</v>
      </c>
      <c r="B50" s="1333" t="str">
        <f>'预评函-3'!F2</f>
        <v>在建建筑物价值</v>
      </c>
    </row>
    <row r="51" spans="1:2" s="1334" customFormat="1">
      <c r="A51" s="1332" t="s">
        <v>1157</v>
      </c>
      <c r="B51" s="1333" t="e">
        <f ca="1">'预评函-3'!F4</f>
        <v>#REF!</v>
      </c>
    </row>
    <row r="52" spans="1:2" s="1334" customFormat="1">
      <c r="A52" s="1332" t="s">
        <v>1158</v>
      </c>
      <c r="B52" s="1333" t="e">
        <f ca="1">'预评函-3'!G4</f>
        <v>#REF!</v>
      </c>
    </row>
    <row r="53" spans="1:2" s="1334" customFormat="1">
      <c r="A53" s="1332" t="s">
        <v>1186</v>
      </c>
      <c r="B53" s="1333" t="e">
        <f ca="1">'预评函-3'!F5</f>
        <v>#REF!</v>
      </c>
    </row>
    <row r="54" spans="1:2" s="1334" customFormat="1">
      <c r="A54" s="1332" t="s">
        <v>1204</v>
      </c>
      <c r="B54" s="1333" t="str">
        <f>'预评函-3'!A8</f>
        <v/>
      </c>
    </row>
    <row r="55" spans="1:2" s="1334" customFormat="1">
      <c r="A55" s="1332" t="s">
        <v>1187</v>
      </c>
      <c r="B55" s="1333" t="str">
        <f>'预评函-3'!A10</f>
        <v/>
      </c>
    </row>
    <row r="56" spans="1:2" s="1334" customFormat="1">
      <c r="A56" s="1332" t="s">
        <v>1188</v>
      </c>
      <c r="B56" s="1333" t="str">
        <f>'预评函-3'!A12</f>
        <v/>
      </c>
    </row>
    <row r="57" spans="1:2" s="1328" customFormat="1" ht="16.5" thickBot="1">
      <c r="A57" s="1335" t="s">
        <v>1205</v>
      </c>
      <c r="B57" s="1336" t="str">
        <f>'预评函-3'!A6</f>
        <v/>
      </c>
    </row>
    <row r="58" spans="1:2" s="1331" customFormat="1" ht="16.5" thickTop="1">
      <c r="A58" s="1329" t="s">
        <v>1159</v>
      </c>
      <c r="B58" s="1330" t="str">
        <f>'预评函-4'!A12</f>
        <v>2.本次评估设定估价对象房地产权属无争议，未被查封或者以其他形式限制其房地产权利，未设定抵押权等他项权利，不涉及第三方权利义务。</v>
      </c>
    </row>
    <row r="59" spans="1:2" s="1334" customFormat="1">
      <c r="A59" s="1332" t="s">
        <v>1160</v>
      </c>
      <c r="B59" s="1333" t="str">
        <f>'预评函-4'!A13</f>
        <v>——</v>
      </c>
    </row>
    <row r="60" spans="1:2" s="1334" customFormat="1">
      <c r="A60" s="1332" t="s">
        <v>1161</v>
      </c>
      <c r="B60" s="1333" t="str">
        <f>'预评函-4'!A14</f>
        <v>——</v>
      </c>
    </row>
    <row r="61" spans="1:2" s="1334" customFormat="1">
      <c r="A61" s="1332" t="s">
        <v>1162</v>
      </c>
      <c r="B61" s="1333" t="str">
        <f>'预评函-4'!A15</f>
        <v>——</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v>
      </c>
    </row>
    <row r="65" spans="1:2" s="1334" customFormat="1">
      <c r="A65" s="1332" t="s">
        <v>1165</v>
      </c>
      <c r="B65" s="13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v>
      </c>
    </row>
    <row r="67" spans="1:2" s="1334" customFormat="1">
      <c r="A67" s="1332" t="s">
        <v>1177</v>
      </c>
      <c r="B67" s="1333" t="str">
        <f>'预评函-4'!A21</f>
        <v>——</v>
      </c>
    </row>
    <row r="68" spans="1:2" s="1334" customFormat="1">
      <c r="A68" s="1332" t="s">
        <v>1178</v>
      </c>
      <c r="B68" s="1333" t="str">
        <f>'预评函-4'!A22</f>
        <v>8.其他需特殊说明事项：无（注意调整序号）</v>
      </c>
    </row>
    <row r="69" spans="1:2" s="1328" customFormat="1" ht="16.5" thickBot="1">
      <c r="A69" s="1335" t="s">
        <v>1167</v>
      </c>
      <c r="B69" s="1337">
        <f>'预评函-4'!C31</f>
        <v>42551</v>
      </c>
    </row>
    <row r="70" spans="1:2" ht="16.5" thickTop="1">
      <c r="A70" s="1338" t="s">
        <v>1168</v>
      </c>
      <c r="B70" s="1339" t="str">
        <f>'预评函-4'!A4</f>
        <v>陈颖</v>
      </c>
    </row>
    <row r="71" spans="1:2">
      <c r="A71" s="1332" t="s">
        <v>1169</v>
      </c>
      <c r="B71" s="1333">
        <f ca="1">'预评函-4'!B4</f>
        <v>0</v>
      </c>
    </row>
    <row r="72" spans="1:2">
      <c r="A72" s="1332" t="s">
        <v>1170</v>
      </c>
      <c r="B72" s="1341" t="str">
        <f>'预评函-4'!A5</f>
        <v>叶凌</v>
      </c>
    </row>
    <row r="73" spans="1:2" s="1328" customFormat="1" ht="16.5" thickBot="1">
      <c r="A73" s="1335" t="s">
        <v>1171</v>
      </c>
      <c r="B73" s="1336">
        <f ca="1">'预评函-4'!B5</f>
        <v>1119970111</v>
      </c>
    </row>
    <row r="74" spans="1:2" ht="16.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4.25"/>
  <cols>
    <col min="1" max="1" width="13.5" style="1708" customWidth="1"/>
    <col min="2" max="2" width="23.125" style="1659" customWidth="1"/>
    <col min="3" max="3" width="13" style="1703" customWidth="1"/>
    <col min="4" max="4" width="5.62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8.5">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2975</v>
      </c>
      <c r="C17" s="1699"/>
    </row>
    <row r="18" spans="1:3">
      <c r="A18" s="1698" t="s">
        <v>1672</v>
      </c>
      <c r="B18" s="1698" t="s">
        <v>3120</v>
      </c>
      <c r="C18" s="1699"/>
    </row>
    <row r="19" spans="1:3">
      <c r="A19" s="1698" t="s">
        <v>1673</v>
      </c>
      <c r="B19" s="1698" t="s">
        <v>3140</v>
      </c>
      <c r="C19" s="1699"/>
    </row>
    <row r="20" spans="1:3">
      <c r="A20" s="1698" t="s">
        <v>1674</v>
      </c>
      <c r="B20" s="1698" t="s">
        <v>3138</v>
      </c>
      <c r="C20" s="1699"/>
    </row>
    <row r="21" spans="1:3">
      <c r="A21" s="1698" t="s">
        <v>1675</v>
      </c>
      <c r="B21" s="1698" t="s">
        <v>3141</v>
      </c>
      <c r="C21" s="1699"/>
    </row>
    <row r="22" spans="1:3">
      <c r="A22" s="1698" t="s">
        <v>1676</v>
      </c>
      <c r="B22" s="1698" t="s">
        <v>3192</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432"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2"/>
      <c r="B54" s="1706" t="s">
        <v>832</v>
      </c>
      <c r="C54" s="1703" t="s">
        <v>1189</v>
      </c>
    </row>
    <row r="55" spans="1:4">
      <c r="A55" s="3432"/>
      <c r="B55" s="1706" t="s">
        <v>833</v>
      </c>
      <c r="C55" s="1703" t="s">
        <v>1190</v>
      </c>
    </row>
    <row r="56" spans="1:4">
      <c r="A56" s="3432"/>
      <c r="B56" s="1706" t="s">
        <v>834</v>
      </c>
      <c r="C56" s="1703" t="s">
        <v>1194</v>
      </c>
    </row>
    <row r="57" spans="1:4">
      <c r="A57" s="3432"/>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110" zoomScaleSheetLayoutView="110" workbookViewId="0">
      <selection activeCell="C38" sqref="C38"/>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62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2850</v>
      </c>
      <c r="B1" s="3441" t="str">
        <f>IF(B10="北京市","北京市",C10)&amp;F10&amp;IF(结果表1层商业!G1="在建","出让国有建设用地使用权及在建建筑物",IF(结果表1层商业!G1="土地","出让国有建设用地使用权",))&amp;B9&amp;"预评估"</f>
        <v>北京市房地产市场价值预评估</v>
      </c>
      <c r="C1" s="3442"/>
      <c r="D1" s="3442"/>
      <c r="E1" s="3442"/>
      <c r="F1" s="3442"/>
      <c r="G1" s="3442"/>
      <c r="H1" s="3442"/>
      <c r="I1" s="3443"/>
      <c r="J1" s="2663"/>
      <c r="K1" s="2558"/>
      <c r="L1" s="2559"/>
      <c r="M1" s="2559"/>
      <c r="N1" s="2560"/>
      <c r="O1" s="1728"/>
      <c r="P1" s="2560"/>
      <c r="Q1" s="2560"/>
      <c r="R1" s="2560"/>
      <c r="S1" s="1834" t="str">
        <f>IF(B10="北京市","北京市",C10)&amp;F10&amp;IF(结果表1层商业!G1="在建","出让国有建设用地使用权及在建建筑物房地产抵押价值",IF(结果表1层商业!G1="土地","出让国有建设用地使用权抵押价值",B9))</f>
        <v>北京市房地产市场价值</v>
      </c>
      <c r="T1" s="1897"/>
      <c r="U1" s="1897"/>
      <c r="V1" s="1897"/>
      <c r="W1" s="1897"/>
      <c r="X1" s="1897"/>
      <c r="Y1" s="1897"/>
      <c r="Z1" s="1897"/>
      <c r="AA1" s="1897"/>
      <c r="AB1" s="1897"/>
    </row>
    <row r="2" spans="1:28">
      <c r="A2" s="2557" t="s">
        <v>2851</v>
      </c>
      <c r="B2" s="2561"/>
      <c r="C2" s="2562"/>
      <c r="D2" s="2865"/>
      <c r="E2" s="2855"/>
      <c r="F2" s="2855"/>
      <c r="G2" s="2856"/>
      <c r="H2" s="2856"/>
      <c r="I2" s="2856"/>
      <c r="J2" s="2663"/>
      <c r="K2" s="2558"/>
      <c r="L2" s="2559"/>
      <c r="M2" s="2559"/>
      <c r="N2" s="2560"/>
      <c r="O2" s="1728"/>
      <c r="P2" s="2560"/>
      <c r="Q2" s="2560"/>
      <c r="R2" s="2560"/>
      <c r="S2" s="1834" t="str">
        <f>IF(B10="北京市","北京市",C10)&amp;F10&amp;IF(结果表1层商业!G1="在建","出让国有建设用地使用权及在建建筑物房地产",IF(结果表1层商业!G1="土地","出让国有建设用地使用权","房地产"))</f>
        <v>北京市房地产</v>
      </c>
      <c r="T2" s="1897"/>
      <c r="U2" s="1897"/>
      <c r="V2" s="1897"/>
      <c r="W2" s="1897"/>
      <c r="X2" s="1897"/>
      <c r="Y2" s="1897"/>
      <c r="Z2" s="1897"/>
      <c r="AA2" s="1897"/>
      <c r="AB2" s="1897"/>
    </row>
    <row r="3" spans="1:28">
      <c r="A3" s="307" t="s">
        <v>2852</v>
      </c>
      <c r="B3" s="2563">
        <v>44762</v>
      </c>
      <c r="C3" s="2564" t="s">
        <v>2853</v>
      </c>
      <c r="D3" s="2563">
        <f>B3</f>
        <v>44762</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2854</v>
      </c>
      <c r="B4" s="2565" t="s">
        <v>3125</v>
      </c>
      <c r="C4" s="2566">
        <f ca="1">SUMIF(注册房地产估价师,B4,估价师及机构信息!B3:B24)</f>
        <v>0</v>
      </c>
      <c r="D4" s="2565" t="s">
        <v>3126</v>
      </c>
      <c r="E4" s="2567">
        <f ca="1">SUMIF(注册房地产估价师,D4,估价师及机构信息!B3:B24)</f>
        <v>1119970111</v>
      </c>
      <c r="F4" s="2565"/>
      <c r="G4" s="2567">
        <f>SUMIF(注册房地产估价师,F4,估价师及机构信息!B3:B24)</f>
        <v>0</v>
      </c>
      <c r="H4" s="2565"/>
      <c r="I4" s="2567">
        <f>SUMIF(注册房地产估价师,H4,估价师及机构信息!B3:B24)</f>
        <v>0</v>
      </c>
      <c r="J4" s="2631"/>
      <c r="K4" s="2568" t="str">
        <f ca="1">CONCATENATE(B4,"（注册号：",C4,")、",D4,"（注册号：",E4,")")</f>
        <v>陈颖（注册号：0)、叶凌（注册号：1119970111)</v>
      </c>
      <c r="L4" s="2559"/>
      <c r="M4" s="2559"/>
      <c r="N4" s="2560"/>
      <c r="O4" s="1728"/>
      <c r="P4" s="2560"/>
      <c r="Q4" s="2560"/>
      <c r="R4" s="2560"/>
      <c r="S4" s="1834"/>
      <c r="T4" s="1897"/>
      <c r="U4" s="1897"/>
      <c r="V4" s="1897"/>
      <c r="W4" s="1897"/>
      <c r="X4" s="1897"/>
      <c r="Y4" s="1897"/>
      <c r="Z4" s="1897"/>
      <c r="AA4" s="1897"/>
      <c r="AB4" s="1897"/>
    </row>
    <row r="5" spans="1:28" ht="13.5" thickTop="1">
      <c r="A5" s="2569" t="s">
        <v>2855</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2856</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2857</v>
      </c>
      <c r="B7" s="2577"/>
      <c r="C7" s="2575"/>
      <c r="D7" s="2576"/>
      <c r="E7" s="2855"/>
      <c r="F7" s="2857"/>
      <c r="G7" s="2857"/>
      <c r="H7" s="2857"/>
      <c r="I7" s="2857"/>
      <c r="J7" s="2631"/>
      <c r="K7" s="2808"/>
      <c r="L7" s="2805"/>
      <c r="M7" s="2805"/>
      <c r="N7" s="2631"/>
      <c r="O7" s="2642"/>
      <c r="P7" s="2631"/>
      <c r="Q7" s="2631"/>
      <c r="R7" s="2631"/>
    </row>
    <row r="8" spans="1:28">
      <c r="A8" s="2578" t="s">
        <v>2858</v>
      </c>
      <c r="B8" s="2579" t="s">
        <v>3127</v>
      </c>
      <c r="C8" s="2580"/>
      <c r="D8" s="3444" t="s">
        <v>2859</v>
      </c>
      <c r="E8" s="2581"/>
      <c r="F8" s="2582"/>
      <c r="G8" s="2856"/>
      <c r="H8" s="2856"/>
      <c r="I8" s="2856"/>
      <c r="J8" s="2631"/>
      <c r="K8" s="2806"/>
      <c r="L8" s="2805"/>
      <c r="M8" s="2805"/>
      <c r="N8" s="2631"/>
      <c r="O8" s="2642"/>
      <c r="P8" s="2631"/>
      <c r="Q8" s="2631"/>
      <c r="R8" s="2631"/>
    </row>
    <row r="9" spans="1:28" ht="13.5" thickBot="1">
      <c r="A9" s="2583" t="s">
        <v>2860</v>
      </c>
      <c r="B9" s="2584" t="s">
        <v>3128</v>
      </c>
      <c r="C9" s="2585"/>
      <c r="D9" s="3445"/>
      <c r="E9" s="2584"/>
      <c r="F9" s="2586"/>
      <c r="G9" s="2858"/>
      <c r="H9" s="2858"/>
      <c r="I9" s="2858"/>
      <c r="J9" s="2631"/>
      <c r="K9" s="2808"/>
      <c r="L9" s="2805"/>
      <c r="M9" s="2805"/>
      <c r="N9" s="2631"/>
      <c r="O9" s="2642"/>
      <c r="P9" s="2631"/>
      <c r="Q9" s="2631"/>
      <c r="R9" s="2631"/>
    </row>
    <row r="10" spans="1:28" ht="13.5" thickTop="1">
      <c r="A10" s="2587" t="s">
        <v>2861</v>
      </c>
      <c r="B10" s="2588" t="s">
        <v>3129</v>
      </c>
      <c r="C10" s="2589"/>
      <c r="D10" s="2572"/>
      <c r="E10" s="2590" t="s">
        <v>2862</v>
      </c>
      <c r="F10" s="2859"/>
      <c r="G10" s="2860"/>
      <c r="H10" s="2861"/>
      <c r="I10" s="2862"/>
      <c r="J10" s="2631"/>
      <c r="K10" s="2808"/>
      <c r="L10" s="2805"/>
      <c r="M10" s="2805"/>
      <c r="N10" s="2631"/>
      <c r="O10" s="2642"/>
      <c r="P10" s="2631"/>
      <c r="Q10" s="2631"/>
      <c r="R10" s="2631"/>
    </row>
    <row r="11" spans="1:28">
      <c r="A11" s="2591" t="s">
        <v>2863</v>
      </c>
      <c r="B11" s="2592" t="s">
        <v>3130</v>
      </c>
      <c r="C11" s="2593"/>
      <c r="D11" s="2594"/>
      <c r="E11" s="2560"/>
      <c r="F11" s="2560"/>
      <c r="G11" s="2560"/>
      <c r="H11" s="2560"/>
      <c r="I11" s="2560"/>
      <c r="J11" s="2631"/>
      <c r="K11" s="2808"/>
      <c r="L11" s="2805"/>
      <c r="M11" s="2805"/>
      <c r="N11" s="2631"/>
      <c r="O11" s="2642"/>
      <c r="P11" s="2631"/>
      <c r="Q11" s="2631"/>
      <c r="R11" s="2631"/>
    </row>
    <row r="12" spans="1:28">
      <c r="A12" s="2595" t="s">
        <v>2864</v>
      </c>
      <c r="B12" s="2592" t="s">
        <v>3131</v>
      </c>
      <c r="C12" s="328" t="s">
        <v>2865</v>
      </c>
      <c r="D12" s="2596" t="s">
        <v>2866</v>
      </c>
      <c r="E12" s="2596" t="s">
        <v>2867</v>
      </c>
      <c r="F12" s="2596" t="s">
        <v>2868</v>
      </c>
      <c r="G12" s="2596" t="s">
        <v>2869</v>
      </c>
      <c r="H12" s="2596" t="s">
        <v>2870</v>
      </c>
      <c r="I12" s="2596" t="s">
        <v>2871</v>
      </c>
      <c r="J12" s="2631"/>
      <c r="K12" s="2808"/>
      <c r="L12" s="2805"/>
      <c r="M12" s="2805"/>
      <c r="N12" s="2631"/>
      <c r="O12" s="2642"/>
      <c r="P12" s="2631"/>
      <c r="Q12" s="2631"/>
      <c r="R12" s="2631"/>
    </row>
    <row r="13" spans="1:28">
      <c r="A13" s="1210"/>
      <c r="B13" s="2597"/>
      <c r="C13" s="2598" t="s">
        <v>2872</v>
      </c>
      <c r="D13" s="963"/>
      <c r="E13" s="963">
        <v>57339</v>
      </c>
      <c r="F13" s="963">
        <v>60991</v>
      </c>
      <c r="G13" s="963">
        <f>F13</f>
        <v>60991</v>
      </c>
      <c r="H13" s="963">
        <f>G13</f>
        <v>60991</v>
      </c>
      <c r="I13" s="963"/>
      <c r="J13" s="2631"/>
      <c r="K13" s="2808"/>
      <c r="L13" s="2805"/>
      <c r="M13" s="2805"/>
      <c r="N13" s="2631"/>
      <c r="O13" s="2642"/>
      <c r="P13" s="2631"/>
      <c r="Q13" s="2631"/>
      <c r="R13" s="2631"/>
    </row>
    <row r="14" spans="1:28">
      <c r="A14" s="1210"/>
      <c r="B14" s="2597"/>
      <c r="C14" s="2598" t="s">
        <v>2873</v>
      </c>
      <c r="D14" s="2599">
        <v>70</v>
      </c>
      <c r="E14" s="2599">
        <v>40</v>
      </c>
      <c r="F14" s="2599">
        <v>50</v>
      </c>
      <c r="G14" s="2599">
        <v>50</v>
      </c>
      <c r="H14" s="2599">
        <v>50</v>
      </c>
      <c r="I14" s="2599">
        <v>50</v>
      </c>
      <c r="J14" s="2631"/>
      <c r="K14" s="2809"/>
      <c r="L14" s="2805"/>
      <c r="M14" s="2805"/>
      <c r="N14" s="2631"/>
      <c r="O14" s="2642"/>
      <c r="P14" s="2631"/>
      <c r="Q14" s="2631"/>
      <c r="R14" s="2631"/>
    </row>
    <row r="15" spans="1:28">
      <c r="A15" s="325"/>
      <c r="B15" s="2600"/>
      <c r="C15" s="2601" t="s">
        <v>2874</v>
      </c>
      <c r="D15" s="2602" t="str">
        <f>IF(B12="出让",IF(D13="","",ROUNDDOWN(MIN((D13-$D$3)/365,D14),2)),D14)</f>
        <v/>
      </c>
      <c r="E15" s="2602">
        <f>IF(B12="出让",IF(E13="","",ROUNDDOWN(MIN((E13-$D$3)/365,E14),2)),E14)</f>
        <v>34.450000000000003</v>
      </c>
      <c r="F15" s="2602">
        <f>IF(B12="出让",IF(F13="","",ROUNDDOWN(MIN((F13-$D$3)/365,F14),2)),F14)</f>
        <v>44.46</v>
      </c>
      <c r="G15" s="2602">
        <f>IF(B12="出让",IF(G13="","",ROUNDDOWN(MIN((G13-$D$3)/365,G14),2)),G14)</f>
        <v>44.46</v>
      </c>
      <c r="H15" s="2602">
        <f>IF(B12="出让",IF(H13="","",ROUNDDOWN(MIN((H13-$D$3)/365,H14),2)),H14)</f>
        <v>44.46</v>
      </c>
      <c r="I15" s="2602" t="str">
        <f>IF(B12="出让",IF(I13="","",ROUNDDOWN(MIN((I13-$D$3)/365,I14),2)),I14)</f>
        <v/>
      </c>
      <c r="J15" s="2631"/>
      <c r="K15" s="2810"/>
      <c r="L15" s="2643"/>
      <c r="M15" s="2643"/>
      <c r="N15" s="2701"/>
      <c r="O15" s="2643"/>
      <c r="P15" s="2701"/>
      <c r="Q15" s="2631"/>
      <c r="R15" s="2631"/>
    </row>
    <row r="16" spans="1:28">
      <c r="A16" s="2590" t="s">
        <v>2875</v>
      </c>
      <c r="B16" s="3451"/>
      <c r="C16" s="3452"/>
      <c r="D16" s="3453"/>
      <c r="E16" s="2605" t="s">
        <v>2876</v>
      </c>
      <c r="F16" s="3454"/>
      <c r="G16" s="3455"/>
      <c r="H16" s="3455"/>
      <c r="I16" s="3456"/>
      <c r="J16" s="2631"/>
      <c r="K16" s="2810"/>
      <c r="L16" s="2643"/>
      <c r="M16" s="2643"/>
      <c r="N16" s="2701"/>
      <c r="O16" s="2643"/>
      <c r="P16" s="2701"/>
      <c r="Q16" s="2631"/>
      <c r="R16" s="2631"/>
    </row>
    <row r="17" spans="1:28">
      <c r="A17" s="318" t="s">
        <v>2877</v>
      </c>
      <c r="B17" s="307" t="s">
        <v>2878</v>
      </c>
      <c r="C17" s="11">
        <f>'数据-汇总表'!E3</f>
        <v>683.55</v>
      </c>
      <c r="D17" s="2511" t="s">
        <v>2879</v>
      </c>
      <c r="E17" s="3457" t="s">
        <v>2880</v>
      </c>
      <c r="F17" s="3458"/>
      <c r="G17" s="3458"/>
      <c r="H17" s="3458"/>
      <c r="I17" s="3459"/>
      <c r="J17" s="2631"/>
      <c r="K17" s="2811"/>
      <c r="L17" s="2643"/>
      <c r="M17" s="2643"/>
      <c r="N17" s="2701"/>
      <c r="O17" s="2643"/>
      <c r="P17" s="2701"/>
      <c r="Q17" s="2631"/>
      <c r="R17" s="2631"/>
      <c r="S17" s="2631"/>
      <c r="T17" s="2631"/>
      <c r="U17" s="2631"/>
      <c r="V17" s="2631"/>
    </row>
    <row r="18" spans="1:28" ht="24.75" thickBot="1">
      <c r="A18" s="2606" t="s">
        <v>2881</v>
      </c>
      <c r="B18" s="1219" t="s">
        <v>2882</v>
      </c>
      <c r="C18" s="2607">
        <f>'数据-汇总表'!D3</f>
        <v>273.42</v>
      </c>
      <c r="D18" s="1221" t="s">
        <v>2883</v>
      </c>
      <c r="E18" s="3460" t="s">
        <v>2884</v>
      </c>
      <c r="F18" s="3461"/>
      <c r="G18" s="3461"/>
      <c r="H18" s="3461"/>
      <c r="I18" s="3462"/>
      <c r="J18" s="2631"/>
      <c r="K18" s="2811"/>
      <c r="L18" s="2643"/>
      <c r="M18" s="2643"/>
      <c r="N18" s="2701"/>
      <c r="O18" s="2643"/>
      <c r="P18" s="2701"/>
      <c r="Q18" s="2631"/>
      <c r="R18" s="2631"/>
      <c r="S18" s="2631"/>
      <c r="T18" s="2631"/>
      <c r="U18" s="2631"/>
      <c r="V18" s="2631"/>
    </row>
    <row r="19" spans="1:28" ht="37.5" thickTop="1" thickBot="1">
      <c r="A19" s="332" t="s">
        <v>1681</v>
      </c>
      <c r="B19" s="312" t="s">
        <v>2885</v>
      </c>
      <c r="C19" s="1715"/>
      <c r="D19" s="1716" t="s">
        <v>2886</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2887</v>
      </c>
      <c r="B20" s="3447" t="s">
        <v>2888</v>
      </c>
      <c r="C20" s="3448"/>
      <c r="D20" s="3449" t="s">
        <v>2889</v>
      </c>
      <c r="E20" s="3450"/>
      <c r="F20" s="2840" t="s">
        <v>1682</v>
      </c>
      <c r="G20" s="2857"/>
      <c r="H20" s="2857"/>
      <c r="I20" s="2857"/>
      <c r="J20" s="2631"/>
      <c r="K20" s="3446" t="s">
        <v>2890</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2891</v>
      </c>
      <c r="C21" s="2827" t="s">
        <v>1683</v>
      </c>
      <c r="D21" s="1720" t="s">
        <v>2892</v>
      </c>
      <c r="E21" s="2828" t="s">
        <v>1683</v>
      </c>
      <c r="F21" s="2841"/>
      <c r="G21" s="2857"/>
      <c r="H21" s="2857"/>
      <c r="I21" s="2857"/>
      <c r="J21" s="2631"/>
      <c r="K21" s="344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2893</v>
      </c>
      <c r="C22" s="2827" t="s">
        <v>1684</v>
      </c>
      <c r="D22" s="2856"/>
      <c r="E22" s="2856"/>
      <c r="F22" s="2856"/>
      <c r="G22" s="2857"/>
      <c r="H22" s="2857"/>
      <c r="I22" s="2857"/>
      <c r="J22" s="2631"/>
      <c r="K22" s="3446"/>
      <c r="L22" s="691"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2894</v>
      </c>
      <c r="B23" s="2694" t="s">
        <v>2895</v>
      </c>
      <c r="C23" s="2831"/>
      <c r="D23" s="2832" t="s">
        <v>2895</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434" t="s">
        <v>2896</v>
      </c>
      <c r="B27" s="325" t="s">
        <v>2897</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434"/>
      <c r="B28" s="307" t="s">
        <v>2898</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434"/>
      <c r="B29" s="307" t="s">
        <v>2899</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435"/>
      <c r="B30" s="307" t="s">
        <v>2900</v>
      </c>
      <c r="C30" s="3436"/>
      <c r="D30" s="3437"/>
      <c r="E30" s="2857"/>
      <c r="F30" s="2857"/>
      <c r="G30" s="2857"/>
      <c r="H30" s="2857"/>
      <c r="I30" s="2857"/>
      <c r="J30" s="2631"/>
      <c r="K30" s="2808"/>
      <c r="L30" s="2805"/>
      <c r="M30" s="2805"/>
      <c r="N30" s="2631"/>
      <c r="O30" s="2642"/>
      <c r="P30" s="2631"/>
      <c r="Q30" s="2631"/>
      <c r="R30" s="2631"/>
      <c r="S30" s="2631"/>
      <c r="T30" s="2631"/>
      <c r="U30" s="2631"/>
      <c r="V30" s="2631"/>
    </row>
    <row r="31" spans="1:28">
      <c r="A31" s="3438" t="s">
        <v>2901</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439"/>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439"/>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7" t="s">
        <v>2902</v>
      </c>
      <c r="B34" s="2180"/>
      <c r="C34" s="2180"/>
      <c r="D34" s="2180"/>
      <c r="E34" s="2180"/>
      <c r="F34" s="2180"/>
      <c r="G34" s="2180"/>
      <c r="H34" s="2180"/>
      <c r="I34" s="2857"/>
      <c r="J34" s="2631"/>
      <c r="K34" s="2619">
        <f>COUNTIF(B34:H34,"——")</f>
        <v>0</v>
      </c>
      <c r="L34" s="328" t="s">
        <v>2903</v>
      </c>
      <c r="M34" s="328" t="s">
        <v>2904</v>
      </c>
      <c r="N34" s="328" t="s">
        <v>2905</v>
      </c>
      <c r="O34" s="328" t="s">
        <v>2906</v>
      </c>
      <c r="P34" s="328" t="s">
        <v>2907</v>
      </c>
      <c r="Q34" s="328" t="s">
        <v>2908</v>
      </c>
      <c r="R34" s="328" t="s">
        <v>2909</v>
      </c>
      <c r="S34" s="3433" t="s">
        <v>2910</v>
      </c>
      <c r="T34" s="2620" t="str">
        <f>NUMBERSTRING(7-K34,1)&amp;"通"</f>
        <v>七通</v>
      </c>
      <c r="U34" s="2631"/>
      <c r="V34" s="2631"/>
    </row>
    <row r="35" spans="1:30">
      <c r="A35" s="2621"/>
      <c r="B35" s="3440" t="s">
        <v>2911</v>
      </c>
      <c r="C35" s="3440"/>
      <c r="D35" s="3440"/>
      <c r="E35" s="3440"/>
      <c r="F35" s="672">
        <f>C10</f>
        <v>0</v>
      </c>
      <c r="G35" s="2857"/>
      <c r="H35" s="2857"/>
      <c r="I35" s="2857"/>
      <c r="J35" s="263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33"/>
      <c r="T35" s="334" t="str">
        <f>IF(T34="一通",L35,IF(T34="二通",M35,IF(T34="三通",N35,IF(T34="四通",O35,IF(T34="五通",P35,IF(T34="六通",Q35,R35))))))</f>
        <v>、、、、、、</v>
      </c>
      <c r="U35" s="2631"/>
      <c r="V35" s="2631"/>
    </row>
    <row r="36" spans="1:30">
      <c r="A36" s="2622"/>
      <c r="B36" s="672" t="s">
        <v>2867</v>
      </c>
      <c r="C36" s="672" t="s">
        <v>2868</v>
      </c>
      <c r="D36" s="672" t="s">
        <v>2866</v>
      </c>
      <c r="E36" s="672" t="s">
        <v>2871</v>
      </c>
      <c r="F36" s="2863"/>
      <c r="G36" s="2857"/>
      <c r="H36" s="2857"/>
      <c r="I36" s="2857"/>
      <c r="J36" s="2631"/>
      <c r="K36" s="2808"/>
      <c r="L36" s="2805"/>
      <c r="M36" s="2805"/>
      <c r="N36" s="2631"/>
      <c r="O36" s="2642"/>
      <c r="P36" s="2631"/>
      <c r="Q36" s="2631"/>
      <c r="R36" s="2631"/>
      <c r="S36" s="2631"/>
      <c r="T36" s="2631"/>
      <c r="U36" s="2631"/>
      <c r="V36" s="2631"/>
    </row>
    <row r="37" spans="1:30">
      <c r="A37" s="2823" t="s">
        <v>2912</v>
      </c>
      <c r="B37" s="2623" t="s">
        <v>526</v>
      </c>
      <c r="C37" s="2623" t="s">
        <v>526</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2913</v>
      </c>
      <c r="B38" s="2624" t="s">
        <v>3500</v>
      </c>
      <c r="C38" s="2624" t="s">
        <v>3500</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2914</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2915</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8" t="s">
        <v>2916</v>
      </c>
      <c r="B42" s="11" t="s">
        <v>2917</v>
      </c>
      <c r="C42" s="11" t="s">
        <v>2918</v>
      </c>
      <c r="D42" s="11" t="s">
        <v>2919</v>
      </c>
      <c r="E42" s="11" t="s">
        <v>2920</v>
      </c>
      <c r="F42" s="11" t="s">
        <v>2921</v>
      </c>
      <c r="G42" s="11" t="s">
        <v>2922</v>
      </c>
      <c r="H42" s="11" t="s">
        <v>2923</v>
      </c>
      <c r="I42" s="11" t="s">
        <v>2924</v>
      </c>
      <c r="J42" s="2819" t="s">
        <v>2925</v>
      </c>
      <c r="K42" s="2820" t="s">
        <v>2926</v>
      </c>
      <c r="L42" s="2820" t="s">
        <v>2927</v>
      </c>
      <c r="M42" s="2820" t="s">
        <v>2928</v>
      </c>
      <c r="N42" s="2813" t="s">
        <v>2929</v>
      </c>
      <c r="O42" s="2813" t="s">
        <v>2930</v>
      </c>
      <c r="P42" s="2813" t="s">
        <v>2931</v>
      </c>
      <c r="Q42" s="2814" t="s">
        <v>2932</v>
      </c>
      <c r="R42" s="2814" t="s">
        <v>2933</v>
      </c>
      <c r="S42" s="2631"/>
      <c r="T42" s="2631"/>
      <c r="U42" s="2631"/>
      <c r="V42" s="2631"/>
    </row>
    <row r="43" spans="1:30" s="1895" customFormat="1">
      <c r="A43" s="1722"/>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2"/>
      <c r="B44" s="1722"/>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2"/>
      <c r="B45" s="1722"/>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2"/>
      <c r="B46" s="1722"/>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2"/>
      <c r="B47" s="1722"/>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2"/>
      <c r="B48" s="1722"/>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2"/>
      <c r="B49" s="1722"/>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2"/>
      <c r="B50" s="1722"/>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2"/>
      <c r="B51" s="1722"/>
      <c r="C51" s="1180"/>
      <c r="D51" s="1180"/>
      <c r="E51" s="1180"/>
      <c r="F51" s="1180"/>
      <c r="G51" s="1180"/>
      <c r="H51" s="1180"/>
      <c r="I51" s="1180"/>
      <c r="J51" s="2629"/>
      <c r="K51" s="2630"/>
      <c r="L51" s="2630"/>
      <c r="M51" s="1180"/>
      <c r="N51" s="1180"/>
      <c r="O51" s="1180"/>
      <c r="P51" s="1180"/>
      <c r="Q51" s="1180"/>
      <c r="R51" s="1180"/>
    </row>
    <row r="52" spans="1:22" s="1895" customFormat="1">
      <c r="A52" s="1722"/>
      <c r="B52" s="1722"/>
      <c r="C52" s="1722"/>
      <c r="D52" s="1722"/>
      <c r="E52" s="1722"/>
      <c r="F52" s="1180"/>
      <c r="G52" s="1722"/>
      <c r="H52" s="1722"/>
      <c r="I52" s="1722"/>
      <c r="J52" s="2632"/>
      <c r="K52" s="2630"/>
      <c r="L52" s="2630"/>
      <c r="M52" s="2630"/>
      <c r="N52" s="1722"/>
      <c r="O52" s="1722"/>
      <c r="P52" s="1722"/>
      <c r="Q52" s="1722"/>
      <c r="R52" s="1722"/>
    </row>
    <row r="53" spans="1:22" s="1895" customFormat="1">
      <c r="A53" s="1722"/>
      <c r="B53" s="1722"/>
      <c r="C53" s="1722"/>
      <c r="D53" s="1722"/>
      <c r="E53" s="1722"/>
      <c r="F53" s="1180"/>
      <c r="G53" s="1722"/>
      <c r="H53" s="1722"/>
      <c r="I53" s="1722"/>
      <c r="J53" s="2632"/>
      <c r="K53" s="2630"/>
      <c r="L53" s="2630"/>
      <c r="M53" s="2630"/>
      <c r="N53" s="1722"/>
      <c r="O53" s="1722"/>
      <c r="P53" s="1722"/>
      <c r="Q53" s="1722"/>
      <c r="R53" s="1722"/>
    </row>
    <row r="54" spans="1:22" s="1895" customFormat="1">
      <c r="A54" s="1722"/>
      <c r="B54" s="1722"/>
      <c r="C54" s="1722"/>
      <c r="D54" s="1722"/>
      <c r="E54" s="1722"/>
      <c r="F54" s="1180"/>
      <c r="G54" s="1722"/>
      <c r="H54" s="1722"/>
      <c r="I54" s="1722"/>
      <c r="J54" s="2632"/>
      <c r="K54" s="2630"/>
      <c r="L54" s="2630"/>
      <c r="M54" s="2630"/>
      <c r="N54" s="1722"/>
      <c r="O54" s="1722"/>
      <c r="P54" s="1722"/>
      <c r="Q54" s="1722"/>
      <c r="R54" s="1722"/>
    </row>
    <row r="55" spans="1:22" s="1895" customFormat="1">
      <c r="A55" s="1722"/>
      <c r="B55" s="1722"/>
      <c r="C55" s="1722"/>
      <c r="D55" s="1722"/>
      <c r="E55" s="1722"/>
      <c r="F55" s="1180"/>
      <c r="G55" s="1722"/>
      <c r="H55" s="1722"/>
      <c r="I55" s="1722"/>
      <c r="J55" s="2632"/>
      <c r="K55" s="2630"/>
      <c r="L55" s="2630"/>
      <c r="M55" s="2630"/>
      <c r="N55" s="1722"/>
      <c r="O55" s="1722"/>
      <c r="P55" s="1722"/>
      <c r="Q55" s="1722"/>
      <c r="R55" s="1722"/>
    </row>
    <row r="56" spans="1:22" s="1895" customFormat="1">
      <c r="A56" s="1722"/>
      <c r="B56" s="1722"/>
      <c r="C56" s="1722"/>
      <c r="D56" s="1722"/>
      <c r="E56" s="1722"/>
      <c r="F56" s="1180"/>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625" style="1725" customWidth="1"/>
    <col min="17" max="17" width="9.375" style="1725" customWidth="1"/>
    <col min="18" max="18" width="9.125" style="1725" customWidth="1"/>
    <col min="19" max="19" width="10.875" style="1725" customWidth="1"/>
    <col min="20" max="21" width="10.625" style="1725" customWidth="1"/>
    <col min="22" max="22" width="10.875" style="1725" customWidth="1"/>
    <col min="23" max="27" width="10.625" style="1725" customWidth="1"/>
    <col min="28" max="28" width="10.875" style="1725" customWidth="1"/>
    <col min="29" max="29" width="11" style="1725" bestFit="1" customWidth="1"/>
    <col min="30" max="30" width="10" style="1725" bestFit="1" customWidth="1"/>
    <col min="31" max="31" width="9.625" style="1725" customWidth="1"/>
    <col min="32" max="46" width="9.5" style="1725" customWidth="1"/>
    <col min="47" max="47" width="18.125" style="1725" customWidth="1"/>
    <col min="48" max="50" width="9.62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7" t="s">
        <v>1693</v>
      </c>
      <c r="AZ2" s="1178"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f>B3/2.5</f>
        <v>273.41999999999996</v>
      </c>
      <c r="B3" s="14">
        <f>IF(C3="否",G5-AT5,G5)</f>
        <v>683.55</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9"/>
      <c r="AZ3" s="1180"/>
      <c r="BA3" s="1181"/>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683.55</v>
      </c>
      <c r="H5" s="16">
        <f t="shared" ref="H5:AT5" si="0">SUM(H13:H656)</f>
        <v>683.55</v>
      </c>
      <c r="I5" s="16">
        <f t="shared" si="0"/>
        <v>683.55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683.55</v>
      </c>
      <c r="BA5" s="18">
        <f t="shared" si="1"/>
        <v>683.55</v>
      </c>
      <c r="BB5" s="18">
        <f t="shared" si="1"/>
        <v>683.55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1698</v>
      </c>
      <c r="B6" s="1738"/>
      <c r="C6" s="1738"/>
      <c r="D6" s="1739"/>
      <c r="E6" s="16">
        <f>H6+AC6+AT6</f>
        <v>273.42</v>
      </c>
      <c r="F6" s="16" t="s">
        <v>1</v>
      </c>
      <c r="G6" s="16" t="s">
        <v>2</v>
      </c>
      <c r="H6" s="20">
        <f>SUMIF(I$12:AB$12,"总值",I6:AB6)</f>
        <v>273.42</v>
      </c>
      <c r="I6" s="16">
        <f t="shared" ref="I6:AB6" si="2">ROUND($A$3*I5/$B$3,2)</f>
        <v>273.42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273.42</v>
      </c>
      <c r="AZ6" s="16" t="s">
        <v>3</v>
      </c>
      <c r="BA6" s="16">
        <f>ROUND($AY$6*BA5/$AZ$5,2)</f>
        <v>273.42</v>
      </c>
      <c r="BB6" s="16">
        <f>ROUND($AY$6*BB5/$AZ$5,2)</f>
        <v>273.42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200" t="s">
        <v>1713</v>
      </c>
      <c r="AU8" s="1746" t="s">
        <v>1714</v>
      </c>
      <c r="AV8" s="1200"/>
      <c r="AW8" s="1729"/>
      <c r="AX8" s="1200"/>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200"/>
      <c r="H9" s="1754" t="s">
        <v>1717</v>
      </c>
      <c r="I9" s="1755" t="s">
        <v>3193</v>
      </c>
      <c r="J9" s="916"/>
      <c r="K9" s="1755" t="s">
        <v>3133</v>
      </c>
      <c r="L9" s="916"/>
      <c r="M9" s="1755"/>
      <c r="N9" s="916"/>
      <c r="O9" s="1755"/>
      <c r="P9" s="916"/>
      <c r="Q9" s="1755"/>
      <c r="R9" s="916"/>
      <c r="S9" s="1755"/>
      <c r="T9" s="916"/>
      <c r="U9" s="1755"/>
      <c r="V9" s="916"/>
      <c r="W9" s="1755"/>
      <c r="X9" s="1756"/>
      <c r="Y9" s="1755"/>
      <c r="Z9" s="916"/>
      <c r="AA9" s="1755"/>
      <c r="AB9" s="916"/>
      <c r="AC9" s="1747"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7"/>
      <c r="AT9" s="1746"/>
      <c r="AU9" s="1746" t="s">
        <v>1720</v>
      </c>
      <c r="AV9" s="1200"/>
      <c r="AW9" s="1729"/>
      <c r="AX9" s="1200"/>
      <c r="AY9" s="28"/>
      <c r="AZ9" s="28" t="s">
        <v>1710</v>
      </c>
      <c r="BA9" s="1758" t="s">
        <v>1721</v>
      </c>
      <c r="BB9" s="1759"/>
      <c r="BC9" s="1217"/>
      <c r="BD9" s="1217"/>
      <c r="BE9" s="1217"/>
      <c r="BF9" s="1217"/>
      <c r="BG9" s="1217"/>
      <c r="BH9" s="1217"/>
      <c r="BI9" s="1217"/>
      <c r="BJ9" s="1217"/>
      <c r="BK9" s="1760"/>
      <c r="BL9" s="15" t="s">
        <v>1722</v>
      </c>
      <c r="BM9" s="1511"/>
      <c r="BN9" s="1749"/>
      <c r="BO9" s="1511"/>
      <c r="BP9" s="1511"/>
      <c r="BQ9" s="1511"/>
      <c r="BR9" s="1511"/>
      <c r="BS9" s="1511"/>
      <c r="BT9" s="26"/>
    </row>
    <row r="10" spans="1:72" s="1753" customFormat="1" ht="12.75">
      <c r="A10" s="1746"/>
      <c r="B10" s="1746"/>
      <c r="C10" s="1746"/>
      <c r="D10" s="1746"/>
      <c r="E10" s="1746"/>
      <c r="F10" s="1746"/>
      <c r="G10" s="1200"/>
      <c r="H10" s="28"/>
      <c r="I10" s="1755" t="s">
        <v>1283</v>
      </c>
      <c r="J10" s="916"/>
      <c r="K10" s="1761" t="s">
        <v>1283</v>
      </c>
      <c r="L10" s="916"/>
      <c r="M10" s="1761"/>
      <c r="N10" s="916"/>
      <c r="O10" s="1761"/>
      <c r="P10" s="916"/>
      <c r="Q10" s="1761"/>
      <c r="R10" s="916"/>
      <c r="S10" s="1761"/>
      <c r="T10" s="916"/>
      <c r="U10" s="1761"/>
      <c r="V10" s="916"/>
      <c r="W10" s="1761"/>
      <c r="X10" s="916"/>
      <c r="Y10" s="1761"/>
      <c r="Z10" s="916"/>
      <c r="AA10" s="1761"/>
      <c r="AB10" s="916"/>
      <c r="AC10" s="1200"/>
      <c r="AD10" s="15" t="s">
        <v>1723</v>
      </c>
      <c r="AE10" s="1762"/>
      <c r="AF10" s="15" t="s">
        <v>1723</v>
      </c>
      <c r="AG10" s="1762"/>
      <c r="AH10" s="15" t="s">
        <v>1724</v>
      </c>
      <c r="AI10" s="1762"/>
      <c r="AJ10" s="15" t="s">
        <v>1724</v>
      </c>
      <c r="AK10" s="1762"/>
      <c r="AL10" s="15" t="s">
        <v>1725</v>
      </c>
      <c r="AM10" s="1206"/>
      <c r="AN10" s="15" t="s">
        <v>1725</v>
      </c>
      <c r="AO10" s="1206"/>
      <c r="AP10" s="15" t="s">
        <v>1726</v>
      </c>
      <c r="AQ10" s="1206"/>
      <c r="AR10" s="15" t="s">
        <v>1726</v>
      </c>
      <c r="AS10" s="1206"/>
      <c r="AT10" s="1746"/>
      <c r="AU10" s="1746"/>
      <c r="AV10" s="1200"/>
      <c r="AW10" s="1729"/>
      <c r="AX10" s="1200"/>
      <c r="AY10" s="28"/>
      <c r="AZ10" s="28"/>
      <c r="BA10" s="1763" t="s">
        <v>1717</v>
      </c>
      <c r="BB10" s="1764" t="str">
        <f>I9</f>
        <v>地上</v>
      </c>
      <c r="BC10" s="29" t="str">
        <f>K9</f>
        <v>地下</v>
      </c>
      <c r="BD10" s="29">
        <f>M9</f>
        <v>0</v>
      </c>
      <c r="BE10" s="29">
        <f>O9</f>
        <v>0</v>
      </c>
      <c r="BF10" s="29">
        <f>Q9</f>
        <v>0</v>
      </c>
      <c r="BG10" s="29">
        <f>S9</f>
        <v>0</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200"/>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200"/>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200"/>
      <c r="AW11" s="1729"/>
      <c r="AX11" s="1200"/>
      <c r="AY11" s="28"/>
      <c r="AZ11" s="28"/>
      <c r="BA11" s="28"/>
      <c r="BB11" s="1751" t="str">
        <f>I10</f>
        <v>商业</v>
      </c>
      <c r="BC11" s="1751" t="str">
        <f>K10</f>
        <v>商业</v>
      </c>
      <c r="BD11" s="1751">
        <f>M10</f>
        <v>0</v>
      </c>
      <c r="BE11" s="1751">
        <f>O10</f>
        <v>0</v>
      </c>
      <c r="BF11" s="1751">
        <f>Q10</f>
        <v>0</v>
      </c>
      <c r="BG11" s="1751">
        <f>S10</f>
        <v>0</v>
      </c>
      <c r="BH11" s="1751">
        <f>U10</f>
        <v>0</v>
      </c>
      <c r="BI11" s="1751">
        <f>W10</f>
        <v>0</v>
      </c>
      <c r="BJ11" s="1751">
        <f>Y10</f>
        <v>0</v>
      </c>
      <c r="BK11" s="1751">
        <f>AA10</f>
        <v>0</v>
      </c>
      <c r="BL11" s="1200"/>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200"/>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80"/>
      <c r="B13" s="1180"/>
      <c r="C13" s="3235"/>
      <c r="D13" s="1777" t="s">
        <v>3132</v>
      </c>
      <c r="E13" s="16">
        <f>IF($C$3="是",ROUND($A$3*G13/$B$3,2),ROUND($A$3*(G13-AT13)/$B$3,2))</f>
        <v>273.42</v>
      </c>
      <c r="F13" s="32"/>
      <c r="G13" s="33">
        <f>H13+AC13+AT13</f>
        <v>683.55</v>
      </c>
      <c r="H13" s="20">
        <f>SUMIF(I$12:AB$12,"总值",I13:AB13)</f>
        <v>683.55</v>
      </c>
      <c r="I13" s="1778">
        <f>Sheet1!D3</f>
        <v>683.55</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0</v>
      </c>
      <c r="AY13" s="1500">
        <f>ROUND($AY$6*AZ13/$AZ$5,2)</f>
        <v>273.42</v>
      </c>
      <c r="AZ13" s="16">
        <f>BA13+BL13</f>
        <v>683.55</v>
      </c>
      <c r="BA13" s="16">
        <f>SUM(BB13:BK13)</f>
        <v>683.55</v>
      </c>
      <c r="BB13" s="16">
        <f>IF($D13="是",I13-J13,0)</f>
        <v>683.55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80"/>
      <c r="B14" s="1180"/>
      <c r="C14" s="3235"/>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80"/>
      <c r="B15" s="1180"/>
      <c r="C15" s="3235"/>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80"/>
      <c r="B16" s="1180"/>
      <c r="C16" s="3235"/>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80"/>
      <c r="B17" s="1180"/>
      <c r="C17" s="3235"/>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5"/>
      <c r="D18" s="1777"/>
      <c r="E18" s="35">
        <f t="shared" ref="E18:E112" si="7">IF($C$3="是",ROUND($A$3*G18/$B$3,2),ROUND($A$3*(G18-AT18)/$B$3,2))</f>
        <v>0</v>
      </c>
      <c r="F18" s="36"/>
      <c r="G18" s="37">
        <f t="shared" ref="G18:G109" si="8">H18+AC18+AT18</f>
        <v>0</v>
      </c>
      <c r="H18" s="38">
        <f t="shared" ref="H18:H109" si="9">SUMIF(I$12:AB$12,"总值",I18:AB18)</f>
        <v>0</v>
      </c>
      <c r="I18" s="177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463" t="s">
        <v>0</v>
      </c>
      <c r="B1" s="3463" t="s">
        <v>4</v>
      </c>
      <c r="C1" s="3463" t="s">
        <v>5</v>
      </c>
      <c r="D1" s="3464" t="s">
        <v>53</v>
      </c>
      <c r="E1" s="3464" t="s">
        <v>54</v>
      </c>
      <c r="F1" s="3464"/>
      <c r="G1" s="3464"/>
      <c r="H1" s="3464"/>
      <c r="I1" s="3464"/>
      <c r="J1" s="3464"/>
      <c r="K1" s="3464"/>
      <c r="L1" s="3464"/>
      <c r="M1" s="3464"/>
    </row>
    <row r="2" spans="1:13" ht="27" customHeight="1">
      <c r="A2" s="3463"/>
      <c r="B2" s="3463"/>
      <c r="C2" s="3463"/>
      <c r="D2" s="3464"/>
      <c r="E2" s="3464" t="s">
        <v>37</v>
      </c>
      <c r="F2" s="3464" t="s">
        <v>38</v>
      </c>
      <c r="G2" s="3464"/>
      <c r="H2" s="3464"/>
      <c r="I2" s="3464"/>
      <c r="J2" s="3464" t="s">
        <v>39</v>
      </c>
      <c r="K2" s="3464"/>
      <c r="L2" s="3464"/>
      <c r="M2" s="3464"/>
    </row>
    <row r="3" spans="1:13" ht="28.5">
      <c r="A3" s="3463"/>
      <c r="B3" s="3463"/>
      <c r="C3" s="3463"/>
      <c r="D3" s="3464"/>
      <c r="E3" s="34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4" t="s">
        <v>55</v>
      </c>
      <c r="B9" s="3464"/>
      <c r="C9" s="34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SheetLayoutView="90" workbookViewId="0">
      <selection activeCell="E18" sqref="E18"/>
    </sheetView>
  </sheetViews>
  <sheetFormatPr defaultColWidth="9.125" defaultRowHeight="14.25"/>
  <cols>
    <col min="1" max="1" width="12.125" style="1790" customWidth="1"/>
    <col min="2" max="2" width="10.1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125" style="1790"/>
  </cols>
  <sheetData>
    <row r="1" spans="1:16" ht="19.5" thickBot="1">
      <c r="A1" s="1789" t="s">
        <v>1756</v>
      </c>
      <c r="B1" s="1270"/>
      <c r="C1" s="1270"/>
      <c r="D1" s="1270"/>
      <c r="E1" s="1270"/>
      <c r="F1" s="1270"/>
      <c r="G1" s="1270"/>
      <c r="H1" s="1270"/>
      <c r="I1" s="1270"/>
      <c r="J1" s="1270"/>
      <c r="K1" s="1270"/>
      <c r="L1" s="1270"/>
      <c r="M1" s="1270"/>
      <c r="N1" s="1270"/>
      <c r="O1" s="1270"/>
      <c r="P1" s="1270"/>
    </row>
    <row r="2" spans="1:16" ht="15">
      <c r="A2" s="3474" t="s">
        <v>1757</v>
      </c>
      <c r="B2" s="3474"/>
      <c r="C2" s="3474"/>
      <c r="D2" s="902" t="s">
        <v>1733</v>
      </c>
      <c r="E2" s="1791" t="s">
        <v>1734</v>
      </c>
      <c r="F2" s="2852"/>
      <c r="G2" s="2843"/>
      <c r="H2" s="2844"/>
      <c r="I2" s="2514" t="s">
        <v>1758</v>
      </c>
      <c r="J2" s="2852"/>
      <c r="K2" s="2852"/>
      <c r="L2" s="2852"/>
      <c r="M2" s="2852"/>
      <c r="N2" s="2854"/>
      <c r="O2" s="2852"/>
      <c r="P2" s="2852"/>
    </row>
    <row r="3" spans="1:16" ht="15.75" thickBot="1">
      <c r="A3" s="3475" t="s">
        <v>1731</v>
      </c>
      <c r="B3" s="3475"/>
      <c r="C3" s="3475"/>
      <c r="D3" s="46">
        <f>'数据-基础表'!AY6</f>
        <v>273.42</v>
      </c>
      <c r="E3" s="46">
        <f>'数据-基础表'!AZ5</f>
        <v>683.55</v>
      </c>
      <c r="F3" s="2852"/>
      <c r="G3" s="1276"/>
      <c r="H3" s="1155" t="s">
        <v>1732</v>
      </c>
      <c r="I3" s="962">
        <f>ROUND('数据-基础表'!B3/'数据-基础表'!A3,2)</f>
        <v>2.5</v>
      </c>
      <c r="J3" s="2852"/>
      <c r="K3" s="2852"/>
      <c r="L3" s="2852"/>
      <c r="M3" s="2852"/>
      <c r="N3" s="2854"/>
      <c r="O3" s="2852"/>
      <c r="P3" s="2852"/>
    </row>
    <row r="4" spans="1:16" ht="15">
      <c r="A4" s="3476"/>
      <c r="B4" s="3477"/>
      <c r="C4" s="3478"/>
      <c r="D4" s="1793" t="s">
        <v>1733</v>
      </c>
      <c r="E4" s="1794" t="s">
        <v>1734</v>
      </c>
      <c r="F4" s="2852"/>
      <c r="G4" s="2845" t="s">
        <v>1759</v>
      </c>
      <c r="H4" s="1155" t="s">
        <v>1739</v>
      </c>
      <c r="I4" s="962">
        <f>ROUND(SUMIF('数据-基础表'!I9:AS9,"地上",'数据-基础表'!I5:AS5)/'数据-基础表'!A3,2)</f>
        <v>2.5</v>
      </c>
      <c r="J4" s="2852"/>
      <c r="K4" s="2852"/>
      <c r="L4" s="2852"/>
      <c r="M4" s="2852"/>
      <c r="N4" s="2854"/>
      <c r="O4" s="2852"/>
      <c r="P4" s="2852"/>
    </row>
    <row r="5" spans="1:16">
      <c r="A5" s="47" t="s">
        <v>1735</v>
      </c>
      <c r="B5" s="3479" t="s">
        <v>1736</v>
      </c>
      <c r="C5" s="3479"/>
      <c r="D5" s="48">
        <f>ROUND($D$3*E5/$E$3,2)</f>
        <v>0</v>
      </c>
      <c r="E5" s="49">
        <f>SUMIF('数据-基础表'!$11:$11,"住宅",'数据-基础表'!$5:$5)</f>
        <v>0</v>
      </c>
      <c r="F5" s="2852"/>
      <c r="G5" s="1276"/>
      <c r="H5" s="1155" t="s">
        <v>1732</v>
      </c>
      <c r="I5" s="962">
        <f>ROUND(E31/D31,2)</f>
        <v>2.5</v>
      </c>
      <c r="J5" s="2852"/>
      <c r="K5" s="2852"/>
      <c r="L5" s="2852"/>
      <c r="M5" s="2852"/>
      <c r="N5" s="2852"/>
      <c r="O5" s="2852"/>
      <c r="P5" s="2852"/>
    </row>
    <row r="6" spans="1:16" ht="15" thickBot="1">
      <c r="A6" s="1796"/>
      <c r="B6" s="3479" t="s">
        <v>1737</v>
      </c>
      <c r="C6" s="3479"/>
      <c r="D6" s="48">
        <f>ROUND($D$3*E6/$E$3,2)</f>
        <v>273.42</v>
      </c>
      <c r="E6" s="49">
        <f>E3-E5</f>
        <v>683.55</v>
      </c>
      <c r="F6" s="2852"/>
      <c r="G6" s="2846" t="s">
        <v>1738</v>
      </c>
      <c r="H6" s="1277" t="s">
        <v>1739</v>
      </c>
      <c r="I6" s="2847">
        <f>ROUND(F31/D31,2)</f>
        <v>2.5</v>
      </c>
      <c r="J6" s="2852"/>
      <c r="K6" s="2852"/>
      <c r="L6" s="2852"/>
      <c r="M6" s="2852"/>
      <c r="N6" s="2852"/>
      <c r="O6" s="2852"/>
      <c r="P6" s="2852"/>
    </row>
    <row r="7" spans="1:16" ht="15.75" thickBot="1">
      <c r="A7" s="3471"/>
      <c r="B7" s="3472"/>
      <c r="C7" s="3473"/>
      <c r="D7" s="1793" t="s">
        <v>1733</v>
      </c>
      <c r="E7" s="1797" t="s">
        <v>1740</v>
      </c>
      <c r="F7" s="2852"/>
      <c r="G7" s="2848" t="s">
        <v>1741</v>
      </c>
      <c r="H7" s="2849"/>
      <c r="I7" s="2850">
        <v>2.5</v>
      </c>
      <c r="J7" s="2852"/>
      <c r="K7" s="2852"/>
      <c r="L7" s="2852"/>
      <c r="M7" s="2852"/>
      <c r="N7" s="2852"/>
      <c r="O7" s="2852"/>
      <c r="P7" s="2852"/>
    </row>
    <row r="8" spans="1:16">
      <c r="A8" s="47" t="s">
        <v>1742</v>
      </c>
      <c r="B8" s="50" t="s">
        <v>1743</v>
      </c>
      <c r="C8" s="48" t="s">
        <v>1744</v>
      </c>
      <c r="D8" s="48">
        <f t="shared" ref="D8:D15" si="0">ROUND($D$3*E8/$E$3,2)</f>
        <v>273.42</v>
      </c>
      <c r="E8" s="51">
        <f>SUMIF('数据-基础表'!BB10:BK10,"地上",'数据-基础表'!BB5:BK5)</f>
        <v>683.55</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1749</v>
      </c>
      <c r="D16" s="50">
        <f>SUM(D8:D15)</f>
        <v>273.42</v>
      </c>
      <c r="E16" s="53">
        <f>SUM(E8:E15)</f>
        <v>683.55</v>
      </c>
      <c r="F16" s="2852"/>
      <c r="G16" s="2853"/>
      <c r="H16" s="1800" t="s">
        <v>1761</v>
      </c>
      <c r="I16" s="1801"/>
      <c r="J16" s="1270"/>
      <c r="K16" s="3468" t="s">
        <v>1761</v>
      </c>
      <c r="L16" s="3469"/>
      <c r="M16" s="3469"/>
      <c r="N16" s="3469"/>
      <c r="O16" s="3469"/>
      <c r="P16" s="3470"/>
    </row>
    <row r="17" spans="1:19" ht="15">
      <c r="A17" s="1802" t="s">
        <v>1762</v>
      </c>
      <c r="B17" s="1803" t="s">
        <v>1763</v>
      </c>
      <c r="C17" s="1804" t="s">
        <v>1764</v>
      </c>
      <c r="D17" s="1805" t="s">
        <v>1752</v>
      </c>
      <c r="E17" s="1806" t="s">
        <v>1753</v>
      </c>
      <c r="F17" s="1807"/>
      <c r="G17" s="1808"/>
      <c r="H17" s="1809" t="s">
        <v>1765</v>
      </c>
      <c r="I17" s="1810" t="s">
        <v>1750</v>
      </c>
      <c r="J17" s="1270"/>
      <c r="K17" s="3465" t="s">
        <v>1766</v>
      </c>
      <c r="L17" s="3466"/>
      <c r="M17" s="3467"/>
      <c r="N17" s="3465" t="s">
        <v>1767</v>
      </c>
      <c r="O17" s="3466"/>
      <c r="P17" s="3467"/>
      <c r="R17" s="1792" t="s">
        <v>1768</v>
      </c>
      <c r="S17" s="60"/>
    </row>
    <row r="18" spans="1:19" ht="15">
      <c r="A18" s="1798"/>
      <c r="B18" s="1811"/>
      <c r="C18" s="1812"/>
      <c r="D18" s="1813"/>
      <c r="E18" s="1814" t="s">
        <v>1769</v>
      </c>
      <c r="F18" s="1815" t="s">
        <v>1770</v>
      </c>
      <c r="G18" s="1816" t="s">
        <v>1771</v>
      </c>
      <c r="H18" s="1170" t="s">
        <v>1772</v>
      </c>
      <c r="I18" s="1817" t="s">
        <v>1773</v>
      </c>
      <c r="J18" s="1270"/>
      <c r="K18" s="1170" t="s">
        <v>1774</v>
      </c>
      <c r="L18" s="1818" t="s">
        <v>1775</v>
      </c>
      <c r="M18" s="962" t="s">
        <v>1776</v>
      </c>
      <c r="N18" s="1170" t="s">
        <v>1774</v>
      </c>
      <c r="O18" s="1818" t="s">
        <v>1775</v>
      </c>
      <c r="P18" s="962" t="s">
        <v>1776</v>
      </c>
      <c r="R18" s="1155" t="s">
        <v>1777</v>
      </c>
      <c r="S18" s="1155" t="s">
        <v>1778</v>
      </c>
    </row>
    <row r="19" spans="1:19">
      <c r="A19" s="1819"/>
      <c r="B19" s="50" t="s">
        <v>1751</v>
      </c>
      <c r="C19" s="3214" t="s">
        <v>3509</v>
      </c>
      <c r="D19" s="48">
        <f>ROUND($D$3*E19/$E$3,2)</f>
        <v>273.42</v>
      </c>
      <c r="E19" s="56">
        <f t="shared" ref="E19:E26" si="1">SUM(F19:G19)</f>
        <v>683.55</v>
      </c>
      <c r="F19" s="2992">
        <f>'数据-基础表'!I13</f>
        <v>683.55</v>
      </c>
      <c r="G19" s="2993"/>
      <c r="H19" s="677">
        <f>ROUND($D$3*I19/$E$3,2)</f>
        <v>0</v>
      </c>
      <c r="I19" s="51">
        <f t="shared" ref="I19:I26" si="2">IF($I$17="自定义",P19,M19)</f>
        <v>0</v>
      </c>
      <c r="J19" s="1270"/>
      <c r="K19" s="1269">
        <f t="shared" ref="K19:K26" si="3">ROUND(E$28*E19/E$27,2)</f>
        <v>0</v>
      </c>
      <c r="L19" s="1155">
        <f t="shared" ref="L19:L26" si="4">ROUND(IF(COUNTIF(C19,"*住宅*")&gt;0,E$29*E19/E$32,0),2)</f>
        <v>0</v>
      </c>
      <c r="M19" s="1281">
        <f>K19+L19</f>
        <v>0</v>
      </c>
      <c r="N19" s="1820"/>
      <c r="O19" s="1821"/>
      <c r="P19" s="1281">
        <f>N19+O19</f>
        <v>0</v>
      </c>
      <c r="R19" s="1155">
        <f t="shared" ref="R19:S26" si="5">D19+H19</f>
        <v>273.42</v>
      </c>
      <c r="S19" s="1156">
        <f t="shared" si="5"/>
        <v>683.55</v>
      </c>
    </row>
    <row r="20" spans="1:19">
      <c r="A20" s="1822"/>
      <c r="B20" s="50" t="s">
        <v>1779</v>
      </c>
      <c r="C20" s="3214"/>
      <c r="D20" s="48">
        <f t="shared" ref="D20:D26" si="6">ROUND($D$3*E20/$E$3,2)</f>
        <v>0</v>
      </c>
      <c r="E20" s="56">
        <f t="shared" si="1"/>
        <v>0</v>
      </c>
      <c r="F20" s="2992"/>
      <c r="G20" s="2993"/>
      <c r="H20" s="677">
        <f t="shared" ref="H20:H26" si="7">ROUND($D$3*I20/$E$3,2)</f>
        <v>0</v>
      </c>
      <c r="I20" s="51">
        <f t="shared" si="2"/>
        <v>0</v>
      </c>
      <c r="J20" s="1270"/>
      <c r="K20" s="1269">
        <f t="shared" si="3"/>
        <v>0</v>
      </c>
      <c r="L20" s="1155">
        <f t="shared" si="4"/>
        <v>0</v>
      </c>
      <c r="M20" s="1281">
        <f t="shared" ref="M20:M26" si="8">K20+L20</f>
        <v>0</v>
      </c>
      <c r="N20" s="1820"/>
      <c r="O20" s="1821"/>
      <c r="P20" s="1281">
        <f t="shared" ref="P20:P26" si="9">N20+O20</f>
        <v>0</v>
      </c>
      <c r="R20" s="1155">
        <f t="shared" si="5"/>
        <v>0</v>
      </c>
      <c r="S20" s="1156">
        <f t="shared" si="5"/>
        <v>0</v>
      </c>
    </row>
    <row r="21" spans="1:19">
      <c r="A21" s="1822"/>
      <c r="B21" s="50" t="s">
        <v>1779</v>
      </c>
      <c r="C21" s="3214"/>
      <c r="D21" s="48">
        <f t="shared" si="6"/>
        <v>0</v>
      </c>
      <c r="E21" s="56">
        <f t="shared" si="1"/>
        <v>0</v>
      </c>
      <c r="F21" s="2992"/>
      <c r="G21" s="2993"/>
      <c r="H21" s="677">
        <f t="shared" si="7"/>
        <v>0</v>
      </c>
      <c r="I21" s="51">
        <f t="shared" si="2"/>
        <v>0</v>
      </c>
      <c r="J21" s="1270"/>
      <c r="K21" s="1269">
        <f t="shared" si="3"/>
        <v>0</v>
      </c>
      <c r="L21" s="1155">
        <f t="shared" si="4"/>
        <v>0</v>
      </c>
      <c r="M21" s="1281">
        <f t="shared" si="8"/>
        <v>0</v>
      </c>
      <c r="N21" s="1820"/>
      <c r="O21" s="1821"/>
      <c r="P21" s="1281">
        <f t="shared" si="9"/>
        <v>0</v>
      </c>
      <c r="R21" s="1155">
        <f t="shared" si="5"/>
        <v>0</v>
      </c>
      <c r="S21" s="1156">
        <f t="shared" si="5"/>
        <v>0</v>
      </c>
    </row>
    <row r="22" spans="1:19">
      <c r="A22" s="1822"/>
      <c r="B22" s="50" t="s">
        <v>1779</v>
      </c>
      <c r="C22" s="58"/>
      <c r="D22" s="48">
        <f t="shared" si="6"/>
        <v>0</v>
      </c>
      <c r="E22" s="56">
        <f t="shared" si="1"/>
        <v>0</v>
      </c>
      <c r="F22" s="2994"/>
      <c r="G22" s="2995"/>
      <c r="H22" s="677">
        <f t="shared" si="7"/>
        <v>0</v>
      </c>
      <c r="I22" s="51">
        <f t="shared" si="2"/>
        <v>0</v>
      </c>
      <c r="J22" s="1270"/>
      <c r="K22" s="1269">
        <f t="shared" si="3"/>
        <v>0</v>
      </c>
      <c r="L22" s="1155">
        <f t="shared" si="4"/>
        <v>0</v>
      </c>
      <c r="M22" s="1281">
        <f t="shared" si="8"/>
        <v>0</v>
      </c>
      <c r="N22" s="1820"/>
      <c r="O22" s="1821"/>
      <c r="P22" s="1281">
        <f t="shared" si="9"/>
        <v>0</v>
      </c>
      <c r="R22" s="1155">
        <f t="shared" si="5"/>
        <v>0</v>
      </c>
      <c r="S22" s="1156">
        <f t="shared" si="5"/>
        <v>0</v>
      </c>
    </row>
    <row r="23" spans="1:19">
      <c r="A23" s="1822"/>
      <c r="B23" s="50" t="s">
        <v>1779</v>
      </c>
      <c r="C23" s="58"/>
      <c r="D23" s="48">
        <f>ROUND($D$3*E23/$E$3,2)</f>
        <v>0</v>
      </c>
      <c r="E23" s="56">
        <f>SUM(F23:G23)</f>
        <v>0</v>
      </c>
      <c r="F23" s="2994"/>
      <c r="G23" s="2995"/>
      <c r="H23" s="677">
        <f>ROUND($D$3*I23/$E$3,2)</f>
        <v>0</v>
      </c>
      <c r="I23" s="51">
        <f t="shared" si="2"/>
        <v>0</v>
      </c>
      <c r="J23" s="1270"/>
      <c r="K23" s="1269">
        <f t="shared" si="3"/>
        <v>0</v>
      </c>
      <c r="L23" s="1155">
        <f t="shared" si="4"/>
        <v>0</v>
      </c>
      <c r="M23" s="1281">
        <f t="shared" si="8"/>
        <v>0</v>
      </c>
      <c r="N23" s="1820"/>
      <c r="O23" s="1821"/>
      <c r="P23" s="1281">
        <f t="shared" si="9"/>
        <v>0</v>
      </c>
      <c r="R23" s="1155">
        <f t="shared" si="5"/>
        <v>0</v>
      </c>
      <c r="S23" s="1156">
        <f t="shared" si="5"/>
        <v>0</v>
      </c>
    </row>
    <row r="24" spans="1:19">
      <c r="A24" s="1822"/>
      <c r="B24" s="50" t="s">
        <v>1779</v>
      </c>
      <c r="C24" s="58"/>
      <c r="D24" s="48">
        <f>ROUND($D$3*E24/$E$3,2)</f>
        <v>0</v>
      </c>
      <c r="E24" s="56">
        <f>SUM(F24:G24)</f>
        <v>0</v>
      </c>
      <c r="F24" s="2994"/>
      <c r="G24" s="2995"/>
      <c r="H24" s="677">
        <f>ROUND($D$3*I24/$E$3,2)</f>
        <v>0</v>
      </c>
      <c r="I24" s="51">
        <f t="shared" si="2"/>
        <v>0</v>
      </c>
      <c r="J24" s="1270"/>
      <c r="K24" s="1269">
        <f t="shared" si="3"/>
        <v>0</v>
      </c>
      <c r="L24" s="1155">
        <f t="shared" si="4"/>
        <v>0</v>
      </c>
      <c r="M24" s="1281">
        <f t="shared" si="8"/>
        <v>0</v>
      </c>
      <c r="N24" s="1820"/>
      <c r="O24" s="1821"/>
      <c r="P24" s="1281">
        <f t="shared" si="9"/>
        <v>0</v>
      </c>
      <c r="R24" s="1155">
        <f t="shared" si="5"/>
        <v>0</v>
      </c>
      <c r="S24" s="1156">
        <f t="shared" si="5"/>
        <v>0</v>
      </c>
    </row>
    <row r="25" spans="1:19">
      <c r="A25" s="1822"/>
      <c r="B25" s="50" t="s">
        <v>1779</v>
      </c>
      <c r="C25" s="58"/>
      <c r="D25" s="48">
        <f t="shared" si="6"/>
        <v>0</v>
      </c>
      <c r="E25" s="56">
        <f t="shared" si="1"/>
        <v>0</v>
      </c>
      <c r="F25" s="2994"/>
      <c r="G25" s="2995"/>
      <c r="H25" s="47">
        <f t="shared" si="7"/>
        <v>0</v>
      </c>
      <c r="I25" s="51">
        <f t="shared" si="2"/>
        <v>0</v>
      </c>
      <c r="J25" s="1270"/>
      <c r="K25" s="1269">
        <f t="shared" si="3"/>
        <v>0</v>
      </c>
      <c r="L25" s="1155">
        <f t="shared" si="4"/>
        <v>0</v>
      </c>
      <c r="M25" s="1281">
        <f t="shared" si="8"/>
        <v>0</v>
      </c>
      <c r="N25" s="1820"/>
      <c r="O25" s="1821"/>
      <c r="P25" s="1281">
        <f t="shared" si="9"/>
        <v>0</v>
      </c>
      <c r="R25" s="1155">
        <f t="shared" si="5"/>
        <v>0</v>
      </c>
      <c r="S25" s="1156">
        <f t="shared" si="5"/>
        <v>0</v>
      </c>
    </row>
    <row r="26" spans="1:19">
      <c r="A26" s="1822"/>
      <c r="B26" s="50" t="s">
        <v>1779</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3"/>
      <c r="O26" s="1824"/>
      <c r="P26" s="63">
        <f t="shared" si="9"/>
        <v>0</v>
      </c>
      <c r="R26" s="1155">
        <f t="shared" si="5"/>
        <v>0</v>
      </c>
      <c r="S26" s="1156">
        <f t="shared" si="5"/>
        <v>0</v>
      </c>
    </row>
    <row r="27" spans="1:19" ht="15.75" thickBot="1">
      <c r="A27" s="1822"/>
      <c r="B27" s="48"/>
      <c r="C27" s="1825" t="s">
        <v>1780</v>
      </c>
      <c r="D27" s="1271">
        <f>SUM(D19:D26)</f>
        <v>273.42</v>
      </c>
      <c r="E27" s="1272">
        <f>IF(SUM(E19:E26)='数据-基础表'!BA5,SUM(E19:E26),IF(F27="地上面积有误","面积有误","地下面积有误"))</f>
        <v>683.55</v>
      </c>
      <c r="F27" s="1271">
        <f>IF(SUM(F19:F26)=E8,SUM(F19:F26),"地上面积有误")</f>
        <v>683.55</v>
      </c>
      <c r="G27" s="1273">
        <f>SUM(G19:G26)</f>
        <v>0</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7">
        <f>IF(SUM(R19:R26)=$D$3,SUM(R19:R26),SUM(R19:R26)&amp;"误差"&amp;ROUND(SUM(R19:R26)-$D$3,2))</f>
        <v>273.42</v>
      </c>
      <c r="S27" s="1155">
        <f>IF(SUM(S19:S26)=$E$3,SUM(S19:S26),SUM(S19:S26)&amp;"误差"&amp;ROUND(SUM(S19:S26)-E3,2))</f>
        <v>683.55</v>
      </c>
    </row>
    <row r="28" spans="1:19">
      <c r="A28" s="1822"/>
      <c r="B28" s="50" t="s">
        <v>1781</v>
      </c>
      <c r="C28" s="1167"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1781</v>
      </c>
      <c r="C29" s="1826"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1780</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8"/>
      <c r="B31" s="1829"/>
      <c r="C31" s="942" t="s">
        <v>1784</v>
      </c>
      <c r="D31" s="683">
        <f>D27+D30</f>
        <v>273.42</v>
      </c>
      <c r="E31" s="683">
        <f>E27+E30</f>
        <v>683.55</v>
      </c>
      <c r="F31" s="684">
        <f>F27+F30</f>
        <v>683.55</v>
      </c>
      <c r="G31" s="685">
        <f>G27+G30</f>
        <v>0</v>
      </c>
      <c r="H31" s="2852"/>
      <c r="I31" s="2852"/>
      <c r="J31" s="2852"/>
      <c r="K31" s="2852"/>
      <c r="L31" s="2852"/>
      <c r="M31" s="2852"/>
      <c r="N31" s="2852"/>
      <c r="O31" s="2852"/>
      <c r="P31" s="2852"/>
    </row>
    <row r="32" spans="1:19">
      <c r="A32" s="1795"/>
      <c r="B32" s="1795" t="s">
        <v>1785</v>
      </c>
      <c r="C32" s="1795"/>
      <c r="D32" s="1795"/>
      <c r="E32" s="1182">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3" sqref="B43"/>
    </sheetView>
  </sheetViews>
  <sheetFormatPr defaultColWidth="13.625" defaultRowHeight="12.75"/>
  <cols>
    <col min="1" max="1" width="16.375" style="1897" customWidth="1"/>
    <col min="2" max="2" width="12" style="1834" customWidth="1"/>
    <col min="3" max="3" width="12.62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625" style="1834" customWidth="1"/>
    <col min="31" max="31" width="8" style="1834" customWidth="1"/>
    <col min="32" max="34" width="7.125" style="1834" customWidth="1"/>
    <col min="35" max="39" width="8" style="1834" customWidth="1"/>
    <col min="40" max="40" width="13.625" style="1833"/>
    <col min="41" max="41" width="11.625" style="1833" customWidth="1"/>
    <col min="42" max="42" width="9.625" style="1833" customWidth="1"/>
    <col min="43" max="67" width="13.625" style="1833"/>
    <col min="68" max="16384" width="13.625" style="1834"/>
  </cols>
  <sheetData>
    <row r="1" spans="1:67" ht="19.5" thickBot="1">
      <c r="A1" s="1831" t="s">
        <v>1786</v>
      </c>
      <c r="B1" s="686"/>
      <c r="C1" s="1322"/>
      <c r="D1" s="1832"/>
      <c r="E1" s="1322"/>
      <c r="F1" s="1322"/>
      <c r="G1" s="1322"/>
      <c r="H1" s="1322"/>
      <c r="I1" s="1322"/>
      <c r="J1" s="1322"/>
      <c r="K1" s="163"/>
      <c r="L1" s="163"/>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29.25" thickBot="1">
      <c r="A2" s="1835" t="s">
        <v>1787</v>
      </c>
      <c r="B2" s="1174">
        <f>项目基本情况!D3</f>
        <v>44762</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1" t="str">
        <f>'数据-汇总表'!I17</f>
        <v>按面积比例</v>
      </c>
      <c r="U4" s="1840" t="s">
        <v>1791</v>
      </c>
      <c r="V4" s="1841"/>
      <c r="W4" s="1841"/>
      <c r="X4" s="1841"/>
      <c r="Y4" s="1843"/>
      <c r="Z4" s="1804" t="s">
        <v>1792</v>
      </c>
      <c r="AA4" s="1804"/>
      <c r="AB4" s="1804"/>
      <c r="AC4" s="1804"/>
      <c r="AD4" s="1804"/>
      <c r="AE4" s="1802" t="s">
        <v>1793</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3136</v>
      </c>
      <c r="O5" s="1854" t="s">
        <v>1807</v>
      </c>
      <c r="P5" s="1857" t="s">
        <v>1808</v>
      </c>
      <c r="Q5" s="65" t="s">
        <v>1809</v>
      </c>
      <c r="R5" s="1858" t="s">
        <v>1810</v>
      </c>
      <c r="S5" s="1859" t="s">
        <v>1811</v>
      </c>
      <c r="T5" s="1860" t="s">
        <v>1812</v>
      </c>
      <c r="U5" s="1175" t="s">
        <v>1813</v>
      </c>
      <c r="V5" s="1176" t="s">
        <v>1814</v>
      </c>
      <c r="W5" s="1176" t="s">
        <v>1815</v>
      </c>
      <c r="X5" s="67"/>
      <c r="Y5" s="66" t="s">
        <v>1816</v>
      </c>
      <c r="Z5" s="1861" t="s">
        <v>1813</v>
      </c>
      <c r="AA5" s="1176" t="s">
        <v>1814</v>
      </c>
      <c r="AB5" s="1176" t="s">
        <v>1815</v>
      </c>
      <c r="AC5" s="67"/>
      <c r="AD5" s="67" t="s">
        <v>1816</v>
      </c>
      <c r="AE5" s="1175" t="s">
        <v>1817</v>
      </c>
      <c r="AF5" s="1176" t="s">
        <v>1818</v>
      </c>
      <c r="AG5" s="66" t="s">
        <v>1819</v>
      </c>
      <c r="AH5" s="1175" t="s">
        <v>1820</v>
      </c>
      <c r="AI5" s="1861" t="s">
        <v>1821</v>
      </c>
      <c r="AJ5" s="1861" t="s">
        <v>1822</v>
      </c>
      <c r="AK5" s="1176" t="s">
        <v>1823</v>
      </c>
      <c r="AL5" s="1176" t="s">
        <v>1824</v>
      </c>
      <c r="AM5" s="66" t="s">
        <v>1825</v>
      </c>
      <c r="AN5" s="1862" t="s">
        <v>1826</v>
      </c>
      <c r="AO5" s="1714" t="s">
        <v>1827</v>
      </c>
      <c r="AP5" s="1157" t="s">
        <v>1828</v>
      </c>
      <c r="AQ5" s="1863" t="s">
        <v>1829</v>
      </c>
      <c r="AR5" s="1863" t="s">
        <v>1830</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1栋101商业</v>
      </c>
      <c r="B6" s="1865" t="str">
        <f>IF(A6=0,"","经营性")</f>
        <v>经营性</v>
      </c>
      <c r="C6" s="1866" t="s">
        <v>1283</v>
      </c>
      <c r="D6" s="965">
        <f>SUMIF(项目基本情况!D$12:I$12,C6,项目基本情况!D$14:I$14)</f>
        <v>40</v>
      </c>
      <c r="E6" s="964">
        <f>IF(B6="","",SUMIF(项目基本情况!D$12:I$12,C6,项目基本情况!D$13:I$13))</f>
        <v>57339</v>
      </c>
      <c r="F6" s="68">
        <f>SUMIF(项目基本情况!D$12:I$12,C6,项目基本情况!D$15:I$15)</f>
        <v>34.450000000000003</v>
      </c>
      <c r="G6" s="69">
        <f>IF(ISERROR(ROUND(POWER(1+H6,D6-F6)*(POWER(1+H6,F6)-1)/(POWER(1+H6,D6)-1),3)),0,ROUND(POWER(1+H6,D6-F6)*(POWER(1+H6,F6)-1)/(POWER(1+H6,D6)-1),3))</f>
        <v>0.94299999999999995</v>
      </c>
      <c r="H6" s="739">
        <v>4.4999999999999998E-2</v>
      </c>
      <c r="I6" s="739">
        <v>0.05</v>
      </c>
      <c r="J6" s="70">
        <v>6.5000000000000002E-2</v>
      </c>
      <c r="K6" s="1159">
        <f>SUMIF('数据-汇总表'!C$19:C$33,A6,'数据-汇总表'!E$19:E$33)</f>
        <v>683.55</v>
      </c>
      <c r="L6" s="740">
        <v>3000</v>
      </c>
      <c r="M6" s="71">
        <f t="shared" ref="M6:M14" si="0">ROUND(K6*L6/10000,0)</f>
        <v>205</v>
      </c>
      <c r="N6" s="738">
        <v>0.9</v>
      </c>
      <c r="O6" s="71" t="str">
        <f>IF($N$5="成新度","——",ROUND(M6*N6,0))</f>
        <v>——</v>
      </c>
      <c r="P6" s="72" t="str">
        <f>IF($N$5="成新度","——",M6-O6)</f>
        <v>——</v>
      </c>
      <c r="Q6" s="741">
        <v>0.25</v>
      </c>
      <c r="R6" s="73">
        <f ca="1">SUMIF('数据-汇总表'!C$19:C$33,A6,'数据-汇总表'!R$19:R$27)</f>
        <v>273.42</v>
      </c>
      <c r="S6" s="54">
        <f>IF('数据-汇总表'!$I$17="按面积比例",SUMIF('数据-汇总表'!C$19:C$33,A6,'数据-汇总表'!K$19:K$33),SUMIF('数据-汇总表'!C$19:C$33,A6,'数据-汇总表'!N$19:N$33))</f>
        <v>0</v>
      </c>
      <c r="T6" s="1303">
        <f>ROUND($L$14*S6/10000,0)</f>
        <v>0</v>
      </c>
      <c r="U6" s="74"/>
      <c r="V6" s="75">
        <v>1.4999999999999999E-2</v>
      </c>
      <c r="W6" s="75">
        <v>0.2</v>
      </c>
      <c r="X6" s="1169"/>
      <c r="Y6" s="76">
        <f>N6</f>
        <v>0.9</v>
      </c>
      <c r="Z6" s="77"/>
      <c r="AA6" s="70"/>
      <c r="AB6" s="70"/>
      <c r="AC6" s="1169"/>
      <c r="AD6" s="78"/>
      <c r="AE6" s="3222">
        <f>F6</f>
        <v>34.450000000000003</v>
      </c>
      <c r="AF6" s="1499"/>
      <c r="AG6" s="143">
        <f>IF(AF6="",0,AE6-AF6)</f>
        <v>0</v>
      </c>
      <c r="AH6" s="79">
        <v>272</v>
      </c>
      <c r="AI6" s="81">
        <v>365</v>
      </c>
      <c r="AJ6" s="82"/>
      <c r="AK6" s="83">
        <v>2.5000000000000001E-2</v>
      </c>
      <c r="AL6" s="84">
        <v>2.5000000000000001E-3</v>
      </c>
      <c r="AM6" s="85">
        <v>2.5000000000000001E-2</v>
      </c>
      <c r="AN6" s="1867" t="s">
        <v>3137</v>
      </c>
      <c r="AO6" s="55" t="e">
        <f ca="1">SUMIF(INDIRECT("'"&amp;AN6&amp;"'"&amp;"!A:A"),"总价",INDIRECT("'"&amp;AN6&amp;"'"&amp;"!B:B"))</f>
        <v>#REF!</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f>'数据-汇总表'!C20</f>
        <v>0</v>
      </c>
      <c r="B7" s="1865" t="str">
        <f t="shared" ref="B7:B13" si="1">IF(A7=0,"","经营性")</f>
        <v/>
      </c>
      <c r="C7" s="1866"/>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9"/>
      <c r="Y7" s="76"/>
      <c r="Z7" s="77"/>
      <c r="AA7" s="70"/>
      <c r="AB7" s="70"/>
      <c r="AC7" s="1169"/>
      <c r="AD7" s="78"/>
      <c r="AE7" s="3222">
        <f>AE6</f>
        <v>34.450000000000003</v>
      </c>
      <c r="AF7" s="1499"/>
      <c r="AG7" s="143">
        <f t="shared" ref="AG7:AG13" si="6">IF(AF7="",0,AE7-AF7)</f>
        <v>0</v>
      </c>
      <c r="AH7" s="79"/>
      <c r="AI7" s="81">
        <v>1</v>
      </c>
      <c r="AJ7" s="82"/>
      <c r="AK7" s="83"/>
      <c r="AL7" s="84"/>
      <c r="AM7" s="85"/>
      <c r="AN7" s="1867"/>
      <c r="AO7" s="55" t="e">
        <f t="shared" ref="AO7:AO13" ca="1" si="7">SUMIF(INDIRECT("'"&amp;AN7&amp;"'"&amp;"!A:A"),"总价",INDIRECT("'"&amp;AN7&amp;"'"&amp;"!B:B"))</f>
        <v>#REF!</v>
      </c>
      <c r="AP7" s="1868">
        <f t="shared" ref="AP7:AP13" si="8">IF(C7="住宅",K7*L7,0)</f>
        <v>0</v>
      </c>
      <c r="AQ7" s="55">
        <f t="shared" ref="AQ7:AQ13" si="9">ROUND($L$14*$N$14*S7/10000,0)</f>
        <v>0</v>
      </c>
      <c r="AR7" s="55">
        <f t="shared" ref="AR7:AR13" si="10">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f>'数据-汇总表'!C21</f>
        <v>0</v>
      </c>
      <c r="B8" s="1865" t="str">
        <f t="shared" si="1"/>
        <v/>
      </c>
      <c r="C8" s="1866"/>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3">
        <f t="shared" si="5"/>
        <v>0</v>
      </c>
      <c r="U8" s="742"/>
      <c r="V8" s="743"/>
      <c r="W8" s="743"/>
      <c r="X8" s="1169"/>
      <c r="Y8" s="744"/>
      <c r="Z8" s="77"/>
      <c r="AA8" s="70"/>
      <c r="AB8" s="70"/>
      <c r="AC8" s="1169"/>
      <c r="AD8" s="78"/>
      <c r="AE8" s="1170">
        <f t="shared" ref="AE8:AE13" ca="1" si="11">IF(AN8="",0,SUMIF(INDIRECT("'"&amp;AN8&amp;"'"&amp;"!E:E"),$AE$5,INDIRECT("'"&amp;AN8&amp;"'"&amp;"!F:F")))</f>
        <v>0</v>
      </c>
      <c r="AF8" s="1499"/>
      <c r="AG8" s="143">
        <f t="shared" si="6"/>
        <v>0</v>
      </c>
      <c r="AH8" s="745"/>
      <c r="AI8" s="81"/>
      <c r="AJ8" s="82"/>
      <c r="AK8" s="746"/>
      <c r="AL8" s="747"/>
      <c r="AM8" s="748"/>
      <c r="AN8" s="1867"/>
      <c r="AO8" s="55" t="e">
        <f t="shared" ca="1" si="7"/>
        <v>#REF!</v>
      </c>
      <c r="AP8" s="1868">
        <f t="shared" si="8"/>
        <v>0</v>
      </c>
      <c r="AQ8" s="55">
        <f t="shared" si="9"/>
        <v>0</v>
      </c>
      <c r="AR8" s="55">
        <f t="shared" si="10"/>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9"/>
      <c r="Y9" s="76"/>
      <c r="Z9" s="77"/>
      <c r="AA9" s="70"/>
      <c r="AB9" s="70"/>
      <c r="AC9" s="1169"/>
      <c r="AD9" s="78"/>
      <c r="AE9" s="1170">
        <f t="shared" ca="1" si="11"/>
        <v>0</v>
      </c>
      <c r="AF9" s="1499"/>
      <c r="AG9" s="143">
        <f t="shared" si="6"/>
        <v>0</v>
      </c>
      <c r="AH9" s="79"/>
      <c r="AI9" s="81"/>
      <c r="AJ9" s="82"/>
      <c r="AK9" s="83"/>
      <c r="AL9" s="84"/>
      <c r="AM9" s="85"/>
      <c r="AN9" s="1867"/>
      <c r="AO9" s="55" t="e">
        <f t="shared" ca="1" si="7"/>
        <v>#REF!</v>
      </c>
      <c r="AP9" s="1868">
        <f t="shared" si="8"/>
        <v>0</v>
      </c>
      <c r="AQ9" s="55">
        <f t="shared" si="9"/>
        <v>0</v>
      </c>
      <c r="AR9" s="55">
        <f t="shared" si="10"/>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9"/>
      <c r="Y10" s="76"/>
      <c r="Z10" s="77"/>
      <c r="AA10" s="70"/>
      <c r="AB10" s="70"/>
      <c r="AC10" s="1169"/>
      <c r="AD10" s="78"/>
      <c r="AE10" s="1170">
        <f t="shared" ca="1" si="11"/>
        <v>0</v>
      </c>
      <c r="AF10" s="1499"/>
      <c r="AG10" s="143">
        <f t="shared" si="6"/>
        <v>0</v>
      </c>
      <c r="AH10" s="79"/>
      <c r="AI10" s="81"/>
      <c r="AJ10" s="82"/>
      <c r="AK10" s="83"/>
      <c r="AL10" s="84"/>
      <c r="AM10" s="85"/>
      <c r="AN10" s="1867"/>
      <c r="AO10" s="55" t="e">
        <f t="shared" ca="1" si="7"/>
        <v>#REF!</v>
      </c>
      <c r="AP10" s="1868">
        <f t="shared" si="8"/>
        <v>0</v>
      </c>
      <c r="AQ10" s="55">
        <f t="shared" si="9"/>
        <v>0</v>
      </c>
      <c r="AR10" s="55">
        <f t="shared" si="10"/>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9"/>
      <c r="Y11" s="76"/>
      <c r="Z11" s="89"/>
      <c r="AA11" s="70"/>
      <c r="AB11" s="70"/>
      <c r="AC11" s="1169"/>
      <c r="AD11" s="78"/>
      <c r="AE11" s="1170">
        <f t="shared" ca="1" si="11"/>
        <v>0</v>
      </c>
      <c r="AF11" s="1499"/>
      <c r="AG11" s="143">
        <f t="shared" si="6"/>
        <v>0</v>
      </c>
      <c r="AH11" s="79"/>
      <c r="AI11" s="81"/>
      <c r="AJ11" s="82"/>
      <c r="AK11" s="90"/>
      <c r="AL11" s="91"/>
      <c r="AM11" s="92"/>
      <c r="AN11" s="1867"/>
      <c r="AO11" s="55" t="e">
        <f t="shared" ca="1" si="7"/>
        <v>#REF!</v>
      </c>
      <c r="AP11" s="1868">
        <f t="shared" si="8"/>
        <v>0</v>
      </c>
      <c r="AQ11" s="55">
        <f t="shared" si="9"/>
        <v>0</v>
      </c>
      <c r="AR11" s="55">
        <f t="shared" si="10"/>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9"/>
      <c r="Y12" s="76"/>
      <c r="Z12" s="89"/>
      <c r="AA12" s="70"/>
      <c r="AB12" s="70"/>
      <c r="AC12" s="1169"/>
      <c r="AD12" s="78"/>
      <c r="AE12" s="1170">
        <f t="shared" ca="1" si="11"/>
        <v>0</v>
      </c>
      <c r="AF12" s="1499"/>
      <c r="AG12" s="143">
        <f t="shared" si="6"/>
        <v>0</v>
      </c>
      <c r="AH12" s="79"/>
      <c r="AI12" s="81"/>
      <c r="AJ12" s="82"/>
      <c r="AK12" s="90"/>
      <c r="AL12" s="91"/>
      <c r="AM12" s="92"/>
      <c r="AN12" s="1867"/>
      <c r="AO12" s="55" t="e">
        <f t="shared" ca="1" si="7"/>
        <v>#REF!</v>
      </c>
      <c r="AP12" s="1868">
        <f t="shared" si="8"/>
        <v>0</v>
      </c>
      <c r="AQ12" s="55">
        <f t="shared" si="9"/>
        <v>0</v>
      </c>
      <c r="AR12" s="55">
        <f t="shared" si="10"/>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9"/>
      <c r="Y13" s="76"/>
      <c r="Z13" s="77"/>
      <c r="AA13" s="70"/>
      <c r="AB13" s="70"/>
      <c r="AC13" s="1169"/>
      <c r="AD13" s="78"/>
      <c r="AE13" s="1170">
        <f t="shared" ca="1" si="11"/>
        <v>0</v>
      </c>
      <c r="AF13" s="1499"/>
      <c r="AG13" s="143">
        <f t="shared" si="6"/>
        <v>0</v>
      </c>
      <c r="AH13" s="79"/>
      <c r="AI13" s="81"/>
      <c r="AJ13" s="82"/>
      <c r="AK13" s="83"/>
      <c r="AL13" s="84"/>
      <c r="AM13" s="85"/>
      <c r="AN13" s="1867"/>
      <c r="AO13" s="55" t="e">
        <f t="shared" ca="1" si="7"/>
        <v>#REF!</v>
      </c>
      <c r="AP13" s="1868">
        <f t="shared" si="8"/>
        <v>0</v>
      </c>
      <c r="AQ13" s="55">
        <f t="shared" si="9"/>
        <v>0</v>
      </c>
      <c r="AR13" s="55">
        <f t="shared" si="10"/>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1831</v>
      </c>
      <c r="B14" s="1865" t="s">
        <v>1832</v>
      </c>
      <c r="C14" s="1870"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3"/>
      <c r="U14" s="677"/>
      <c r="V14" s="1164"/>
      <c r="W14" s="1164"/>
      <c r="X14" s="1165"/>
      <c r="Y14" s="1166"/>
      <c r="Z14" s="1167"/>
      <c r="AA14" s="1168"/>
      <c r="AB14" s="1168"/>
      <c r="AC14" s="1169"/>
      <c r="AD14" s="1165"/>
      <c r="AE14" s="1170"/>
      <c r="AF14" s="55"/>
      <c r="AG14" s="143"/>
      <c r="AH14" s="1170"/>
      <c r="AI14" s="1508"/>
      <c r="AJ14" s="711"/>
      <c r="AK14" s="1171"/>
      <c r="AL14" s="1172"/>
      <c r="AM14" s="1173"/>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1833</v>
      </c>
      <c r="B15" s="1865" t="s">
        <v>1832</v>
      </c>
      <c r="C15" s="1870" t="s">
        <v>1834</v>
      </c>
      <c r="D15" s="965"/>
      <c r="E15" s="964"/>
      <c r="F15" s="68"/>
      <c r="G15" s="69"/>
      <c r="H15" s="1158"/>
      <c r="I15" s="1158"/>
      <c r="J15" s="1158"/>
      <c r="K15" s="1159">
        <f>SUMIF('数据-汇总表'!C$19:C$33,A15,'数据-汇总表'!E$19:E$33)</f>
        <v>0</v>
      </c>
      <c r="L15" s="1160"/>
      <c r="M15" s="71"/>
      <c r="N15" s="1161"/>
      <c r="O15" s="71"/>
      <c r="P15" s="72"/>
      <c r="Q15" s="1162"/>
      <c r="R15" s="73"/>
      <c r="S15" s="54"/>
      <c r="T15" s="1303"/>
      <c r="U15" s="677"/>
      <c r="V15" s="1164"/>
      <c r="W15" s="1164"/>
      <c r="X15" s="1165"/>
      <c r="Y15" s="1166"/>
      <c r="Z15" s="1167"/>
      <c r="AA15" s="1168"/>
      <c r="AB15" s="1168"/>
      <c r="AC15" s="1169"/>
      <c r="AD15" s="1165"/>
      <c r="AE15" s="1170"/>
      <c r="AF15" s="55"/>
      <c r="AG15" s="143"/>
      <c r="AH15" s="1170"/>
      <c r="AI15" s="1508"/>
      <c r="AJ15" s="711"/>
      <c r="AK15" s="1171"/>
      <c r="AL15" s="1172"/>
      <c r="AM15" s="1173"/>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1835</v>
      </c>
      <c r="B16" s="93"/>
      <c r="C16" s="940"/>
      <c r="D16" s="1872"/>
      <c r="E16" s="93"/>
      <c r="F16" s="93"/>
      <c r="G16" s="94">
        <f>ROUND(SUMPRODUCT(G6:G13,K6:K13)/SUMPRODUCT((G6:G13&gt;0)*(K6:K13)),3)</f>
        <v>0.94299999999999995</v>
      </c>
      <c r="H16" s="95">
        <f>ROUND(SUMPRODUCT(H6:H13,K6:K13)/SUMPRODUCT((H6:H13&gt;0)*(K6:K13)),3)</f>
        <v>4.4999999999999998E-2</v>
      </c>
      <c r="I16" s="96"/>
      <c r="J16" s="96"/>
      <c r="K16" s="97">
        <f>SUM(K6:K15)</f>
        <v>683.55</v>
      </c>
      <c r="L16" s="98">
        <f>ROUND(M16*10000/SUM(K6:K14),0)</f>
        <v>2999</v>
      </c>
      <c r="M16" s="98">
        <f>SUM(M6:M14)</f>
        <v>205</v>
      </c>
      <c r="N16" s="99">
        <f>ROUND(SUMPRODUCT(M6:M14,N6:N14)/M16,3)</f>
        <v>0.9</v>
      </c>
      <c r="O16" s="98">
        <f>SUM(O6:O14)</f>
        <v>0</v>
      </c>
      <c r="P16" s="98">
        <f>SUM(P6:P14)</f>
        <v>0</v>
      </c>
      <c r="Q16" s="100">
        <f>ROUND(SUMPRODUCT(Q6:Q13,K6:K13)/SUMPRODUCT((Q6:Q13&gt;0)*(K6:K13)),2)</f>
        <v>0.25</v>
      </c>
      <c r="R16" s="1163">
        <f ca="1">SUM(R6:R13)</f>
        <v>273.42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1837</v>
      </c>
      <c r="B19" s="108">
        <v>0</v>
      </c>
      <c r="C19" s="2996" t="s">
        <v>2987</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1838</v>
      </c>
      <c r="B20" s="109">
        <v>2</v>
      </c>
      <c r="C20" s="2997" t="s">
        <v>2985</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1843</v>
      </c>
      <c r="B26" s="1878"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27.75">
      <c r="A27" s="1879" t="s">
        <v>1846</v>
      </c>
      <c r="B27" s="112">
        <v>160</v>
      </c>
      <c r="C27" s="2998" t="s">
        <v>2989</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1847</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1848</v>
      </c>
      <c r="B29" s="117">
        <v>160</v>
      </c>
      <c r="C29" s="2999" t="s">
        <v>2976</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1849</v>
      </c>
      <c r="B30" s="678">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1851</v>
      </c>
      <c r="B32" s="679">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27">
      <c r="A33" s="1879" t="s">
        <v>1852</v>
      </c>
      <c r="B33" s="680">
        <v>0.03</v>
      </c>
      <c r="C33" s="3000" t="s">
        <v>2977</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1853</v>
      </c>
      <c r="B34" s="118">
        <v>0.05</v>
      </c>
      <c r="C34" s="3000" t="s">
        <v>2978</v>
      </c>
      <c r="D34" s="2879" t="s">
        <v>2986</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27">
      <c r="A35" s="1881" t="s">
        <v>1854</v>
      </c>
      <c r="B35" s="115">
        <v>200</v>
      </c>
      <c r="C35" s="3000" t="s">
        <v>2979</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27.75" thickBot="1">
      <c r="A36" s="1882" t="s">
        <v>1855</v>
      </c>
      <c r="B36" s="119">
        <v>1.4999999999999999E-2</v>
      </c>
      <c r="C36" s="3000" t="s">
        <v>2980</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1856</v>
      </c>
      <c r="B37" s="120">
        <v>1.4999999999999999E-2</v>
      </c>
      <c r="C37" s="3000" t="s">
        <v>2981</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1857</v>
      </c>
      <c r="B38" s="118">
        <v>1.4999999999999999E-2</v>
      </c>
      <c r="C38" s="3000" t="s">
        <v>2981</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1858</v>
      </c>
      <c r="B39" s="322">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2997</v>
      </c>
      <c r="B40" s="3236">
        <v>4.7500000000000001E-2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1862</v>
      </c>
      <c r="B44" s="124">
        <v>0.05</v>
      </c>
      <c r="C44" s="3000" t="s">
        <v>2990</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1863</v>
      </c>
      <c r="B45" s="122">
        <v>0.03</v>
      </c>
      <c r="C45" s="2999" t="s">
        <v>2982</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1864</v>
      </c>
      <c r="B46" s="122">
        <v>0.02</v>
      </c>
      <c r="C46" s="2999" t="s">
        <v>2983</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1865</v>
      </c>
      <c r="B47" s="125"/>
      <c r="C47" s="3002" t="s">
        <v>2991</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1866</v>
      </c>
      <c r="B48" s="126">
        <v>0.03</v>
      </c>
      <c r="C48" s="2999" t="s">
        <v>2982</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1867</v>
      </c>
      <c r="B49" s="122">
        <v>5.0000000000000001E-4</v>
      </c>
      <c r="C49" s="2999" t="s">
        <v>2984</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1" t="s">
        <v>1871</v>
      </c>
      <c r="B53" s="1890" t="s">
        <v>56</v>
      </c>
      <c r="C53" s="2854" t="s">
        <v>1872</v>
      </c>
      <c r="D53" s="3001" t="s">
        <v>2988</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1878</v>
      </c>
      <c r="B59" s="80">
        <f>C59</f>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625" style="2684" customWidth="1"/>
    <col min="10" max="10" width="2.625" style="2683" customWidth="1"/>
    <col min="11" max="11" width="11.875" style="2683" customWidth="1"/>
    <col min="12" max="12" width="16.625" style="2684" customWidth="1"/>
    <col min="13" max="13" width="2.625" style="2683" customWidth="1"/>
    <col min="14" max="14" width="11.875" style="2683" customWidth="1"/>
    <col min="15" max="15" width="16.625" style="2684" customWidth="1"/>
    <col min="16" max="16" width="2.625" style="2683" customWidth="1"/>
    <col min="17" max="17" width="11.875" style="2683" customWidth="1"/>
    <col min="18" max="18" width="16.625" style="2685" customWidth="1"/>
    <col min="19" max="29" width="9" style="905"/>
    <col min="30" max="16384" width="9" style="1838"/>
  </cols>
  <sheetData>
    <row r="1" spans="1:29" s="2649" customFormat="1" ht="18.75" thickBot="1">
      <c r="A1" s="3480" t="s">
        <v>2968</v>
      </c>
      <c r="B1" s="3481"/>
      <c r="C1" s="3481"/>
      <c r="D1" s="3481"/>
      <c r="E1" s="3481"/>
      <c r="F1" s="3481"/>
      <c r="G1" s="3481"/>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2963</v>
      </c>
      <c r="D2" s="2653"/>
      <c r="E2" s="2650"/>
      <c r="F2" s="2654"/>
      <c r="G2" s="2652" t="s">
        <v>2964</v>
      </c>
      <c r="H2" s="905"/>
      <c r="I2" s="905"/>
      <c r="J2" s="905"/>
      <c r="K2" s="905"/>
      <c r="L2" s="905"/>
      <c r="M2" s="905"/>
      <c r="N2" s="905"/>
      <c r="O2" s="905"/>
      <c r="P2" s="905"/>
      <c r="Q2" s="905"/>
      <c r="R2" s="905"/>
    </row>
    <row r="3" spans="1:29" ht="48">
      <c r="A3" s="2633" t="s">
        <v>2965</v>
      </c>
      <c r="B3" s="2655" t="s">
        <v>2934</v>
      </c>
      <c r="C3" s="2656" t="s">
        <v>2966</v>
      </c>
      <c r="D3" s="2657"/>
      <c r="E3" s="2634" t="s">
        <v>2965</v>
      </c>
      <c r="F3" s="2658" t="s">
        <v>2935</v>
      </c>
      <c r="G3" s="2659" t="s">
        <v>2967</v>
      </c>
      <c r="H3" s="905"/>
      <c r="I3" s="905"/>
      <c r="J3" s="905"/>
      <c r="K3" s="905"/>
      <c r="L3" s="905"/>
      <c r="M3" s="905"/>
      <c r="N3" s="905"/>
      <c r="O3" s="905"/>
      <c r="P3" s="905"/>
      <c r="Q3" s="905"/>
      <c r="R3" s="905"/>
    </row>
    <row r="4" spans="1:29" ht="36.75">
      <c r="A4" s="2634"/>
      <c r="B4" s="328" t="s">
        <v>2936</v>
      </c>
      <c r="C4" s="2660" t="s">
        <v>2937</v>
      </c>
      <c r="D4" s="2657"/>
      <c r="E4" s="2661"/>
      <c r="F4" s="1524" t="s">
        <v>2938</v>
      </c>
      <c r="G4" s="2662" t="s">
        <v>2939</v>
      </c>
      <c r="H4" s="905"/>
      <c r="I4" s="905"/>
      <c r="J4" s="905"/>
      <c r="K4" s="905"/>
      <c r="L4" s="905"/>
      <c r="M4" s="905"/>
      <c r="N4" s="905"/>
      <c r="O4" s="905"/>
      <c r="P4" s="905"/>
      <c r="Q4" s="905"/>
      <c r="R4" s="905"/>
    </row>
    <row r="5" spans="1:29" ht="36.75">
      <c r="A5" s="2634"/>
      <c r="B5" s="328" t="s">
        <v>2940</v>
      </c>
      <c r="C5" s="2660" t="s">
        <v>2941</v>
      </c>
      <c r="D5" s="2657"/>
      <c r="E5" s="2661"/>
      <c r="F5" s="328" t="s">
        <v>2942</v>
      </c>
      <c r="G5" s="2662" t="s">
        <v>2943</v>
      </c>
      <c r="H5" s="905"/>
      <c r="I5" s="905"/>
      <c r="J5" s="905"/>
      <c r="K5" s="905"/>
      <c r="L5" s="905"/>
      <c r="M5" s="905"/>
      <c r="N5" s="905"/>
      <c r="O5" s="905"/>
      <c r="P5" s="905"/>
      <c r="Q5" s="905"/>
      <c r="R5" s="905"/>
    </row>
    <row r="6" spans="1:29" ht="36">
      <c r="A6" s="2634"/>
      <c r="B6" s="328" t="s">
        <v>2944</v>
      </c>
      <c r="C6" s="2662" t="s">
        <v>2939</v>
      </c>
      <c r="D6" s="2657"/>
      <c r="E6" s="2661"/>
      <c r="F6" s="328" t="s">
        <v>2945</v>
      </c>
      <c r="G6" s="2662" t="s">
        <v>2946</v>
      </c>
      <c r="H6" s="905"/>
      <c r="I6" s="905"/>
      <c r="J6" s="905"/>
      <c r="K6" s="905"/>
      <c r="L6" s="905"/>
      <c r="M6" s="905"/>
      <c r="N6" s="905"/>
      <c r="O6" s="905"/>
      <c r="P6" s="905"/>
      <c r="Q6" s="905"/>
      <c r="R6" s="905"/>
    </row>
    <row r="7" spans="1:29" ht="24.75" thickBot="1">
      <c r="A7" s="2634"/>
      <c r="B7" s="328" t="s">
        <v>2942</v>
      </c>
      <c r="C7" s="2662" t="s">
        <v>2943</v>
      </c>
      <c r="D7" s="2663"/>
      <c r="E7" s="2664"/>
      <c r="F7" s="2665" t="s">
        <v>2947</v>
      </c>
      <c r="G7" s="2666" t="s">
        <v>2948</v>
      </c>
      <c r="H7" s="905"/>
      <c r="I7" s="905"/>
      <c r="J7" s="905"/>
      <c r="K7" s="905"/>
      <c r="L7" s="905"/>
      <c r="M7" s="905"/>
      <c r="N7" s="905"/>
      <c r="O7" s="905"/>
      <c r="P7" s="905"/>
      <c r="Q7" s="905"/>
      <c r="R7" s="905"/>
    </row>
    <row r="8" spans="1:29">
      <c r="A8" s="2634"/>
      <c r="B8" s="328" t="s">
        <v>2945</v>
      </c>
      <c r="C8" s="2662" t="s">
        <v>2946</v>
      </c>
      <c r="D8" s="2663"/>
      <c r="E8" s="2663"/>
      <c r="F8" s="2667"/>
      <c r="G8" s="2667"/>
      <c r="H8" s="905"/>
      <c r="I8" s="905"/>
      <c r="J8" s="905"/>
      <c r="K8" s="905"/>
      <c r="L8" s="905"/>
      <c r="M8" s="905"/>
      <c r="N8" s="905"/>
      <c r="O8" s="905"/>
      <c r="P8" s="905"/>
      <c r="Q8" s="905"/>
      <c r="R8" s="905"/>
    </row>
    <row r="9" spans="1:29" ht="24">
      <c r="A9" s="2634"/>
      <c r="B9" s="328" t="s">
        <v>2949</v>
      </c>
      <c r="C9" s="2660" t="s">
        <v>2950</v>
      </c>
      <c r="D9" s="2657"/>
      <c r="E9" s="2663"/>
      <c r="F9" s="2667"/>
      <c r="G9" s="2667"/>
      <c r="H9" s="905"/>
      <c r="I9" s="905"/>
      <c r="J9" s="905"/>
      <c r="K9" s="905"/>
      <c r="L9" s="905"/>
      <c r="M9" s="905"/>
      <c r="N9" s="905"/>
      <c r="O9" s="905"/>
      <c r="P9" s="905"/>
      <c r="Q9" s="905"/>
      <c r="R9" s="905"/>
    </row>
    <row r="10" spans="1:29" s="2673" customFormat="1" ht="15" thickBot="1">
      <c r="A10" s="2635"/>
      <c r="B10" s="2668" t="s">
        <v>2951</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2969</v>
      </c>
      <c r="B13" s="2676"/>
      <c r="C13" s="2676"/>
      <c r="D13" s="2674"/>
      <c r="E13" s="2676"/>
      <c r="F13" s="2676"/>
      <c r="G13" s="2676"/>
    </row>
    <row r="14" spans="1:29" ht="15" thickBot="1">
      <c r="A14" s="2686"/>
      <c r="B14" s="2686"/>
      <c r="C14" s="2687" t="s">
        <v>2952</v>
      </c>
      <c r="D14" s="2657"/>
      <c r="E14" s="2688"/>
      <c r="F14" s="2688"/>
      <c r="G14" s="2652" t="s">
        <v>2953</v>
      </c>
    </row>
    <row r="15" spans="1:29" ht="51">
      <c r="A15" s="2636" t="s">
        <v>2954</v>
      </c>
      <c r="B15" s="2689" t="s">
        <v>2934</v>
      </c>
      <c r="C15" s="2690" t="str">
        <f>C3</f>
        <v>估价对象周边居住用地比例、居住小区规模和社区发展完善程度，综合评价居住社区成熟度一般</v>
      </c>
      <c r="D15" s="2657"/>
      <c r="E15" s="2637" t="s">
        <v>2955</v>
      </c>
      <c r="F15" s="2689" t="s">
        <v>2956</v>
      </c>
      <c r="G15" s="2691" t="str">
        <f>G3</f>
        <v>估价对象位于XX开发区，园区建设成熟度XX，产业集聚程度XX</v>
      </c>
    </row>
    <row r="16" spans="1:29" ht="38.25">
      <c r="A16" s="2638"/>
      <c r="B16" s="2692" t="s">
        <v>2936</v>
      </c>
      <c r="C16" s="2693" t="str">
        <f>C4</f>
        <v>估价对象位于XX商圈，周边商业氛围成熟，人流量大，商业繁华度好</v>
      </c>
      <c r="D16" s="2657"/>
      <c r="E16" s="2639"/>
      <c r="F16" s="2694" t="s">
        <v>2938</v>
      </c>
      <c r="G16" s="2695" t="str">
        <f>G4</f>
        <v>估价对象周边道路状况、公共交通通达情况、停车便捷程度，综合评价交通便捷度较好</v>
      </c>
    </row>
    <row r="17" spans="1:18" ht="38.25">
      <c r="A17" s="2638"/>
      <c r="B17" s="2692" t="s">
        <v>2940</v>
      </c>
      <c r="C17" s="2693" t="str">
        <f>C5</f>
        <v>估价对象位于XX商圈，周边办公楼项目较多，入驻率高，办公集聚程度较好</v>
      </c>
      <c r="D17" s="2663"/>
      <c r="E17" s="2639"/>
      <c r="F17" s="2694" t="s">
        <v>2957</v>
      </c>
      <c r="G17" s="2696"/>
    </row>
    <row r="18" spans="1:18" ht="38.25">
      <c r="A18" s="2638"/>
      <c r="B18" s="2694" t="s">
        <v>2944</v>
      </c>
      <c r="C18" s="2695" t="str">
        <f>C6</f>
        <v>估价对象周边道路状况、公共交通通达情况、停车便捷程度，综合评价交通便捷度较好</v>
      </c>
      <c r="D18" s="2663"/>
      <c r="E18" s="2639"/>
      <c r="F18" s="2694" t="s">
        <v>2947</v>
      </c>
      <c r="G18" s="2695" t="str">
        <f>G7</f>
        <v>该园区内是否有污染型企业，绿化情况，卫生条件，整体环境状况判断</v>
      </c>
    </row>
    <row r="19" spans="1:18" ht="25.5">
      <c r="A19" s="2638"/>
      <c r="B19" s="2694" t="s">
        <v>2958</v>
      </c>
      <c r="C19" s="2696"/>
      <c r="D19" s="2657"/>
      <c r="E19" s="2639"/>
      <c r="F19" s="328" t="s">
        <v>2942</v>
      </c>
      <c r="G19" s="2695" t="str">
        <f>G5</f>
        <v>估价对象所在区域公共配套设施齐备情况</v>
      </c>
    </row>
    <row r="20" spans="1:18" ht="25.5">
      <c r="A20" s="2638"/>
      <c r="B20" s="2694" t="s">
        <v>2959</v>
      </c>
      <c r="C20" s="2693" t="str">
        <f>C9</f>
        <v>区域自然环境：；人文环境；综合评价环境状况一般</v>
      </c>
      <c r="D20" s="2663"/>
      <c r="E20" s="2639"/>
      <c r="F20" s="328" t="s">
        <v>2945</v>
      </c>
      <c r="G20" s="2695" t="str">
        <f>G6</f>
        <v>估价对象所在区域基础设施水平</v>
      </c>
    </row>
    <row r="21" spans="1:18" ht="25.5">
      <c r="A21" s="2638"/>
      <c r="B21" s="328" t="s">
        <v>2942</v>
      </c>
      <c r="C21" s="2695" t="str">
        <f>C7</f>
        <v>估价对象所在区域公共配套设施齐备情况</v>
      </c>
      <c r="D21" s="2657"/>
      <c r="E21" s="2639"/>
      <c r="F21" s="2694" t="s">
        <v>2960</v>
      </c>
      <c r="G21" s="2697"/>
    </row>
    <row r="22" spans="1:18" ht="13.5" customHeight="1">
      <c r="A22" s="2638"/>
      <c r="B22" s="328" t="s">
        <v>2945</v>
      </c>
      <c r="C22" s="2695" t="str">
        <f>C8</f>
        <v>估价对象所在区域基础设施水平</v>
      </c>
      <c r="D22" s="2657"/>
      <c r="E22" s="2639"/>
      <c r="F22" s="2694" t="s">
        <v>2951</v>
      </c>
      <c r="G22" s="2696"/>
    </row>
    <row r="23" spans="1:18" s="905" customFormat="1" ht="15" thickBot="1">
      <c r="A23" s="2638"/>
      <c r="B23" s="2694" t="s">
        <v>2960</v>
      </c>
      <c r="C23" s="2697"/>
      <c r="D23" s="1893"/>
      <c r="E23" s="2640"/>
      <c r="F23" s="2698" t="s">
        <v>2961</v>
      </c>
      <c r="G23" s="2699"/>
      <c r="H23" s="2683"/>
      <c r="I23" s="2684"/>
      <c r="J23" s="2683"/>
      <c r="K23" s="2683"/>
      <c r="L23" s="2684"/>
      <c r="M23" s="2683"/>
      <c r="N23" s="2683"/>
      <c r="O23" s="2684"/>
      <c r="P23" s="2683"/>
      <c r="Q23" s="2683"/>
      <c r="R23" s="2685"/>
    </row>
    <row r="24" spans="1:18" s="905" customFormat="1" ht="15" thickBot="1">
      <c r="A24" s="2641"/>
      <c r="B24" s="2698" t="s">
        <v>2962</v>
      </c>
      <c r="C24" s="2700">
        <f>C10</f>
        <v>0</v>
      </c>
      <c r="D24" s="1893"/>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0"/>
      <c r="B1" s="1112" t="s">
        <v>2762</v>
      </c>
      <c r="C1" s="3485" t="s">
        <v>2763</v>
      </c>
      <c r="D1" s="3486"/>
      <c r="E1" s="3486"/>
      <c r="F1" s="3486"/>
      <c r="G1" s="3486"/>
      <c r="H1" s="3486"/>
      <c r="I1" s="3486"/>
      <c r="J1" s="3486"/>
      <c r="K1" s="3486"/>
      <c r="L1" s="3486"/>
      <c r="M1" s="3486"/>
      <c r="N1" s="3486"/>
      <c r="O1" s="3486"/>
      <c r="P1" s="3486"/>
      <c r="Q1" s="3486"/>
      <c r="R1" s="3486"/>
      <c r="S1" s="3487"/>
      <c r="T1" s="1112" t="s">
        <v>2764</v>
      </c>
    </row>
    <row r="2" spans="1:45" s="662" customFormat="1" ht="38.25">
      <c r="A2" s="1113"/>
      <c r="B2" s="658" t="s">
        <v>2765</v>
      </c>
      <c r="C2" s="659" t="str">
        <f t="shared" ref="C2:L2" si="0">C3&amp;"(含)"&amp;"-"&amp;D3</f>
        <v>1(含)-300</v>
      </c>
      <c r="D2" s="660" t="str">
        <f t="shared" si="0"/>
        <v>300(含)-600</v>
      </c>
      <c r="E2" s="660" t="str">
        <f t="shared" si="0"/>
        <v>600(含)-900</v>
      </c>
      <c r="F2" s="660" t="str">
        <f t="shared" si="0"/>
        <v>900(含)-1200</v>
      </c>
      <c r="G2" s="660" t="str">
        <f t="shared" si="0"/>
        <v>1200(含)-1500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3"/>
      <c r="C3" s="664">
        <v>1</v>
      </c>
      <c r="D3" s="665">
        <v>300</v>
      </c>
      <c r="E3" s="665">
        <v>600</v>
      </c>
      <c r="F3" s="1442">
        <v>900</v>
      </c>
      <c r="G3" s="1442">
        <v>1200</v>
      </c>
      <c r="H3" s="1442">
        <v>1500</v>
      </c>
      <c r="I3" s="1442"/>
      <c r="J3" s="1442"/>
      <c r="K3" s="1442"/>
      <c r="L3" s="1443"/>
      <c r="M3" s="1444"/>
      <c r="N3" s="1444"/>
      <c r="O3" s="1442"/>
      <c r="P3" s="1442"/>
      <c r="Q3" s="1442"/>
      <c r="R3" s="1442"/>
      <c r="S3" s="1445"/>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v>100</v>
      </c>
      <c r="D4" s="1119">
        <v>98</v>
      </c>
      <c r="E4" s="1119">
        <v>96</v>
      </c>
      <c r="F4" s="1446">
        <v>94</v>
      </c>
      <c r="G4" s="1446">
        <v>92</v>
      </c>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3"/>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4" t="s">
        <v>2766</v>
      </c>
      <c r="C7" s="1033"/>
      <c r="D7" s="1027"/>
      <c r="E7" s="1027"/>
      <c r="F7" s="1454"/>
      <c r="G7" s="1454"/>
      <c r="H7" s="1454"/>
      <c r="I7" s="1454"/>
      <c r="J7" s="1454"/>
      <c r="K7" s="1454"/>
      <c r="L7" s="1454"/>
      <c r="M7" s="1455"/>
      <c r="N7" s="1456"/>
      <c r="O7" s="1457"/>
      <c r="P7" s="1458"/>
      <c r="Q7" s="1459"/>
      <c r="R7" s="1460"/>
      <c r="S7" s="1461"/>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4" t="s">
        <v>2767</v>
      </c>
      <c r="C9" s="1033"/>
      <c r="D9" s="1027"/>
      <c r="E9" s="1027"/>
      <c r="F9" s="1454"/>
      <c r="G9" s="1454"/>
      <c r="H9" s="1454"/>
      <c r="I9" s="1454"/>
      <c r="J9" s="1454"/>
      <c r="K9" s="1454"/>
      <c r="L9" s="1462"/>
      <c r="M9" s="1455"/>
      <c r="N9" s="1456"/>
      <c r="O9" s="1457"/>
      <c r="P9" s="1458"/>
      <c r="Q9" s="1459"/>
      <c r="R9" s="1460"/>
      <c r="S9" s="1461"/>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3" t="s">
        <v>2768</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3" t="s">
        <v>2769</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3" t="s">
        <v>2770</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2771</v>
      </c>
      <c r="B17" s="2331" t="s">
        <v>2772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3"/>
      <c r="C19" s="163"/>
      <c r="D19" s="2332" t="s">
        <v>2773</v>
      </c>
      <c r="E19" s="1491"/>
      <c r="F19" s="1491"/>
      <c r="G19" s="1491"/>
      <c r="H19" s="1188"/>
      <c r="I19" s="163"/>
      <c r="J19" s="163"/>
      <c r="K19" s="163"/>
      <c r="L19" s="163"/>
      <c r="M19" s="163"/>
      <c r="N19" s="163"/>
      <c r="O19" s="163"/>
      <c r="P19" s="163"/>
      <c r="Q19" s="163"/>
      <c r="R19" s="725"/>
      <c r="S19" s="134"/>
    </row>
    <row r="20" spans="1:45" ht="16.5" thickBot="1">
      <c r="A20" s="670" t="s">
        <v>2774</v>
      </c>
      <c r="B20" s="299" t="e">
        <f ca="1">IF(D20="——",S22,S22-F20)</f>
        <v>#REF!</v>
      </c>
      <c r="C20" s="163"/>
      <c r="D20" s="2333"/>
      <c r="E20" s="1492"/>
      <c r="F20" s="1112" t="e">
        <f ca="1">SUMIF(INDIRECT("'"&amp;H20&amp;"'"&amp;"!A:A"),"承租人权益价值",INDIRECT("'"&amp;H20&amp;"'"&amp;"!c:c"))</f>
        <v>#REF!</v>
      </c>
      <c r="G20" s="1112" t="s">
        <v>2775</v>
      </c>
      <c r="H20" s="2334"/>
      <c r="I20" s="163"/>
      <c r="J20" s="163"/>
      <c r="K20" s="163"/>
      <c r="L20" s="163"/>
      <c r="M20" s="163"/>
      <c r="N20" s="163"/>
      <c r="O20" s="163"/>
      <c r="P20" s="163"/>
      <c r="Q20" s="163"/>
      <c r="R20" s="725"/>
      <c r="S20" s="134"/>
    </row>
    <row r="21" spans="1:45" ht="15.75">
      <c r="A21" s="670" t="s">
        <v>2776</v>
      </c>
      <c r="B21" s="299" t="e">
        <f ca="1">ROUND(B20*10000/B22,0)</f>
        <v>#REF!</v>
      </c>
      <c r="C21" s="163"/>
      <c r="D21" s="163"/>
      <c r="E21" s="163"/>
      <c r="F21" s="163"/>
      <c r="G21" s="163"/>
      <c r="H21" s="163"/>
      <c r="I21" s="163"/>
      <c r="J21" s="163"/>
      <c r="K21" s="163"/>
      <c r="L21" s="163"/>
      <c r="M21" s="163"/>
      <c r="N21" s="163"/>
      <c r="O21" s="163"/>
      <c r="P21" s="163"/>
      <c r="Q21" s="163"/>
      <c r="R21" s="725"/>
      <c r="S21" s="134"/>
    </row>
    <row r="22" spans="1:45">
      <c r="A22" s="321" t="s">
        <v>2777</v>
      </c>
      <c r="B22" s="24">
        <f>SUM(B24:B10000)</f>
        <v>13665.179999999997</v>
      </c>
      <c r="C22" s="3482" t="s">
        <v>33</v>
      </c>
      <c r="D22" s="3483"/>
      <c r="E22" s="3483"/>
      <c r="F22" s="3483"/>
      <c r="G22" s="3483"/>
      <c r="H22" s="3483"/>
      <c r="I22" s="3483"/>
      <c r="J22" s="3483"/>
      <c r="K22" s="3483"/>
      <c r="L22" s="3483"/>
      <c r="M22" s="3483"/>
      <c r="N22" s="3483"/>
      <c r="O22" s="3483"/>
      <c r="P22" s="3483"/>
      <c r="Q22" s="3484"/>
      <c r="R22" s="671">
        <f>ROUND(S22*10000/B22,0)</f>
        <v>0</v>
      </c>
      <c r="S22" s="24">
        <f>SUM(S24:S10000)</f>
        <v>0</v>
      </c>
    </row>
    <row r="23" spans="1:45" s="12" customFormat="1" ht="24">
      <c r="A23" s="11" t="s">
        <v>2778</v>
      </c>
      <c r="B23" s="11" t="s">
        <v>2779</v>
      </c>
      <c r="C23" s="11" t="s">
        <v>2780</v>
      </c>
      <c r="D23" s="11">
        <f>B5</f>
        <v>0</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2" t="s">
        <v>2781</v>
      </c>
      <c r="S23" s="11" t="s">
        <v>2782</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ht="16.5">
      <c r="A24" s="3352" t="s">
        <v>3402</v>
      </c>
      <c r="B24" s="3352">
        <v>683.55</v>
      </c>
      <c r="C24" s="3007">
        <v>1</v>
      </c>
      <c r="D24" s="3008"/>
      <c r="E24" s="3007">
        <v>1</v>
      </c>
      <c r="F24" s="3008"/>
      <c r="G24" s="3007">
        <v>1</v>
      </c>
      <c r="H24" s="3008"/>
      <c r="I24" s="3007">
        <v>1</v>
      </c>
      <c r="J24" s="3008"/>
      <c r="K24" s="3007">
        <v>1</v>
      </c>
      <c r="L24" s="3008"/>
      <c r="M24" s="3007">
        <v>1</v>
      </c>
      <c r="N24" s="3008"/>
      <c r="O24" s="3007">
        <v>1</v>
      </c>
      <c r="P24" s="3008"/>
      <c r="Q24" s="3007">
        <v>1</v>
      </c>
      <c r="R24" s="675">
        <v>3</v>
      </c>
      <c r="S24" s="673">
        <f t="shared" ref="S24:S54" si="11">ROUND(R24*B24/10000,0)</f>
        <v>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ht="16.5">
      <c r="A25" s="3352" t="s">
        <v>3403</v>
      </c>
      <c r="B25" s="3352">
        <v>690.09</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1">
        <f>IF(B25="",0,ROUND($R$24*C25*E25*G25*I25*K25*M25*O25*Q25,0))</f>
        <v>3</v>
      </c>
      <c r="S25" s="321">
        <f t="shared" si="11"/>
        <v>0</v>
      </c>
    </row>
    <row r="26" spans="1:45" ht="16.5">
      <c r="A26" s="3352" t="s">
        <v>3404</v>
      </c>
      <c r="B26" s="3352">
        <v>739.52</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1">
        <f t="shared" ref="R26:R89" si="20">IF(B26="",0,ROUND($R$24*C26*E26*G26*I26*K26*M26*O26*Q26,0))</f>
        <v>3</v>
      </c>
      <c r="S26" s="321">
        <f t="shared" si="11"/>
        <v>0</v>
      </c>
    </row>
    <row r="27" spans="1:45" ht="16.5">
      <c r="A27" s="3352" t="s">
        <v>3405</v>
      </c>
      <c r="B27" s="3352">
        <v>740.24</v>
      </c>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1">
        <f t="shared" si="20"/>
        <v>3</v>
      </c>
      <c r="S27" s="321">
        <f t="shared" si="11"/>
        <v>0</v>
      </c>
    </row>
    <row r="28" spans="1:45" ht="16.5">
      <c r="A28" s="3352" t="s">
        <v>3406</v>
      </c>
      <c r="B28" s="3352">
        <v>739.8</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1">
        <f t="shared" si="20"/>
        <v>3</v>
      </c>
      <c r="S28" s="321">
        <f t="shared" si="11"/>
        <v>0</v>
      </c>
    </row>
    <row r="29" spans="1:45" ht="16.5">
      <c r="A29" s="3352" t="s">
        <v>3407</v>
      </c>
      <c r="B29" s="3352">
        <v>740.24</v>
      </c>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1">
        <f t="shared" si="20"/>
        <v>3</v>
      </c>
      <c r="S29" s="321">
        <f t="shared" si="11"/>
        <v>0</v>
      </c>
    </row>
    <row r="30" spans="1:45" ht="16.5">
      <c r="A30" s="3352" t="s">
        <v>3408</v>
      </c>
      <c r="B30" s="3352">
        <v>815.05</v>
      </c>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1">
        <f t="shared" si="20"/>
        <v>3</v>
      </c>
      <c r="S30" s="321">
        <f t="shared" si="11"/>
        <v>0</v>
      </c>
    </row>
    <row r="31" spans="1:45" ht="16.5">
      <c r="A31" s="3352" t="s">
        <v>3409</v>
      </c>
      <c r="B31" s="3352">
        <v>740.24</v>
      </c>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1">
        <f t="shared" si="20"/>
        <v>3</v>
      </c>
      <c r="S31" s="321">
        <f t="shared" si="11"/>
        <v>0</v>
      </c>
    </row>
    <row r="32" spans="1:45" ht="16.5">
      <c r="A32" s="3352" t="s">
        <v>3410</v>
      </c>
      <c r="B32" s="3352">
        <v>815.05</v>
      </c>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1">
        <f t="shared" si="20"/>
        <v>3</v>
      </c>
      <c r="S32" s="321">
        <f t="shared" si="11"/>
        <v>0</v>
      </c>
    </row>
    <row r="33" spans="1:19" ht="16.5">
      <c r="A33" s="3352" t="s">
        <v>3411</v>
      </c>
      <c r="B33" s="3352">
        <v>740.24</v>
      </c>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1">
        <f t="shared" si="20"/>
        <v>3</v>
      </c>
      <c r="S33" s="321">
        <f t="shared" si="11"/>
        <v>0</v>
      </c>
    </row>
    <row r="34" spans="1:19" ht="16.5">
      <c r="A34" s="3352" t="s">
        <v>3412</v>
      </c>
      <c r="B34" s="3352">
        <v>815.05</v>
      </c>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1">
        <f t="shared" si="20"/>
        <v>3</v>
      </c>
      <c r="S34" s="321">
        <f t="shared" si="11"/>
        <v>0</v>
      </c>
    </row>
    <row r="35" spans="1:19" ht="16.5">
      <c r="A35" s="3352" t="s">
        <v>3413</v>
      </c>
      <c r="B35" s="3352">
        <v>740.24</v>
      </c>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1">
        <f t="shared" si="20"/>
        <v>3</v>
      </c>
      <c r="S35" s="321">
        <f t="shared" si="11"/>
        <v>0</v>
      </c>
    </row>
    <row r="36" spans="1:19" ht="16.5">
      <c r="A36" s="3352" t="s">
        <v>3414</v>
      </c>
      <c r="B36" s="3352">
        <v>815.05</v>
      </c>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1">
        <f t="shared" si="20"/>
        <v>3</v>
      </c>
      <c r="S36" s="321">
        <f t="shared" si="11"/>
        <v>0</v>
      </c>
    </row>
    <row r="37" spans="1:19" ht="16.5">
      <c r="A37" s="3352" t="s">
        <v>3415</v>
      </c>
      <c r="B37" s="3352">
        <v>740.24</v>
      </c>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1">
        <f t="shared" si="20"/>
        <v>3</v>
      </c>
      <c r="S37" s="321">
        <f t="shared" si="11"/>
        <v>0</v>
      </c>
    </row>
    <row r="38" spans="1:19" ht="16.5">
      <c r="A38" s="3352" t="s">
        <v>3416</v>
      </c>
      <c r="B38" s="3352">
        <v>815.05</v>
      </c>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1">
        <f t="shared" si="20"/>
        <v>3</v>
      </c>
      <c r="S38" s="321">
        <f t="shared" si="11"/>
        <v>0</v>
      </c>
    </row>
    <row r="39" spans="1:19" ht="16.5">
      <c r="A39" s="3352" t="s">
        <v>3417</v>
      </c>
      <c r="B39" s="3352">
        <v>740.24</v>
      </c>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1">
        <f t="shared" si="20"/>
        <v>3</v>
      </c>
      <c r="S39" s="321">
        <f t="shared" si="11"/>
        <v>0</v>
      </c>
    </row>
    <row r="40" spans="1:19" ht="16.5">
      <c r="A40" s="3352" t="s">
        <v>3418</v>
      </c>
      <c r="B40" s="3352">
        <v>815.05</v>
      </c>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1">
        <f t="shared" si="20"/>
        <v>3</v>
      </c>
      <c r="S40" s="321">
        <f t="shared" si="11"/>
        <v>0</v>
      </c>
    </row>
    <row r="41" spans="1:19" ht="16.5">
      <c r="A41" s="3352" t="s">
        <v>3419</v>
      </c>
      <c r="B41" s="3352">
        <v>740.24</v>
      </c>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1">
        <f t="shared" si="20"/>
        <v>3</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1">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1">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1">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1">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1">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1">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1">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1">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1">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1">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1">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1">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1">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1">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1">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1">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1">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1">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1">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1">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1">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1">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1">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1">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1">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1">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1">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1">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1">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1">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1">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1">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1">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1">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1">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1">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1">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1">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1">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1">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1">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1">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1">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1">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1">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1">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1">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1">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1">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1">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1">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1">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1">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1">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1">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1">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1">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1">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1">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1">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1">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1">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1">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1">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1">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1">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1">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1">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1">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1">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1">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1">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1">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1">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1">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1">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1">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1">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1">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1">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1">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1">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1">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1">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1">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1">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1">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1">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1">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1">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1">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1">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1">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1">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1">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1">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1">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1">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1">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1">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1">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1">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1">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1">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1">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1">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1">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1">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1">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1">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1">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1">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1">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1">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1">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1">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1">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1">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1">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1">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1">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1">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1">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1">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1">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1">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1">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1">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1">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1">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1">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1">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1">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1">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1">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1">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1">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1">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1">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1">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1">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1">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1">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1">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1">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1">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1">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1">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1">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1">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1">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1">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1">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1">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1">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1">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1">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1">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1">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1">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1">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1">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1">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1">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1">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1">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1">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1">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1">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1">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1">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1">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1">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1">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1">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1">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1">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1">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1">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1">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1">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1">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1">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1">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1">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1">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1">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1">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1">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1">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1">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1">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1">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1">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1">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1">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1">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1">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1">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1">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1">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1">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1">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1">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1">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1">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1">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1">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1">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1">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1">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1">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1">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1">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1">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1">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1">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1">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1">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1">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1">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1">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1">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1">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1">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1">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1">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1">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1">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1">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1">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1">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1">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1">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1">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1">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1">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1">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1">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1">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1">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1">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1">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1">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1">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1">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1">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1">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1">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1">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1">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1">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1">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1">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1">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1">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1">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1">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1">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1">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1">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1">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1">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1">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1">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1">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1">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1">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1">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1">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1">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1">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1">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1">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1">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1">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1">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1">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1">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1">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1">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1">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1">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1">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1">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1">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1">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1">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1">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1">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1">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1">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1">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1">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1">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1">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1">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1">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1">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1">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1">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1">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1">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1">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1">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1">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1">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1">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1">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1">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1">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1">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1">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1">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1">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1">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1">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1">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1">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1">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1">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1">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1">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1">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1">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1">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1">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1">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1">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1">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1">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1">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1">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1">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1">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1">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1">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1">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1">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1">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1">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1">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1">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1">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1">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1">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1">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1">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1">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1">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1">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1">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1">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1">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1">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1">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1">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1">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1">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1">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1">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1">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1">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1">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1">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1">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1">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1">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1">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1">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1">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1">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1">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1">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1">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1">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1">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1">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1">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1">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1">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1">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1">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1">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1">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1">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1">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1">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1">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1">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1">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1">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1">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1">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1">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1">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1">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1">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1">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1">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1">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1">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1">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1">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1">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1">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1">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1">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1">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1">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1">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1">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1">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1">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1">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1">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1">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1">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1">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1">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1">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1">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1">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1">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1">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1">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1">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1">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1">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1">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1">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1">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1">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1">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1">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1">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1">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1">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1">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1">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1">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1">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1">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1">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1">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1">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1">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1">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1">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1">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1">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1">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1">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1">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1">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1">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1">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1">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1">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1">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1">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1">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1">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1">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1">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1">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1">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1">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1">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1">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1">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1">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1">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1">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1">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C9FE-0E70-4483-96C5-8678C81457A9}">
  <dimension ref="A1:I152"/>
  <sheetViews>
    <sheetView topLeftCell="A142" workbookViewId="0">
      <selection activeCell="I152" sqref="A1:I152"/>
    </sheetView>
  </sheetViews>
  <sheetFormatPr defaultRowHeight="14.25"/>
  <cols>
    <col min="1" max="4" width="9" style="3823"/>
    <col min="5" max="5" width="14.5" style="3823" customWidth="1"/>
    <col min="6" max="6" width="14.25" style="3823" customWidth="1"/>
    <col min="7" max="8" width="9" style="3823"/>
    <col min="9" max="9" width="14.375" style="3823" customWidth="1"/>
    <col min="10" max="16384" width="9" style="3823"/>
  </cols>
  <sheetData>
    <row r="1" spans="1:9" ht="16.5">
      <c r="A1" s="3820" t="s">
        <v>3395</v>
      </c>
      <c r="B1" s="3820" t="s">
        <v>3554</v>
      </c>
      <c r="C1" s="3815" t="s">
        <v>3552</v>
      </c>
      <c r="D1" s="3815" t="s">
        <v>3195</v>
      </c>
      <c r="E1" s="3815" t="s">
        <v>3196</v>
      </c>
      <c r="F1" s="3815" t="s">
        <v>3548</v>
      </c>
      <c r="G1" s="3815" t="s">
        <v>3549</v>
      </c>
      <c r="H1" s="3815" t="s">
        <v>3462</v>
      </c>
      <c r="I1" s="3815" t="s">
        <v>3550</v>
      </c>
    </row>
    <row r="2" spans="1:9" ht="16.5">
      <c r="A2" s="3816" t="s">
        <v>3401</v>
      </c>
      <c r="B2" s="3820">
        <v>1</v>
      </c>
      <c r="C2" s="3815">
        <v>1</v>
      </c>
      <c r="D2" s="3817" t="s">
        <v>3402</v>
      </c>
      <c r="E2" s="3817">
        <v>683.55</v>
      </c>
      <c r="F2" s="3817">
        <v>508.67</v>
      </c>
      <c r="G2" s="3817" t="s">
        <v>3340</v>
      </c>
      <c r="H2" s="3817" t="s">
        <v>3467</v>
      </c>
      <c r="I2" s="3817" t="s">
        <v>3468</v>
      </c>
    </row>
    <row r="3" spans="1:9" ht="16.5">
      <c r="A3" s="3818"/>
      <c r="B3" s="3820">
        <v>2</v>
      </c>
      <c r="C3" s="3815">
        <v>1</v>
      </c>
      <c r="D3" s="3817" t="s">
        <v>3403</v>
      </c>
      <c r="E3" s="3817">
        <v>690.09</v>
      </c>
      <c r="F3" s="3817">
        <v>513.54</v>
      </c>
      <c r="G3" s="3817" t="s">
        <v>3340</v>
      </c>
      <c r="H3" s="3817" t="s">
        <v>3467</v>
      </c>
      <c r="I3" s="3817" t="s">
        <v>3468</v>
      </c>
    </row>
    <row r="4" spans="1:9" ht="16.5">
      <c r="A4" s="3818"/>
      <c r="B4" s="3820">
        <v>3</v>
      </c>
      <c r="C4" s="3815">
        <v>1</v>
      </c>
      <c r="D4" s="3817" t="s">
        <v>3404</v>
      </c>
      <c r="E4" s="3817">
        <v>739.52</v>
      </c>
      <c r="F4" s="3817">
        <v>508.08</v>
      </c>
      <c r="G4" s="3817" t="s">
        <v>3340</v>
      </c>
      <c r="H4" s="3817" t="s">
        <v>3467</v>
      </c>
      <c r="I4" s="3817" t="s">
        <v>3468</v>
      </c>
    </row>
    <row r="5" spans="1:9" ht="16.5">
      <c r="A5" s="3818"/>
      <c r="B5" s="3820">
        <v>4</v>
      </c>
      <c r="C5" s="3815">
        <v>1</v>
      </c>
      <c r="D5" s="3817" t="s">
        <v>3405</v>
      </c>
      <c r="E5" s="3817">
        <v>740.24</v>
      </c>
      <c r="F5" s="3817">
        <v>550.86</v>
      </c>
      <c r="G5" s="3817" t="s">
        <v>3340</v>
      </c>
      <c r="H5" s="3817" t="s">
        <v>3467</v>
      </c>
      <c r="I5" s="3817" t="s">
        <v>3468</v>
      </c>
    </row>
    <row r="6" spans="1:9" ht="16.5">
      <c r="A6" s="3818"/>
      <c r="B6" s="3820">
        <v>5</v>
      </c>
      <c r="C6" s="3815">
        <v>1</v>
      </c>
      <c r="D6" s="3817" t="s">
        <v>3406</v>
      </c>
      <c r="E6" s="3817">
        <v>739.8</v>
      </c>
      <c r="F6" s="3817">
        <v>508.27</v>
      </c>
      <c r="G6" s="3817" t="s">
        <v>3340</v>
      </c>
      <c r="H6" s="3817" t="s">
        <v>3467</v>
      </c>
      <c r="I6" s="3817" t="s">
        <v>3468</v>
      </c>
    </row>
    <row r="7" spans="1:9" ht="16.5">
      <c r="A7" s="3818"/>
      <c r="B7" s="3820">
        <v>6</v>
      </c>
      <c r="C7" s="3815">
        <v>1</v>
      </c>
      <c r="D7" s="3817" t="s">
        <v>3407</v>
      </c>
      <c r="E7" s="3817">
        <v>740.24</v>
      </c>
      <c r="F7" s="3817">
        <v>550.86</v>
      </c>
      <c r="G7" s="3817" t="s">
        <v>3340</v>
      </c>
      <c r="H7" s="3817" t="s">
        <v>3467</v>
      </c>
      <c r="I7" s="3817" t="s">
        <v>3468</v>
      </c>
    </row>
    <row r="8" spans="1:9" ht="16.5">
      <c r="A8" s="3818"/>
      <c r="B8" s="3820">
        <v>7</v>
      </c>
      <c r="C8" s="3815">
        <v>1</v>
      </c>
      <c r="D8" s="3817" t="s">
        <v>3408</v>
      </c>
      <c r="E8" s="3817">
        <v>815.05</v>
      </c>
      <c r="F8" s="3817">
        <v>606.53</v>
      </c>
      <c r="G8" s="3817" t="s">
        <v>3340</v>
      </c>
      <c r="H8" s="3817" t="s">
        <v>3467</v>
      </c>
      <c r="I8" s="3817" t="s">
        <v>3468</v>
      </c>
    </row>
    <row r="9" spans="1:9" ht="16.5">
      <c r="A9" s="3818"/>
      <c r="B9" s="3820">
        <v>8</v>
      </c>
      <c r="C9" s="3815">
        <v>1</v>
      </c>
      <c r="D9" s="3817" t="s">
        <v>3409</v>
      </c>
      <c r="E9" s="3817">
        <v>740.24</v>
      </c>
      <c r="F9" s="3817">
        <v>550.86</v>
      </c>
      <c r="G9" s="3817" t="s">
        <v>3340</v>
      </c>
      <c r="H9" s="3817" t="s">
        <v>3467</v>
      </c>
      <c r="I9" s="3817" t="s">
        <v>3468</v>
      </c>
    </row>
    <row r="10" spans="1:9" ht="16.5">
      <c r="A10" s="3818"/>
      <c r="B10" s="3820">
        <v>9</v>
      </c>
      <c r="C10" s="3815">
        <v>1</v>
      </c>
      <c r="D10" s="3817" t="s">
        <v>3410</v>
      </c>
      <c r="E10" s="3817">
        <v>815.05</v>
      </c>
      <c r="F10" s="3817">
        <v>606.53</v>
      </c>
      <c r="G10" s="3817" t="s">
        <v>3340</v>
      </c>
      <c r="H10" s="3817" t="s">
        <v>3467</v>
      </c>
      <c r="I10" s="3817" t="s">
        <v>3468</v>
      </c>
    </row>
    <row r="11" spans="1:9" ht="16.5">
      <c r="A11" s="3818"/>
      <c r="B11" s="3820">
        <v>10</v>
      </c>
      <c r="C11" s="3815">
        <v>1</v>
      </c>
      <c r="D11" s="3817" t="s">
        <v>3411</v>
      </c>
      <c r="E11" s="3817">
        <v>740.24</v>
      </c>
      <c r="F11" s="3817">
        <v>550.86</v>
      </c>
      <c r="G11" s="3817" t="s">
        <v>3340</v>
      </c>
      <c r="H11" s="3817" t="s">
        <v>3467</v>
      </c>
      <c r="I11" s="3817" t="s">
        <v>3468</v>
      </c>
    </row>
    <row r="12" spans="1:9" ht="16.5">
      <c r="A12" s="3818"/>
      <c r="B12" s="3820">
        <v>11</v>
      </c>
      <c r="C12" s="3815">
        <v>1</v>
      </c>
      <c r="D12" s="3817" t="s">
        <v>3412</v>
      </c>
      <c r="E12" s="3817">
        <v>815.05</v>
      </c>
      <c r="F12" s="3817">
        <v>606.53</v>
      </c>
      <c r="G12" s="3817" t="s">
        <v>3340</v>
      </c>
      <c r="H12" s="3817" t="s">
        <v>3467</v>
      </c>
      <c r="I12" s="3817" t="s">
        <v>3468</v>
      </c>
    </row>
    <row r="13" spans="1:9" ht="16.5">
      <c r="A13" s="3818"/>
      <c r="B13" s="3820">
        <v>12</v>
      </c>
      <c r="C13" s="3815">
        <v>1</v>
      </c>
      <c r="D13" s="3817" t="s">
        <v>3413</v>
      </c>
      <c r="E13" s="3817">
        <v>740.24</v>
      </c>
      <c r="F13" s="3817">
        <v>550.86</v>
      </c>
      <c r="G13" s="3817" t="s">
        <v>3340</v>
      </c>
      <c r="H13" s="3817" t="s">
        <v>3467</v>
      </c>
      <c r="I13" s="3817" t="s">
        <v>3468</v>
      </c>
    </row>
    <row r="14" spans="1:9" ht="16.5">
      <c r="A14" s="3818"/>
      <c r="B14" s="3820">
        <v>13</v>
      </c>
      <c r="C14" s="3815">
        <v>1</v>
      </c>
      <c r="D14" s="3817" t="s">
        <v>3414</v>
      </c>
      <c r="E14" s="3817">
        <v>815.05</v>
      </c>
      <c r="F14" s="3817">
        <v>606.53</v>
      </c>
      <c r="G14" s="3817" t="s">
        <v>3340</v>
      </c>
      <c r="H14" s="3817" t="s">
        <v>3467</v>
      </c>
      <c r="I14" s="3817" t="s">
        <v>3468</v>
      </c>
    </row>
    <row r="15" spans="1:9" ht="16.5">
      <c r="A15" s="3818"/>
      <c r="B15" s="3820">
        <v>14</v>
      </c>
      <c r="C15" s="3815">
        <v>1</v>
      </c>
      <c r="D15" s="3817" t="s">
        <v>3415</v>
      </c>
      <c r="E15" s="3817">
        <v>740.24</v>
      </c>
      <c r="F15" s="3817">
        <v>550.86</v>
      </c>
      <c r="G15" s="3817" t="s">
        <v>3340</v>
      </c>
      <c r="H15" s="3817" t="s">
        <v>3467</v>
      </c>
      <c r="I15" s="3817" t="s">
        <v>3468</v>
      </c>
    </row>
    <row r="16" spans="1:9" ht="16.5">
      <c r="A16" s="3818"/>
      <c r="B16" s="3820">
        <v>15</v>
      </c>
      <c r="C16" s="3815">
        <v>1</v>
      </c>
      <c r="D16" s="3817" t="s">
        <v>3416</v>
      </c>
      <c r="E16" s="3817">
        <v>815.05</v>
      </c>
      <c r="F16" s="3817">
        <v>606.53</v>
      </c>
      <c r="G16" s="3817" t="s">
        <v>3340</v>
      </c>
      <c r="H16" s="3817" t="s">
        <v>3467</v>
      </c>
      <c r="I16" s="3817" t="s">
        <v>3468</v>
      </c>
    </row>
    <row r="17" spans="1:9" ht="16.5">
      <c r="A17" s="3818"/>
      <c r="B17" s="3820">
        <v>16</v>
      </c>
      <c r="C17" s="3815">
        <v>1</v>
      </c>
      <c r="D17" s="3817" t="s">
        <v>3417</v>
      </c>
      <c r="E17" s="3817">
        <v>740.24</v>
      </c>
      <c r="F17" s="3817">
        <v>550.86</v>
      </c>
      <c r="G17" s="3817" t="s">
        <v>3340</v>
      </c>
      <c r="H17" s="3817" t="s">
        <v>3467</v>
      </c>
      <c r="I17" s="3817" t="s">
        <v>3468</v>
      </c>
    </row>
    <row r="18" spans="1:9" ht="16.5">
      <c r="A18" s="3818"/>
      <c r="B18" s="3820">
        <v>17</v>
      </c>
      <c r="C18" s="3815">
        <v>1</v>
      </c>
      <c r="D18" s="3817" t="s">
        <v>3418</v>
      </c>
      <c r="E18" s="3817">
        <v>815.05</v>
      </c>
      <c r="F18" s="3817">
        <v>606.53</v>
      </c>
      <c r="G18" s="3817" t="s">
        <v>3340</v>
      </c>
      <c r="H18" s="3817" t="s">
        <v>3467</v>
      </c>
      <c r="I18" s="3817" t="s">
        <v>3468</v>
      </c>
    </row>
    <row r="19" spans="1:9" ht="16.5">
      <c r="A19" s="3818"/>
      <c r="B19" s="3820">
        <v>18</v>
      </c>
      <c r="C19" s="3815">
        <v>1</v>
      </c>
      <c r="D19" s="3817" t="s">
        <v>3419</v>
      </c>
      <c r="E19" s="3817">
        <v>740.24</v>
      </c>
      <c r="F19" s="3817">
        <v>550.86</v>
      </c>
      <c r="G19" s="3817" t="s">
        <v>3340</v>
      </c>
      <c r="H19" s="3817" t="s">
        <v>3467</v>
      </c>
      <c r="I19" s="3817" t="s">
        <v>3468</v>
      </c>
    </row>
    <row r="20" spans="1:9" ht="16.5">
      <c r="A20" s="3818"/>
      <c r="B20" s="3820" t="s">
        <v>3553</v>
      </c>
      <c r="C20" s="3817" t="s">
        <v>3514</v>
      </c>
      <c r="D20" s="3823" t="s">
        <v>3553</v>
      </c>
      <c r="E20" s="3817">
        <f t="shared" ref="E20:F20" si="0">SUM(E2:E19)</f>
        <v>13665.179999999997</v>
      </c>
      <c r="F20" s="3817">
        <f t="shared" si="0"/>
        <v>10084.620000000001</v>
      </c>
      <c r="G20" s="3817" t="s">
        <v>3553</v>
      </c>
      <c r="H20" s="3817" t="s">
        <v>3553</v>
      </c>
      <c r="I20" s="3817" t="s">
        <v>3382</v>
      </c>
    </row>
    <row r="21" spans="1:9" ht="16.5">
      <c r="A21" s="3818"/>
      <c r="B21" s="3820">
        <v>19</v>
      </c>
      <c r="C21" s="3824">
        <v>2</v>
      </c>
      <c r="D21" s="3817" t="s">
        <v>3402</v>
      </c>
      <c r="E21" s="3817">
        <v>696.9</v>
      </c>
      <c r="F21" s="3817">
        <v>516.63</v>
      </c>
      <c r="G21" s="3817" t="s">
        <v>3340</v>
      </c>
      <c r="H21" s="3817" t="s">
        <v>3467</v>
      </c>
      <c r="I21" s="3817" t="s">
        <v>3468</v>
      </c>
    </row>
    <row r="22" spans="1:9" ht="16.5">
      <c r="A22" s="3818"/>
      <c r="B22" s="3820">
        <v>20</v>
      </c>
      <c r="C22" s="3824">
        <v>2</v>
      </c>
      <c r="D22" s="3817" t="s">
        <v>3403</v>
      </c>
      <c r="E22" s="3817">
        <v>707.28</v>
      </c>
      <c r="F22" s="3817">
        <v>524.33000000000004</v>
      </c>
      <c r="G22" s="3817" t="s">
        <v>3340</v>
      </c>
      <c r="H22" s="3817" t="s">
        <v>3467</v>
      </c>
      <c r="I22" s="3817" t="s">
        <v>3468</v>
      </c>
    </row>
    <row r="23" spans="1:9" ht="16.5">
      <c r="A23" s="3818"/>
      <c r="B23" s="3820">
        <v>21</v>
      </c>
      <c r="C23" s="3824">
        <v>2</v>
      </c>
      <c r="D23" s="3817" t="s">
        <v>3404</v>
      </c>
      <c r="E23" s="3817">
        <v>743.54</v>
      </c>
      <c r="F23" s="3817">
        <v>551.21</v>
      </c>
      <c r="G23" s="3817" t="s">
        <v>3340</v>
      </c>
      <c r="H23" s="3817" t="s">
        <v>3467</v>
      </c>
      <c r="I23" s="3817" t="s">
        <v>3468</v>
      </c>
    </row>
    <row r="24" spans="1:9" ht="16.5">
      <c r="A24" s="3818"/>
      <c r="B24" s="3820">
        <v>22</v>
      </c>
      <c r="C24" s="3824">
        <v>2</v>
      </c>
      <c r="D24" s="3817" t="s">
        <v>3405</v>
      </c>
      <c r="E24" s="3817">
        <v>735.69</v>
      </c>
      <c r="F24" s="3817">
        <v>503.74</v>
      </c>
      <c r="G24" s="3817" t="s">
        <v>3340</v>
      </c>
      <c r="H24" s="3817" t="s">
        <v>3467</v>
      </c>
      <c r="I24" s="3817" t="s">
        <v>3468</v>
      </c>
    </row>
    <row r="25" spans="1:9" ht="16.5">
      <c r="A25" s="3818"/>
      <c r="B25" s="3820">
        <v>23</v>
      </c>
      <c r="C25" s="3824">
        <v>2</v>
      </c>
      <c r="D25" s="3817" t="s">
        <v>3406</v>
      </c>
      <c r="E25" s="3817">
        <v>743.54</v>
      </c>
      <c r="F25" s="3817">
        <v>551.21</v>
      </c>
      <c r="G25" s="3817" t="s">
        <v>3340</v>
      </c>
      <c r="H25" s="3817" t="s">
        <v>3467</v>
      </c>
      <c r="I25" s="3817" t="s">
        <v>3468</v>
      </c>
    </row>
    <row r="26" spans="1:9" ht="16.5">
      <c r="A26" s="3818"/>
      <c r="B26" s="3820">
        <v>24</v>
      </c>
      <c r="C26" s="3824">
        <v>2</v>
      </c>
      <c r="D26" s="3817" t="s">
        <v>3407</v>
      </c>
      <c r="E26" s="3817">
        <v>750.74</v>
      </c>
      <c r="F26" s="3817">
        <v>514.04999999999995</v>
      </c>
      <c r="G26" s="3817" t="s">
        <v>3340</v>
      </c>
      <c r="H26" s="3817" t="s">
        <v>3467</v>
      </c>
      <c r="I26" s="3817" t="s">
        <v>3468</v>
      </c>
    </row>
    <row r="27" spans="1:9" ht="16.5">
      <c r="A27" s="3818"/>
      <c r="B27" s="3820">
        <v>25</v>
      </c>
      <c r="C27" s="3824">
        <v>2</v>
      </c>
      <c r="D27" s="3817" t="s">
        <v>3408</v>
      </c>
      <c r="E27" s="3817">
        <v>743.26</v>
      </c>
      <c r="F27" s="3817">
        <v>551</v>
      </c>
      <c r="G27" s="3817" t="s">
        <v>3340</v>
      </c>
      <c r="H27" s="3817" t="s">
        <v>3467</v>
      </c>
      <c r="I27" s="3817" t="s">
        <v>3468</v>
      </c>
    </row>
    <row r="28" spans="1:9" ht="16.5">
      <c r="A28" s="3818"/>
      <c r="B28" s="3820">
        <v>26</v>
      </c>
      <c r="C28" s="3824">
        <v>2</v>
      </c>
      <c r="D28" s="3817" t="s">
        <v>3409</v>
      </c>
      <c r="E28" s="3817">
        <v>807.75</v>
      </c>
      <c r="F28" s="3817">
        <v>598.80999999999995</v>
      </c>
      <c r="G28" s="3817" t="s">
        <v>3340</v>
      </c>
      <c r="H28" s="3817" t="s">
        <v>3467</v>
      </c>
      <c r="I28" s="3817" t="s">
        <v>3468</v>
      </c>
    </row>
    <row r="29" spans="1:9" ht="16.5">
      <c r="A29" s="3818"/>
      <c r="B29" s="3820">
        <v>27</v>
      </c>
      <c r="C29" s="3824">
        <v>2</v>
      </c>
      <c r="D29" s="3817" t="s">
        <v>3410</v>
      </c>
      <c r="E29" s="3817">
        <v>743.26</v>
      </c>
      <c r="F29" s="3817">
        <v>551</v>
      </c>
      <c r="G29" s="3817" t="s">
        <v>3340</v>
      </c>
      <c r="H29" s="3817" t="s">
        <v>3467</v>
      </c>
      <c r="I29" s="3817" t="s">
        <v>3468</v>
      </c>
    </row>
    <row r="30" spans="1:9" ht="16.5">
      <c r="A30" s="3818"/>
      <c r="B30" s="3820">
        <v>28</v>
      </c>
      <c r="C30" s="3824">
        <v>2</v>
      </c>
      <c r="D30" s="3817" t="s">
        <v>3411</v>
      </c>
      <c r="E30" s="3817">
        <v>807.75</v>
      </c>
      <c r="F30" s="3817">
        <v>598.80999999999995</v>
      </c>
      <c r="G30" s="3817" t="s">
        <v>3340</v>
      </c>
      <c r="H30" s="3817" t="s">
        <v>3467</v>
      </c>
      <c r="I30" s="3817" t="s">
        <v>3468</v>
      </c>
    </row>
    <row r="31" spans="1:9" ht="16.5">
      <c r="A31" s="3818"/>
      <c r="B31" s="3820">
        <v>29</v>
      </c>
      <c r="C31" s="3824">
        <v>2</v>
      </c>
      <c r="D31" s="3817" t="s">
        <v>3412</v>
      </c>
      <c r="E31" s="3817">
        <v>743.26</v>
      </c>
      <c r="F31" s="3817">
        <v>551</v>
      </c>
      <c r="G31" s="3817" t="s">
        <v>3340</v>
      </c>
      <c r="H31" s="3817" t="s">
        <v>3467</v>
      </c>
      <c r="I31" s="3817" t="s">
        <v>3468</v>
      </c>
    </row>
    <row r="32" spans="1:9" ht="16.5">
      <c r="A32" s="3818"/>
      <c r="B32" s="3820">
        <v>30</v>
      </c>
      <c r="C32" s="3824">
        <v>2</v>
      </c>
      <c r="D32" s="3817" t="s">
        <v>3413</v>
      </c>
      <c r="E32" s="3817">
        <v>807.75</v>
      </c>
      <c r="F32" s="3817">
        <v>598.80999999999995</v>
      </c>
      <c r="G32" s="3817" t="s">
        <v>3340</v>
      </c>
      <c r="H32" s="3817" t="s">
        <v>3467</v>
      </c>
      <c r="I32" s="3817" t="s">
        <v>3468</v>
      </c>
    </row>
    <row r="33" spans="1:9" ht="16.5">
      <c r="A33" s="3818"/>
      <c r="B33" s="3820">
        <v>31</v>
      </c>
      <c r="C33" s="3824">
        <v>2</v>
      </c>
      <c r="D33" s="3817" t="s">
        <v>3414</v>
      </c>
      <c r="E33" s="3817">
        <v>743.26</v>
      </c>
      <c r="F33" s="3817">
        <v>551</v>
      </c>
      <c r="G33" s="3817" t="s">
        <v>3340</v>
      </c>
      <c r="H33" s="3817" t="s">
        <v>3467</v>
      </c>
      <c r="I33" s="3817" t="s">
        <v>3468</v>
      </c>
    </row>
    <row r="34" spans="1:9" ht="16.5">
      <c r="A34" s="3818"/>
      <c r="B34" s="3820">
        <v>32</v>
      </c>
      <c r="C34" s="3824">
        <v>2</v>
      </c>
      <c r="D34" s="3817" t="s">
        <v>3415</v>
      </c>
      <c r="E34" s="3817">
        <v>807.75</v>
      </c>
      <c r="F34" s="3817">
        <v>598.80999999999995</v>
      </c>
      <c r="G34" s="3817" t="s">
        <v>3340</v>
      </c>
      <c r="H34" s="3817" t="s">
        <v>3467</v>
      </c>
      <c r="I34" s="3817" t="s">
        <v>3468</v>
      </c>
    </row>
    <row r="35" spans="1:9" ht="16.5">
      <c r="A35" s="3818"/>
      <c r="B35" s="3820">
        <v>33</v>
      </c>
      <c r="C35" s="3824">
        <v>2</v>
      </c>
      <c r="D35" s="3817" t="s">
        <v>3416</v>
      </c>
      <c r="E35" s="3817">
        <v>743.26</v>
      </c>
      <c r="F35" s="3817">
        <v>551</v>
      </c>
      <c r="G35" s="3817" t="s">
        <v>3340</v>
      </c>
      <c r="H35" s="3817" t="s">
        <v>3467</v>
      </c>
      <c r="I35" s="3817" t="s">
        <v>3468</v>
      </c>
    </row>
    <row r="36" spans="1:9" ht="16.5">
      <c r="A36" s="3818"/>
      <c r="B36" s="3820">
        <v>34</v>
      </c>
      <c r="C36" s="3824">
        <v>2</v>
      </c>
      <c r="D36" s="3817" t="s">
        <v>3417</v>
      </c>
      <c r="E36" s="3817">
        <v>807.75</v>
      </c>
      <c r="F36" s="3817">
        <v>598.80999999999995</v>
      </c>
      <c r="G36" s="3817" t="s">
        <v>3340</v>
      </c>
      <c r="H36" s="3817" t="s">
        <v>3467</v>
      </c>
      <c r="I36" s="3817" t="s">
        <v>3468</v>
      </c>
    </row>
    <row r="37" spans="1:9" ht="16.5">
      <c r="A37" s="3818"/>
      <c r="B37" s="3820">
        <v>35</v>
      </c>
      <c r="C37" s="3824">
        <v>2</v>
      </c>
      <c r="D37" s="3817" t="s">
        <v>3418</v>
      </c>
      <c r="E37" s="3817">
        <v>743.26</v>
      </c>
      <c r="F37" s="3817">
        <v>551</v>
      </c>
      <c r="G37" s="3817" t="s">
        <v>3340</v>
      </c>
      <c r="H37" s="3817" t="s">
        <v>3467</v>
      </c>
      <c r="I37" s="3817" t="s">
        <v>3468</v>
      </c>
    </row>
    <row r="38" spans="1:9" ht="16.5">
      <c r="A38" s="3818"/>
      <c r="B38" s="3820">
        <v>36</v>
      </c>
      <c r="C38" s="3824">
        <v>2</v>
      </c>
      <c r="D38" s="3817" t="s">
        <v>3419</v>
      </c>
      <c r="E38" s="3817">
        <v>807.75</v>
      </c>
      <c r="F38" s="3817">
        <v>598.80999999999995</v>
      </c>
      <c r="G38" s="3817" t="s">
        <v>3340</v>
      </c>
      <c r="H38" s="3817" t="s">
        <v>3467</v>
      </c>
      <c r="I38" s="3817" t="s">
        <v>3468</v>
      </c>
    </row>
    <row r="39" spans="1:9" ht="16.5">
      <c r="A39" s="3818"/>
      <c r="B39" s="3820" t="s">
        <v>3553</v>
      </c>
      <c r="C39" s="3824" t="s">
        <v>3515</v>
      </c>
      <c r="D39" s="3817" t="s">
        <v>3382</v>
      </c>
      <c r="E39" s="3817">
        <f t="shared" ref="E39:F39" si="1">SUM(E21:E38)</f>
        <v>13683.75</v>
      </c>
      <c r="F39" s="3817">
        <f t="shared" si="1"/>
        <v>10060.029999999997</v>
      </c>
      <c r="G39" s="3817" t="s">
        <v>3553</v>
      </c>
      <c r="H39" s="3817" t="s">
        <v>3553</v>
      </c>
      <c r="I39" s="3817" t="s">
        <v>3382</v>
      </c>
    </row>
    <row r="40" spans="1:9" ht="16.5">
      <c r="A40" s="3818"/>
      <c r="B40" s="3820">
        <v>37</v>
      </c>
      <c r="C40" s="3824">
        <v>3</v>
      </c>
      <c r="D40" s="3817" t="s">
        <v>3402</v>
      </c>
      <c r="E40" s="3817">
        <v>647.16999999999996</v>
      </c>
      <c r="F40" s="3817">
        <v>517.82000000000005</v>
      </c>
      <c r="G40" s="3817" t="s">
        <v>3340</v>
      </c>
      <c r="H40" s="3817" t="s">
        <v>3467</v>
      </c>
      <c r="I40" s="3817" t="s">
        <v>3468</v>
      </c>
    </row>
    <row r="41" spans="1:9" ht="16.5">
      <c r="A41" s="3818"/>
      <c r="B41" s="3820">
        <v>38</v>
      </c>
      <c r="C41" s="3824">
        <v>3</v>
      </c>
      <c r="D41" s="3817" t="s">
        <v>3403</v>
      </c>
      <c r="E41" s="3817">
        <v>645.08000000000004</v>
      </c>
      <c r="F41" s="3817">
        <v>516.15</v>
      </c>
      <c r="G41" s="3817" t="s">
        <v>3340</v>
      </c>
      <c r="H41" s="3817" t="s">
        <v>3467</v>
      </c>
      <c r="I41" s="3817" t="s">
        <v>3468</v>
      </c>
    </row>
    <row r="42" spans="1:9" ht="16.5">
      <c r="A42" s="3818"/>
      <c r="B42" s="3820">
        <v>39</v>
      </c>
      <c r="C42" s="3824">
        <v>3</v>
      </c>
      <c r="D42" s="3817" t="s">
        <v>3420</v>
      </c>
      <c r="E42" s="3817">
        <v>645.1</v>
      </c>
      <c r="F42" s="3817">
        <v>516.16</v>
      </c>
      <c r="G42" s="3817" t="s">
        <v>3340</v>
      </c>
      <c r="H42" s="3817" t="s">
        <v>3467</v>
      </c>
      <c r="I42" s="3817" t="s">
        <v>3468</v>
      </c>
    </row>
    <row r="43" spans="1:9" ht="16.5">
      <c r="A43" s="3818"/>
      <c r="B43" s="3820">
        <v>40</v>
      </c>
      <c r="C43" s="3824">
        <v>3</v>
      </c>
      <c r="D43" s="3817" t="s">
        <v>3421</v>
      </c>
      <c r="E43" s="3817">
        <v>654.08000000000004</v>
      </c>
      <c r="F43" s="3817">
        <v>523.35</v>
      </c>
      <c r="G43" s="3817" t="s">
        <v>3340</v>
      </c>
      <c r="H43" s="3817" t="s">
        <v>3467</v>
      </c>
      <c r="I43" s="3817" t="s">
        <v>3468</v>
      </c>
    </row>
    <row r="44" spans="1:9" ht="16.5">
      <c r="A44" s="3818"/>
      <c r="B44" s="3820">
        <v>41</v>
      </c>
      <c r="C44" s="3824">
        <v>3</v>
      </c>
      <c r="D44" s="3817" t="s">
        <v>3404</v>
      </c>
      <c r="E44" s="3817">
        <v>882.82</v>
      </c>
      <c r="F44" s="3817">
        <v>648.1</v>
      </c>
      <c r="G44" s="3817" t="s">
        <v>3340</v>
      </c>
      <c r="H44" s="3817" t="s">
        <v>3467</v>
      </c>
      <c r="I44" s="3817" t="s">
        <v>3468</v>
      </c>
    </row>
    <row r="45" spans="1:9" ht="16.5">
      <c r="A45" s="3818"/>
      <c r="B45" s="3820">
        <v>42</v>
      </c>
      <c r="C45" s="3824">
        <v>3</v>
      </c>
      <c r="D45" s="3817" t="s">
        <v>3405</v>
      </c>
      <c r="E45" s="3817">
        <v>1063.95</v>
      </c>
      <c r="F45" s="3817">
        <v>781.07</v>
      </c>
      <c r="G45" s="3817" t="s">
        <v>3340</v>
      </c>
      <c r="H45" s="3817" t="s">
        <v>3467</v>
      </c>
      <c r="I45" s="3817" t="s">
        <v>3468</v>
      </c>
    </row>
    <row r="46" spans="1:9" ht="16.5">
      <c r="A46" s="3818"/>
      <c r="B46" s="3820">
        <v>43</v>
      </c>
      <c r="C46" s="3824">
        <v>3</v>
      </c>
      <c r="D46" s="3817" t="s">
        <v>3422</v>
      </c>
      <c r="E46" s="3817">
        <v>749.63</v>
      </c>
      <c r="F46" s="3817">
        <v>550.32000000000005</v>
      </c>
      <c r="G46" s="3817" t="s">
        <v>3340</v>
      </c>
      <c r="H46" s="3817" t="s">
        <v>3467</v>
      </c>
      <c r="I46" s="3817" t="s">
        <v>3468</v>
      </c>
    </row>
    <row r="47" spans="1:9" ht="16.5">
      <c r="A47" s="3818"/>
      <c r="B47" s="3820" t="s">
        <v>3553</v>
      </c>
      <c r="C47" s="3824" t="s">
        <v>3515</v>
      </c>
      <c r="D47" s="3817" t="s">
        <v>3382</v>
      </c>
      <c r="E47" s="3817">
        <f t="shared" ref="E47" si="2">SUM(E40:E46)</f>
        <v>5287.83</v>
      </c>
      <c r="F47" s="3817">
        <f>SUM(F40:F46)</f>
        <v>4052.9700000000003</v>
      </c>
      <c r="G47" s="3817" t="s">
        <v>3553</v>
      </c>
      <c r="H47" s="3817" t="s">
        <v>3553</v>
      </c>
      <c r="I47" s="3817" t="s">
        <v>3382</v>
      </c>
    </row>
    <row r="48" spans="1:9" ht="16.5">
      <c r="A48" s="3818"/>
      <c r="B48" s="3820">
        <v>44</v>
      </c>
      <c r="C48" s="3824">
        <v>4</v>
      </c>
      <c r="D48" s="3817" t="s">
        <v>3402</v>
      </c>
      <c r="E48" s="3817">
        <v>676.86</v>
      </c>
      <c r="F48" s="3817">
        <v>505.18</v>
      </c>
      <c r="G48" s="3817" t="s">
        <v>3340</v>
      </c>
      <c r="H48" s="3817" t="s">
        <v>3467</v>
      </c>
      <c r="I48" s="3817" t="s">
        <v>3468</v>
      </c>
    </row>
    <row r="49" spans="1:9" ht="16.5">
      <c r="A49" s="3818"/>
      <c r="B49" s="3820">
        <v>45</v>
      </c>
      <c r="C49" s="3824">
        <v>4</v>
      </c>
      <c r="D49" s="3817" t="s">
        <v>3403</v>
      </c>
      <c r="E49" s="3817">
        <v>676.86</v>
      </c>
      <c r="F49" s="3817">
        <v>505.18</v>
      </c>
      <c r="G49" s="3817" t="s">
        <v>3340</v>
      </c>
      <c r="H49" s="3817" t="s">
        <v>3467</v>
      </c>
      <c r="I49" s="3817" t="s">
        <v>3468</v>
      </c>
    </row>
    <row r="50" spans="1:9" ht="16.5">
      <c r="A50" s="3818"/>
      <c r="B50" s="3820">
        <v>46</v>
      </c>
      <c r="C50" s="3824">
        <v>4</v>
      </c>
      <c r="D50" s="3817" t="s">
        <v>3404</v>
      </c>
      <c r="E50" s="3817">
        <v>718.35</v>
      </c>
      <c r="F50" s="3817">
        <v>502.39</v>
      </c>
      <c r="G50" s="3817" t="s">
        <v>3340</v>
      </c>
      <c r="H50" s="3817" t="s">
        <v>3467</v>
      </c>
      <c r="I50" s="3817" t="s">
        <v>3468</v>
      </c>
    </row>
    <row r="51" spans="1:9" ht="16.5">
      <c r="A51" s="3818"/>
      <c r="B51" s="3820">
        <v>47</v>
      </c>
      <c r="C51" s="3824">
        <v>4</v>
      </c>
      <c r="D51" s="3817" t="s">
        <v>3405</v>
      </c>
      <c r="E51" s="3817">
        <v>718.35</v>
      </c>
      <c r="F51" s="3817">
        <v>502.39</v>
      </c>
      <c r="G51" s="3817" t="s">
        <v>3340</v>
      </c>
      <c r="H51" s="3817" t="s">
        <v>3467</v>
      </c>
      <c r="I51" s="3817" t="s">
        <v>3468</v>
      </c>
    </row>
    <row r="52" spans="1:9" ht="16.5">
      <c r="A52" s="3818"/>
      <c r="B52" s="3820">
        <v>48</v>
      </c>
      <c r="C52" s="3824">
        <v>4</v>
      </c>
      <c r="D52" s="3817" t="s">
        <v>3406</v>
      </c>
      <c r="E52" s="3817">
        <v>713.76</v>
      </c>
      <c r="F52" s="3817">
        <v>499.18</v>
      </c>
      <c r="G52" s="3817" t="s">
        <v>3340</v>
      </c>
      <c r="H52" s="3817" t="s">
        <v>3467</v>
      </c>
      <c r="I52" s="3817" t="s">
        <v>3468</v>
      </c>
    </row>
    <row r="53" spans="1:9" ht="16.5">
      <c r="A53" s="3818"/>
      <c r="B53" s="3820">
        <v>49</v>
      </c>
      <c r="C53" s="3824">
        <v>4</v>
      </c>
      <c r="D53" s="3817" t="s">
        <v>3407</v>
      </c>
      <c r="E53" s="3817">
        <v>713.76</v>
      </c>
      <c r="F53" s="3817">
        <v>499.18</v>
      </c>
      <c r="G53" s="3817" t="s">
        <v>3340</v>
      </c>
      <c r="H53" s="3817" t="s">
        <v>3467</v>
      </c>
      <c r="I53" s="3817" t="s">
        <v>3468</v>
      </c>
    </row>
    <row r="54" spans="1:9" ht="16.5">
      <c r="A54" s="3818"/>
      <c r="B54" s="3820">
        <v>50</v>
      </c>
      <c r="C54" s="3824">
        <v>4</v>
      </c>
      <c r="D54" s="3817" t="s">
        <v>3408</v>
      </c>
      <c r="E54" s="3817">
        <v>681.82</v>
      </c>
      <c r="F54" s="3817">
        <v>508.88</v>
      </c>
      <c r="G54" s="3817" t="s">
        <v>3340</v>
      </c>
      <c r="H54" s="3817" t="s">
        <v>3467</v>
      </c>
      <c r="I54" s="3817" t="s">
        <v>3468</v>
      </c>
    </row>
    <row r="55" spans="1:9" ht="16.5">
      <c r="A55" s="3818"/>
      <c r="B55" s="3820">
        <v>51</v>
      </c>
      <c r="C55" s="3824">
        <v>4</v>
      </c>
      <c r="D55" s="3817" t="s">
        <v>3409</v>
      </c>
      <c r="E55" s="3817">
        <v>681.82</v>
      </c>
      <c r="F55" s="3817">
        <v>508.88</v>
      </c>
      <c r="G55" s="3817" t="s">
        <v>3340</v>
      </c>
      <c r="H55" s="3817" t="s">
        <v>3467</v>
      </c>
      <c r="I55" s="3817" t="s">
        <v>3468</v>
      </c>
    </row>
    <row r="56" spans="1:9" ht="16.5">
      <c r="A56" s="3818"/>
      <c r="B56" s="3820">
        <v>52</v>
      </c>
      <c r="C56" s="3824">
        <v>4</v>
      </c>
      <c r="D56" s="3817" t="s">
        <v>3410</v>
      </c>
      <c r="E56" s="3817">
        <v>681.82</v>
      </c>
      <c r="F56" s="3817">
        <v>508.88</v>
      </c>
      <c r="G56" s="3817" t="s">
        <v>3340</v>
      </c>
      <c r="H56" s="3817" t="s">
        <v>3467</v>
      </c>
      <c r="I56" s="3817" t="s">
        <v>3468</v>
      </c>
    </row>
    <row r="57" spans="1:9" ht="16.5">
      <c r="A57" s="3818"/>
      <c r="B57" s="3820">
        <v>53</v>
      </c>
      <c r="C57" s="3824">
        <v>4</v>
      </c>
      <c r="D57" s="3817" t="s">
        <v>3411</v>
      </c>
      <c r="E57" s="3817">
        <v>681.82</v>
      </c>
      <c r="F57" s="3817">
        <v>508.88</v>
      </c>
      <c r="G57" s="3817" t="s">
        <v>3340</v>
      </c>
      <c r="H57" s="3817" t="s">
        <v>3467</v>
      </c>
      <c r="I57" s="3817" t="s">
        <v>3468</v>
      </c>
    </row>
    <row r="58" spans="1:9" ht="16.5">
      <c r="A58" s="3818"/>
      <c r="B58" s="3820">
        <v>54</v>
      </c>
      <c r="C58" s="3824">
        <v>4</v>
      </c>
      <c r="D58" s="3817" t="s">
        <v>3412</v>
      </c>
      <c r="E58" s="3817">
        <v>681.82</v>
      </c>
      <c r="F58" s="3817">
        <v>508.88</v>
      </c>
      <c r="G58" s="3817" t="s">
        <v>3340</v>
      </c>
      <c r="H58" s="3817" t="s">
        <v>3467</v>
      </c>
      <c r="I58" s="3817" t="s">
        <v>3468</v>
      </c>
    </row>
    <row r="59" spans="1:9" ht="16.5">
      <c r="A59" s="3818"/>
      <c r="B59" s="3820">
        <v>55</v>
      </c>
      <c r="C59" s="3824">
        <v>4</v>
      </c>
      <c r="D59" s="3817" t="s">
        <v>3413</v>
      </c>
      <c r="E59" s="3817">
        <v>681.82</v>
      </c>
      <c r="F59" s="3817">
        <v>508.88</v>
      </c>
      <c r="G59" s="3817" t="s">
        <v>3340</v>
      </c>
      <c r="H59" s="3817" t="s">
        <v>3467</v>
      </c>
      <c r="I59" s="3817" t="s">
        <v>3468</v>
      </c>
    </row>
    <row r="60" spans="1:9" ht="16.5">
      <c r="A60" s="3818"/>
      <c r="B60" s="3820">
        <v>56</v>
      </c>
      <c r="C60" s="3824">
        <v>4</v>
      </c>
      <c r="D60" s="3817" t="s">
        <v>3414</v>
      </c>
      <c r="E60" s="3817">
        <v>681.82</v>
      </c>
      <c r="F60" s="3817">
        <v>508.88</v>
      </c>
      <c r="G60" s="3817" t="s">
        <v>3340</v>
      </c>
      <c r="H60" s="3817" t="s">
        <v>3467</v>
      </c>
      <c r="I60" s="3817" t="s">
        <v>3468</v>
      </c>
    </row>
    <row r="61" spans="1:9" ht="16.5">
      <c r="A61" s="3818"/>
      <c r="B61" s="3820">
        <v>57</v>
      </c>
      <c r="C61" s="3824">
        <v>4</v>
      </c>
      <c r="D61" s="3817" t="s">
        <v>3415</v>
      </c>
      <c r="E61" s="3817">
        <v>681.82</v>
      </c>
      <c r="F61" s="3817">
        <v>508.88</v>
      </c>
      <c r="G61" s="3817" t="s">
        <v>3340</v>
      </c>
      <c r="H61" s="3817" t="s">
        <v>3467</v>
      </c>
      <c r="I61" s="3817" t="s">
        <v>3468</v>
      </c>
    </row>
    <row r="62" spans="1:9" ht="16.5">
      <c r="A62" s="3818"/>
      <c r="B62" s="3820">
        <v>58</v>
      </c>
      <c r="C62" s="3824">
        <v>4</v>
      </c>
      <c r="D62" s="3817" t="s">
        <v>3416</v>
      </c>
      <c r="E62" s="3817">
        <v>681.82</v>
      </c>
      <c r="F62" s="3817">
        <v>508.88</v>
      </c>
      <c r="G62" s="3817" t="s">
        <v>3340</v>
      </c>
      <c r="H62" s="3817" t="s">
        <v>3467</v>
      </c>
      <c r="I62" s="3817" t="s">
        <v>3468</v>
      </c>
    </row>
    <row r="63" spans="1:9" ht="16.5">
      <c r="A63" s="3818"/>
      <c r="B63" s="3820">
        <v>59</v>
      </c>
      <c r="C63" s="3824">
        <v>4</v>
      </c>
      <c r="D63" s="3817" t="s">
        <v>3417</v>
      </c>
      <c r="E63" s="3817">
        <v>681.82</v>
      </c>
      <c r="F63" s="3817">
        <v>508.88</v>
      </c>
      <c r="G63" s="3817" t="s">
        <v>3340</v>
      </c>
      <c r="H63" s="3817" t="s">
        <v>3467</v>
      </c>
      <c r="I63" s="3817" t="s">
        <v>3468</v>
      </c>
    </row>
    <row r="64" spans="1:9" ht="16.5">
      <c r="A64" s="3818"/>
      <c r="B64" s="3820">
        <v>60</v>
      </c>
      <c r="C64" s="3824">
        <v>4</v>
      </c>
      <c r="D64" s="3817" t="s">
        <v>3418</v>
      </c>
      <c r="E64" s="3817">
        <v>681.82</v>
      </c>
      <c r="F64" s="3817">
        <v>508.88</v>
      </c>
      <c r="G64" s="3817" t="s">
        <v>3340</v>
      </c>
      <c r="H64" s="3817" t="s">
        <v>3467</v>
      </c>
      <c r="I64" s="3817" t="s">
        <v>3468</v>
      </c>
    </row>
    <row r="65" spans="1:9" ht="16.5">
      <c r="A65" s="3818"/>
      <c r="B65" s="3820">
        <v>61</v>
      </c>
      <c r="C65" s="3824">
        <v>4</v>
      </c>
      <c r="D65" s="3817" t="s">
        <v>3419</v>
      </c>
      <c r="E65" s="3817">
        <v>681.82</v>
      </c>
      <c r="F65" s="3817">
        <v>508.88</v>
      </c>
      <c r="G65" s="3817" t="s">
        <v>3340</v>
      </c>
      <c r="H65" s="3817" t="s">
        <v>3467</v>
      </c>
      <c r="I65" s="3817" t="s">
        <v>3468</v>
      </c>
    </row>
    <row r="66" spans="1:9" ht="16.5">
      <c r="A66" s="3818"/>
      <c r="B66" s="3820" t="s">
        <v>3553</v>
      </c>
      <c r="C66" s="3824" t="s">
        <v>3515</v>
      </c>
      <c r="D66" s="3817" t="s">
        <v>3553</v>
      </c>
      <c r="E66" s="3825">
        <f>SUM(E48:E65)</f>
        <v>12399.779999999997</v>
      </c>
      <c r="F66" s="3825">
        <f>SUM(F48:F65)</f>
        <v>9120.06</v>
      </c>
      <c r="G66" s="3817" t="s">
        <v>3553</v>
      </c>
      <c r="H66" s="3817" t="s">
        <v>3553</v>
      </c>
      <c r="I66" s="3817" t="s">
        <v>3553</v>
      </c>
    </row>
    <row r="67" spans="1:9" ht="16.5">
      <c r="A67" s="3818"/>
      <c r="B67" s="3820">
        <v>62</v>
      </c>
      <c r="C67" s="3824">
        <v>5</v>
      </c>
      <c r="D67" s="3817" t="s">
        <v>3402</v>
      </c>
      <c r="E67" s="3817">
        <v>536.66999999999996</v>
      </c>
      <c r="F67" s="3817">
        <v>509.1</v>
      </c>
      <c r="G67" s="3817" t="s">
        <v>1283</v>
      </c>
      <c r="H67" s="3817" t="s">
        <v>3467</v>
      </c>
      <c r="I67" s="3817" t="s">
        <v>3468</v>
      </c>
    </row>
    <row r="68" spans="1:9" ht="16.5">
      <c r="A68" s="3818"/>
      <c r="B68" s="3820">
        <v>63</v>
      </c>
      <c r="C68" s="3824">
        <v>5</v>
      </c>
      <c r="D68" s="3817" t="s">
        <v>3403</v>
      </c>
      <c r="E68" s="3817">
        <v>535.79</v>
      </c>
      <c r="F68" s="3817">
        <v>508.27</v>
      </c>
      <c r="G68" s="3817" t="s">
        <v>1283</v>
      </c>
      <c r="H68" s="3817" t="s">
        <v>3467</v>
      </c>
      <c r="I68" s="3817" t="s">
        <v>3468</v>
      </c>
    </row>
    <row r="69" spans="1:9" ht="16.5">
      <c r="A69" s="3818"/>
      <c r="B69" s="3820">
        <v>64</v>
      </c>
      <c r="C69" s="3824">
        <v>5</v>
      </c>
      <c r="D69" s="3817" t="s">
        <v>3404</v>
      </c>
      <c r="E69" s="3817">
        <v>748.02</v>
      </c>
      <c r="F69" s="3817">
        <v>509.33</v>
      </c>
      <c r="G69" s="3817" t="s">
        <v>1283</v>
      </c>
      <c r="H69" s="3817" t="s">
        <v>3467</v>
      </c>
      <c r="I69" s="3817" t="s">
        <v>3468</v>
      </c>
    </row>
    <row r="70" spans="1:9" ht="16.5">
      <c r="A70" s="3818"/>
      <c r="B70" s="3820">
        <v>65</v>
      </c>
      <c r="C70" s="3824">
        <v>5</v>
      </c>
      <c r="D70" s="3817" t="s">
        <v>3405</v>
      </c>
      <c r="E70" s="3817">
        <v>738.19</v>
      </c>
      <c r="F70" s="3817">
        <v>502.64</v>
      </c>
      <c r="G70" s="3817" t="s">
        <v>1283</v>
      </c>
      <c r="H70" s="3817" t="s">
        <v>3467</v>
      </c>
      <c r="I70" s="3817" t="s">
        <v>3468</v>
      </c>
    </row>
    <row r="71" spans="1:9" ht="16.5">
      <c r="A71" s="3818"/>
      <c r="B71" s="3820">
        <v>66</v>
      </c>
      <c r="C71" s="3824">
        <v>5</v>
      </c>
      <c r="D71" s="3817" t="s">
        <v>3406</v>
      </c>
      <c r="E71" s="3817">
        <v>742.41</v>
      </c>
      <c r="F71" s="3817">
        <v>505.51</v>
      </c>
      <c r="G71" s="3817" t="s">
        <v>1283</v>
      </c>
      <c r="H71" s="3817" t="s">
        <v>3467</v>
      </c>
      <c r="I71" s="3817" t="s">
        <v>3468</v>
      </c>
    </row>
    <row r="72" spans="1:9" ht="16.5">
      <c r="A72" s="3818"/>
      <c r="B72" s="3820">
        <v>67</v>
      </c>
      <c r="C72" s="3824">
        <v>5</v>
      </c>
      <c r="D72" s="3817" t="s">
        <v>3407</v>
      </c>
      <c r="E72" s="3817">
        <v>734.08</v>
      </c>
      <c r="F72" s="3817">
        <v>499.84</v>
      </c>
      <c r="G72" s="3817" t="s">
        <v>1283</v>
      </c>
      <c r="H72" s="3817" t="s">
        <v>3467</v>
      </c>
      <c r="I72" s="3817" t="s">
        <v>3468</v>
      </c>
    </row>
    <row r="73" spans="1:9" ht="16.5">
      <c r="A73" s="3818"/>
      <c r="B73" s="3820">
        <v>68</v>
      </c>
      <c r="C73" s="3824">
        <v>5</v>
      </c>
      <c r="D73" s="3817" t="s">
        <v>3408</v>
      </c>
      <c r="E73" s="3817">
        <v>698.58</v>
      </c>
      <c r="F73" s="3817">
        <v>508.49</v>
      </c>
      <c r="G73" s="3817" t="s">
        <v>1283</v>
      </c>
      <c r="H73" s="3817" t="s">
        <v>3467</v>
      </c>
      <c r="I73" s="3817" t="s">
        <v>3468</v>
      </c>
    </row>
    <row r="74" spans="1:9" ht="16.5">
      <c r="A74" s="3818"/>
      <c r="B74" s="3820">
        <v>69</v>
      </c>
      <c r="C74" s="3824">
        <v>5</v>
      </c>
      <c r="D74" s="3817" t="s">
        <v>3409</v>
      </c>
      <c r="E74" s="3817">
        <v>698.58</v>
      </c>
      <c r="F74" s="3817">
        <v>508.49</v>
      </c>
      <c r="G74" s="3817" t="s">
        <v>1283</v>
      </c>
      <c r="H74" s="3817" t="s">
        <v>3467</v>
      </c>
      <c r="I74" s="3817" t="s">
        <v>3468</v>
      </c>
    </row>
    <row r="75" spans="1:9" ht="16.5">
      <c r="A75" s="3818"/>
      <c r="B75" s="3820">
        <v>70</v>
      </c>
      <c r="C75" s="3824">
        <v>5</v>
      </c>
      <c r="D75" s="3817" t="s">
        <v>3410</v>
      </c>
      <c r="E75" s="3817">
        <v>698.58</v>
      </c>
      <c r="F75" s="3817">
        <v>508.49</v>
      </c>
      <c r="G75" s="3817" t="s">
        <v>1283</v>
      </c>
      <c r="H75" s="3817" t="s">
        <v>3467</v>
      </c>
      <c r="I75" s="3817" t="s">
        <v>3468</v>
      </c>
    </row>
    <row r="76" spans="1:9" ht="16.5">
      <c r="A76" s="3818"/>
      <c r="B76" s="3820">
        <v>71</v>
      </c>
      <c r="C76" s="3824">
        <v>5</v>
      </c>
      <c r="D76" s="3817" t="s">
        <v>3411</v>
      </c>
      <c r="E76" s="3817">
        <v>698.58</v>
      </c>
      <c r="F76" s="3817">
        <v>508.49</v>
      </c>
      <c r="G76" s="3817" t="s">
        <v>1283</v>
      </c>
      <c r="H76" s="3817" t="s">
        <v>3467</v>
      </c>
      <c r="I76" s="3817" t="s">
        <v>3468</v>
      </c>
    </row>
    <row r="77" spans="1:9" ht="16.5">
      <c r="A77" s="3818"/>
      <c r="B77" s="3820">
        <v>72</v>
      </c>
      <c r="C77" s="3824">
        <v>5</v>
      </c>
      <c r="D77" s="3817" t="s">
        <v>3412</v>
      </c>
      <c r="E77" s="3817">
        <v>698.58</v>
      </c>
      <c r="F77" s="3817">
        <v>508.49</v>
      </c>
      <c r="G77" s="3817" t="s">
        <v>1283</v>
      </c>
      <c r="H77" s="3817" t="s">
        <v>3467</v>
      </c>
      <c r="I77" s="3817" t="s">
        <v>3468</v>
      </c>
    </row>
    <row r="78" spans="1:9" ht="16.5">
      <c r="A78" s="3818"/>
      <c r="B78" s="3820">
        <v>73</v>
      </c>
      <c r="C78" s="3824">
        <v>5</v>
      </c>
      <c r="D78" s="3817" t="s">
        <v>3413</v>
      </c>
      <c r="E78" s="3817">
        <v>698.58</v>
      </c>
      <c r="F78" s="3817">
        <v>508.49</v>
      </c>
      <c r="G78" s="3817" t="s">
        <v>1283</v>
      </c>
      <c r="H78" s="3817" t="s">
        <v>3467</v>
      </c>
      <c r="I78" s="3817" t="s">
        <v>3468</v>
      </c>
    </row>
    <row r="79" spans="1:9" ht="16.5">
      <c r="A79" s="3818"/>
      <c r="B79" s="3820">
        <v>74</v>
      </c>
      <c r="C79" s="3824">
        <v>5</v>
      </c>
      <c r="D79" s="3817" t="s">
        <v>3414</v>
      </c>
      <c r="E79" s="3817">
        <v>698.58</v>
      </c>
      <c r="F79" s="3817">
        <v>508.49</v>
      </c>
      <c r="G79" s="3817" t="s">
        <v>1283</v>
      </c>
      <c r="H79" s="3817" t="s">
        <v>3467</v>
      </c>
      <c r="I79" s="3817" t="s">
        <v>3468</v>
      </c>
    </row>
    <row r="80" spans="1:9" ht="16.5">
      <c r="A80" s="3818"/>
      <c r="B80" s="3820">
        <v>75</v>
      </c>
      <c r="C80" s="3824">
        <v>5</v>
      </c>
      <c r="D80" s="3817" t="s">
        <v>3415</v>
      </c>
      <c r="E80" s="3817">
        <v>698.58</v>
      </c>
      <c r="F80" s="3817">
        <v>508.49</v>
      </c>
      <c r="G80" s="3817" t="s">
        <v>1283</v>
      </c>
      <c r="H80" s="3817" t="s">
        <v>3467</v>
      </c>
      <c r="I80" s="3817" t="s">
        <v>3468</v>
      </c>
    </row>
    <row r="81" spans="1:9" ht="16.5">
      <c r="A81" s="3818"/>
      <c r="B81" s="3820">
        <v>76</v>
      </c>
      <c r="C81" s="3824">
        <v>5</v>
      </c>
      <c r="D81" s="3817" t="s">
        <v>3416</v>
      </c>
      <c r="E81" s="3817">
        <v>698.58</v>
      </c>
      <c r="F81" s="3817">
        <v>508.49</v>
      </c>
      <c r="G81" s="3817" t="s">
        <v>1283</v>
      </c>
      <c r="H81" s="3817" t="s">
        <v>3467</v>
      </c>
      <c r="I81" s="3817" t="s">
        <v>3468</v>
      </c>
    </row>
    <row r="82" spans="1:9" ht="16.5">
      <c r="A82" s="3818"/>
      <c r="B82" s="3820">
        <v>77</v>
      </c>
      <c r="C82" s="3824">
        <v>5</v>
      </c>
      <c r="D82" s="3817" t="s">
        <v>3417</v>
      </c>
      <c r="E82" s="3817">
        <v>698.58</v>
      </c>
      <c r="F82" s="3817">
        <v>508.49</v>
      </c>
      <c r="G82" s="3817" t="s">
        <v>1283</v>
      </c>
      <c r="H82" s="3817" t="s">
        <v>3467</v>
      </c>
      <c r="I82" s="3817" t="s">
        <v>3468</v>
      </c>
    </row>
    <row r="83" spans="1:9" ht="16.5">
      <c r="A83" s="3818"/>
      <c r="B83" s="3820">
        <v>78</v>
      </c>
      <c r="C83" s="3824">
        <v>5</v>
      </c>
      <c r="D83" s="3817" t="s">
        <v>3418</v>
      </c>
      <c r="E83" s="3817">
        <v>698.58</v>
      </c>
      <c r="F83" s="3817">
        <v>508.49</v>
      </c>
      <c r="G83" s="3817" t="s">
        <v>1283</v>
      </c>
      <c r="H83" s="3817" t="s">
        <v>3467</v>
      </c>
      <c r="I83" s="3817" t="s">
        <v>3468</v>
      </c>
    </row>
    <row r="84" spans="1:9" ht="16.5">
      <c r="A84" s="3818"/>
      <c r="B84" s="3820">
        <v>79</v>
      </c>
      <c r="C84" s="3824">
        <v>5</v>
      </c>
      <c r="D84" s="3817" t="s">
        <v>3419</v>
      </c>
      <c r="E84" s="3817">
        <v>698.58</v>
      </c>
      <c r="F84" s="3817">
        <v>508.49</v>
      </c>
      <c r="G84" s="3817" t="s">
        <v>1283</v>
      </c>
      <c r="H84" s="3817" t="s">
        <v>3467</v>
      </c>
      <c r="I84" s="3817" t="s">
        <v>3468</v>
      </c>
    </row>
    <row r="85" spans="1:9" ht="16.5">
      <c r="A85" s="3818"/>
      <c r="B85" s="3820" t="s">
        <v>3553</v>
      </c>
      <c r="C85" s="3824" t="s">
        <v>3515</v>
      </c>
      <c r="D85" s="3817" t="s">
        <v>3382</v>
      </c>
      <c r="E85" s="3817">
        <f t="shared" ref="E85:F85" si="3">SUM(E67:E84)</f>
        <v>12418.119999999999</v>
      </c>
      <c r="F85" s="3817">
        <f t="shared" si="3"/>
        <v>9136.5699999999979</v>
      </c>
      <c r="G85" s="3817" t="s">
        <v>3553</v>
      </c>
      <c r="H85" s="3817" t="s">
        <v>3553</v>
      </c>
      <c r="I85" s="3817" t="s">
        <v>3382</v>
      </c>
    </row>
    <row r="86" spans="1:9" ht="16.5">
      <c r="A86" s="3818"/>
      <c r="B86" s="3820">
        <v>80</v>
      </c>
      <c r="C86" s="3824">
        <v>42</v>
      </c>
      <c r="D86" s="3817" t="s">
        <v>3423</v>
      </c>
      <c r="E86" s="3817">
        <v>969.55</v>
      </c>
      <c r="F86" s="3817">
        <v>577.33000000000004</v>
      </c>
      <c r="G86" s="3817" t="s">
        <v>3340</v>
      </c>
      <c r="H86" s="3817" t="s">
        <v>3476</v>
      </c>
      <c r="I86" s="3817" t="s">
        <v>3468</v>
      </c>
    </row>
    <row r="87" spans="1:9" ht="16.5">
      <c r="A87" s="3818"/>
      <c r="B87" s="3820">
        <v>81</v>
      </c>
      <c r="C87" s="3824">
        <v>42</v>
      </c>
      <c r="D87" s="3817" t="s">
        <v>3424</v>
      </c>
      <c r="E87" s="3817">
        <v>1449.79</v>
      </c>
      <c r="F87" s="3817">
        <v>863.29</v>
      </c>
      <c r="G87" s="3817" t="s">
        <v>3340</v>
      </c>
      <c r="H87" s="3817" t="s">
        <v>3476</v>
      </c>
      <c r="I87" s="3817" t="s">
        <v>3468</v>
      </c>
    </row>
    <row r="88" spans="1:9" ht="16.5">
      <c r="A88" s="3818"/>
      <c r="B88" s="3820">
        <v>82</v>
      </c>
      <c r="C88" s="3824">
        <v>42</v>
      </c>
      <c r="D88" s="3817" t="s">
        <v>3425</v>
      </c>
      <c r="E88" s="3817">
        <v>1041.56</v>
      </c>
      <c r="F88" s="3817">
        <v>620.21</v>
      </c>
      <c r="G88" s="3817" t="s">
        <v>3340</v>
      </c>
      <c r="H88" s="3817" t="s">
        <v>3476</v>
      </c>
      <c r="I88" s="3817" t="s">
        <v>3468</v>
      </c>
    </row>
    <row r="89" spans="1:9" ht="16.5">
      <c r="A89" s="3818"/>
      <c r="B89" s="3820">
        <v>83</v>
      </c>
      <c r="C89" s="3824">
        <v>42</v>
      </c>
      <c r="D89" s="3817" t="s">
        <v>3426</v>
      </c>
      <c r="E89" s="3817">
        <v>883.94</v>
      </c>
      <c r="F89" s="3817">
        <v>526.35</v>
      </c>
      <c r="G89" s="3817" t="s">
        <v>3340</v>
      </c>
      <c r="H89" s="3817" t="s">
        <v>3476</v>
      </c>
      <c r="I89" s="3817" t="s">
        <v>3468</v>
      </c>
    </row>
    <row r="90" spans="1:9" ht="16.5">
      <c r="A90" s="3818"/>
      <c r="B90" s="3820">
        <v>84</v>
      </c>
      <c r="C90" s="3824">
        <v>42</v>
      </c>
      <c r="D90" s="3817" t="s">
        <v>3427</v>
      </c>
      <c r="E90" s="3817">
        <v>863.4</v>
      </c>
      <c r="F90" s="3817">
        <v>514.12</v>
      </c>
      <c r="G90" s="3817" t="s">
        <v>3340</v>
      </c>
      <c r="H90" s="3817" t="s">
        <v>3476</v>
      </c>
      <c r="I90" s="3817" t="s">
        <v>3468</v>
      </c>
    </row>
    <row r="91" spans="1:9" ht="16.5">
      <c r="A91" s="3818"/>
      <c r="B91" s="3820">
        <v>85</v>
      </c>
      <c r="C91" s="3824">
        <v>42</v>
      </c>
      <c r="D91" s="3817" t="s">
        <v>3428</v>
      </c>
      <c r="E91" s="3817">
        <v>903.32</v>
      </c>
      <c r="F91" s="3817">
        <v>537.89</v>
      </c>
      <c r="G91" s="3817" t="s">
        <v>3340</v>
      </c>
      <c r="H91" s="3817" t="s">
        <v>3476</v>
      </c>
      <c r="I91" s="3817" t="s">
        <v>3468</v>
      </c>
    </row>
    <row r="92" spans="1:9" ht="16.5">
      <c r="A92" s="3818"/>
      <c r="B92" s="3820">
        <v>86</v>
      </c>
      <c r="C92" s="3824">
        <v>42</v>
      </c>
      <c r="D92" s="3817" t="s">
        <v>3429</v>
      </c>
      <c r="E92" s="3817">
        <v>892.55</v>
      </c>
      <c r="F92" s="3817">
        <v>531.48</v>
      </c>
      <c r="G92" s="3817" t="s">
        <v>3340</v>
      </c>
      <c r="H92" s="3817" t="s">
        <v>3476</v>
      </c>
      <c r="I92" s="3817" t="s">
        <v>3468</v>
      </c>
    </row>
    <row r="93" spans="1:9" ht="16.5">
      <c r="A93" s="3818"/>
      <c r="B93" s="3820">
        <v>87</v>
      </c>
      <c r="C93" s="3824">
        <v>42</v>
      </c>
      <c r="D93" s="3817" t="s">
        <v>3430</v>
      </c>
      <c r="E93" s="3817">
        <v>883.6</v>
      </c>
      <c r="F93" s="3817">
        <v>526.15</v>
      </c>
      <c r="G93" s="3817" t="s">
        <v>3340</v>
      </c>
      <c r="H93" s="3817" t="s">
        <v>3476</v>
      </c>
      <c r="I93" s="3817" t="s">
        <v>3468</v>
      </c>
    </row>
    <row r="94" spans="1:9" ht="16.5">
      <c r="A94" s="3818"/>
      <c r="B94" s="3820">
        <v>88</v>
      </c>
      <c r="C94" s="3824">
        <v>42</v>
      </c>
      <c r="D94" s="3817" t="s">
        <v>3431</v>
      </c>
      <c r="E94" s="3817">
        <v>934.77</v>
      </c>
      <c r="F94" s="3817">
        <v>556.62</v>
      </c>
      <c r="G94" s="3817" t="s">
        <v>3340</v>
      </c>
      <c r="H94" s="3817" t="s">
        <v>3476</v>
      </c>
      <c r="I94" s="3817" t="s">
        <v>3468</v>
      </c>
    </row>
    <row r="95" spans="1:9" ht="16.5">
      <c r="A95" s="3818"/>
      <c r="B95" s="3820" t="s">
        <v>3553</v>
      </c>
      <c r="C95" s="3824" t="s">
        <v>3515</v>
      </c>
      <c r="D95" s="3817" t="s">
        <v>3553</v>
      </c>
      <c r="E95" s="3825">
        <f>SUM(E86:E94)</f>
        <v>8822.48</v>
      </c>
      <c r="F95" s="3825">
        <f>SUM(F86:F94)</f>
        <v>5253.44</v>
      </c>
      <c r="G95" s="3817" t="s">
        <v>3553</v>
      </c>
      <c r="H95" s="3817" t="s">
        <v>3553</v>
      </c>
      <c r="I95" s="3817" t="s">
        <v>3553</v>
      </c>
    </row>
    <row r="96" spans="1:9" ht="16.5">
      <c r="A96" s="3819"/>
      <c r="B96" s="3820" t="s">
        <v>3553</v>
      </c>
      <c r="C96" s="3824" t="s">
        <v>3521</v>
      </c>
      <c r="D96" s="3817" t="s">
        <v>3553</v>
      </c>
      <c r="E96" s="3825">
        <f>E95+E85+E66+E47+E39+E20</f>
        <v>66277.14</v>
      </c>
      <c r="F96" s="3825">
        <f>F95+F85+F66+F47+F39+F20</f>
        <v>47707.69</v>
      </c>
      <c r="G96" s="3817" t="s">
        <v>3553</v>
      </c>
      <c r="H96" s="3817" t="s">
        <v>3553</v>
      </c>
      <c r="I96" s="3817" t="s">
        <v>3553</v>
      </c>
    </row>
    <row r="97" spans="1:9" ht="16.5">
      <c r="A97" s="3816" t="s">
        <v>3432</v>
      </c>
      <c r="B97" s="3820">
        <v>89</v>
      </c>
      <c r="C97" s="3824">
        <v>6</v>
      </c>
      <c r="D97" s="3817" t="s">
        <v>3402</v>
      </c>
      <c r="E97" s="3821">
        <v>867.37</v>
      </c>
      <c r="F97" s="3822">
        <v>734.86</v>
      </c>
      <c r="G97" s="3822" t="s">
        <v>3340</v>
      </c>
      <c r="H97" s="3822" t="s">
        <v>3467</v>
      </c>
      <c r="I97" s="3822" t="s">
        <v>3551</v>
      </c>
    </row>
    <row r="98" spans="1:9" ht="16.5">
      <c r="A98" s="3818"/>
      <c r="B98" s="3820">
        <v>90</v>
      </c>
      <c r="C98" s="3824">
        <v>6</v>
      </c>
      <c r="D98" s="3817" t="s">
        <v>3403</v>
      </c>
      <c r="E98" s="3821">
        <v>771.32</v>
      </c>
      <c r="F98" s="3822">
        <v>653.48</v>
      </c>
      <c r="G98" s="3822" t="s">
        <v>3340</v>
      </c>
      <c r="H98" s="3822" t="s">
        <v>3467</v>
      </c>
      <c r="I98" s="3822" t="s">
        <v>3551</v>
      </c>
    </row>
    <row r="99" spans="1:9" ht="16.5">
      <c r="A99" s="3818"/>
      <c r="B99" s="3820">
        <v>91</v>
      </c>
      <c r="C99" s="3824">
        <v>6</v>
      </c>
      <c r="D99" s="3817" t="s">
        <v>3433</v>
      </c>
      <c r="E99" s="3821">
        <v>746.79</v>
      </c>
      <c r="F99" s="3822">
        <v>632.70000000000005</v>
      </c>
      <c r="G99" s="3822" t="s">
        <v>3340</v>
      </c>
      <c r="H99" s="3822" t="s">
        <v>3467</v>
      </c>
      <c r="I99" s="3822" t="s">
        <v>3551</v>
      </c>
    </row>
    <row r="100" spans="1:9" ht="16.5">
      <c r="A100" s="3818"/>
      <c r="B100" s="3820">
        <v>92</v>
      </c>
      <c r="C100" s="3824">
        <v>6</v>
      </c>
      <c r="D100" s="3817" t="s">
        <v>3434</v>
      </c>
      <c r="E100" s="3821">
        <v>762.37</v>
      </c>
      <c r="F100" s="3822">
        <v>645.9</v>
      </c>
      <c r="G100" s="3822" t="s">
        <v>3340</v>
      </c>
      <c r="H100" s="3822" t="s">
        <v>3467</v>
      </c>
      <c r="I100" s="3822" t="s">
        <v>3551</v>
      </c>
    </row>
    <row r="101" spans="1:9" ht="16.5">
      <c r="A101" s="3818"/>
      <c r="B101" s="3820">
        <v>93</v>
      </c>
      <c r="C101" s="3824">
        <v>6</v>
      </c>
      <c r="D101" s="3817" t="s">
        <v>3435</v>
      </c>
      <c r="E101" s="3821">
        <v>762.21</v>
      </c>
      <c r="F101" s="3822">
        <v>645.76</v>
      </c>
      <c r="G101" s="3822" t="s">
        <v>3340</v>
      </c>
      <c r="H101" s="3822" t="s">
        <v>3467</v>
      </c>
      <c r="I101" s="3822" t="s">
        <v>3551</v>
      </c>
    </row>
    <row r="102" spans="1:9" ht="16.5">
      <c r="A102" s="3818"/>
      <c r="B102" s="3820">
        <v>94</v>
      </c>
      <c r="C102" s="3824">
        <v>6</v>
      </c>
      <c r="D102" s="3817" t="s">
        <v>3436</v>
      </c>
      <c r="E102" s="3821">
        <v>875.03</v>
      </c>
      <c r="F102" s="3822">
        <v>741.35</v>
      </c>
      <c r="G102" s="3822" t="s">
        <v>3340</v>
      </c>
      <c r="H102" s="3822" t="s">
        <v>3467</v>
      </c>
      <c r="I102" s="3822" t="s">
        <v>3551</v>
      </c>
    </row>
    <row r="103" spans="1:9" ht="16.5">
      <c r="A103" s="3818"/>
      <c r="B103" s="3820" t="s">
        <v>3553</v>
      </c>
      <c r="C103" s="3826" t="s">
        <v>3514</v>
      </c>
      <c r="D103" s="3824" t="s">
        <v>3553</v>
      </c>
      <c r="E103" s="3822">
        <f>SUM(E97:E102)</f>
        <v>4785.09</v>
      </c>
      <c r="F103" s="3822">
        <f>SUM(F97:F102)</f>
        <v>4054.0499999999997</v>
      </c>
      <c r="G103" s="3822" t="s">
        <v>3553</v>
      </c>
      <c r="H103" s="3822" t="s">
        <v>3553</v>
      </c>
      <c r="I103" s="3822" t="s">
        <v>3553</v>
      </c>
    </row>
    <row r="104" spans="1:9" ht="16.5">
      <c r="A104" s="3818"/>
      <c r="B104" s="3820">
        <v>95</v>
      </c>
      <c r="C104" s="3824">
        <v>44</v>
      </c>
      <c r="D104" s="3817" t="s">
        <v>3424</v>
      </c>
      <c r="E104" s="3821">
        <v>862.97</v>
      </c>
      <c r="F104" s="3822">
        <v>542.38</v>
      </c>
      <c r="G104" s="3822" t="s">
        <v>3340</v>
      </c>
      <c r="H104" s="3822" t="s">
        <v>3476</v>
      </c>
      <c r="I104" s="3822" t="s">
        <v>3551</v>
      </c>
    </row>
    <row r="105" spans="1:9" ht="16.5">
      <c r="A105" s="3818"/>
      <c r="B105" s="3820">
        <v>96</v>
      </c>
      <c r="C105" s="3824">
        <v>44</v>
      </c>
      <c r="D105" s="3817" t="s">
        <v>3425</v>
      </c>
      <c r="E105" s="3821">
        <v>897.18</v>
      </c>
      <c r="F105" s="3822">
        <v>563.88</v>
      </c>
      <c r="G105" s="3822" t="s">
        <v>3340</v>
      </c>
      <c r="H105" s="3822" t="s">
        <v>3476</v>
      </c>
      <c r="I105" s="3822" t="s">
        <v>3551</v>
      </c>
    </row>
    <row r="106" spans="1:9" ht="16.5">
      <c r="A106" s="3818"/>
      <c r="B106" s="3820">
        <v>97</v>
      </c>
      <c r="C106" s="3824">
        <v>44</v>
      </c>
      <c r="D106" s="3817" t="s">
        <v>3426</v>
      </c>
      <c r="E106" s="3821">
        <v>828.92</v>
      </c>
      <c r="F106" s="3822">
        <v>520.98</v>
      </c>
      <c r="G106" s="3822" t="s">
        <v>3340</v>
      </c>
      <c r="H106" s="3822" t="s">
        <v>3476</v>
      </c>
      <c r="I106" s="3822" t="s">
        <v>3551</v>
      </c>
    </row>
    <row r="107" spans="1:9" ht="16.5">
      <c r="A107" s="3818"/>
      <c r="B107" s="3820">
        <v>98</v>
      </c>
      <c r="C107" s="3824">
        <v>44</v>
      </c>
      <c r="D107" s="3817" t="s">
        <v>3427</v>
      </c>
      <c r="E107" s="3821">
        <v>902.95</v>
      </c>
      <c r="F107" s="3822">
        <v>567.51</v>
      </c>
      <c r="G107" s="3822" t="s">
        <v>3340</v>
      </c>
      <c r="H107" s="3822" t="s">
        <v>3476</v>
      </c>
      <c r="I107" s="3822" t="s">
        <v>3551</v>
      </c>
    </row>
    <row r="108" spans="1:9" ht="16.5">
      <c r="A108" s="3818"/>
      <c r="B108" s="3820">
        <v>99</v>
      </c>
      <c r="C108" s="3824">
        <v>44</v>
      </c>
      <c r="D108" s="3817" t="s">
        <v>3428</v>
      </c>
      <c r="E108" s="3821">
        <v>818.35</v>
      </c>
      <c r="F108" s="3822">
        <v>514.34</v>
      </c>
      <c r="G108" s="3822" t="s">
        <v>3340</v>
      </c>
      <c r="H108" s="3822" t="s">
        <v>3476</v>
      </c>
      <c r="I108" s="3822" t="s">
        <v>3551</v>
      </c>
    </row>
    <row r="109" spans="1:9" ht="16.5">
      <c r="A109" s="3818"/>
      <c r="B109" s="3820">
        <v>100</v>
      </c>
      <c r="C109" s="3824">
        <v>44</v>
      </c>
      <c r="D109" s="3817" t="s">
        <v>3429</v>
      </c>
      <c r="E109" s="3821">
        <v>858.26</v>
      </c>
      <c r="F109" s="3822">
        <v>539.41999999999996</v>
      </c>
      <c r="G109" s="3822" t="s">
        <v>3340</v>
      </c>
      <c r="H109" s="3822" t="s">
        <v>3476</v>
      </c>
      <c r="I109" s="3822" t="s">
        <v>3551</v>
      </c>
    </row>
    <row r="110" spans="1:9" ht="16.5">
      <c r="A110" s="3818"/>
      <c r="B110" s="3820">
        <v>101</v>
      </c>
      <c r="C110" s="3824">
        <v>44</v>
      </c>
      <c r="D110" s="3817" t="s">
        <v>3430</v>
      </c>
      <c r="E110" s="3821">
        <v>914.96</v>
      </c>
      <c r="F110" s="3822">
        <v>575.05999999999995</v>
      </c>
      <c r="G110" s="3822" t="s">
        <v>3340</v>
      </c>
      <c r="H110" s="3822" t="s">
        <v>3476</v>
      </c>
      <c r="I110" s="3822" t="s">
        <v>3551</v>
      </c>
    </row>
    <row r="111" spans="1:9" ht="16.5">
      <c r="A111" s="3818"/>
      <c r="B111" s="3820" t="s">
        <v>3553</v>
      </c>
      <c r="C111" s="3826" t="s">
        <v>3514</v>
      </c>
      <c r="D111" s="3817" t="s">
        <v>3553</v>
      </c>
      <c r="E111" s="3821">
        <f>SUM(E104:E110)</f>
        <v>6083.5900000000011</v>
      </c>
      <c r="F111" s="3821">
        <f>SUM(F104:F110)</f>
        <v>3823.57</v>
      </c>
      <c r="G111" s="3822" t="s">
        <v>3553</v>
      </c>
      <c r="H111" s="3822" t="s">
        <v>3553</v>
      </c>
      <c r="I111" s="3822" t="s">
        <v>3553</v>
      </c>
    </row>
    <row r="112" spans="1:9" ht="16.5">
      <c r="A112" s="3819"/>
      <c r="B112" s="3820" t="s">
        <v>3553</v>
      </c>
      <c r="C112" s="3824" t="s">
        <v>3200</v>
      </c>
      <c r="D112" s="3817" t="s">
        <v>3553</v>
      </c>
      <c r="E112" s="3827">
        <f>E103+E111</f>
        <v>10868.68</v>
      </c>
      <c r="F112" s="3827">
        <f>F103+F111</f>
        <v>7877.62</v>
      </c>
      <c r="G112" s="3821" t="s">
        <v>3553</v>
      </c>
      <c r="H112" s="3821" t="s">
        <v>3553</v>
      </c>
      <c r="I112" s="3821" t="s">
        <v>3553</v>
      </c>
    </row>
    <row r="113" spans="1:9" ht="16.5">
      <c r="A113" s="3828" t="s">
        <v>3437</v>
      </c>
      <c r="B113" s="3820">
        <v>102</v>
      </c>
      <c r="C113" s="3824">
        <v>9</v>
      </c>
      <c r="D113" s="3817" t="s">
        <v>3402</v>
      </c>
      <c r="E113" s="3821">
        <v>694.17</v>
      </c>
      <c r="F113" s="3822">
        <v>511.78</v>
      </c>
      <c r="G113" s="3822" t="s">
        <v>3340</v>
      </c>
      <c r="H113" s="3822" t="s">
        <v>3467</v>
      </c>
      <c r="I113" s="3822" t="s">
        <v>3551</v>
      </c>
    </row>
    <row r="114" spans="1:9" ht="16.5">
      <c r="A114" s="3828"/>
      <c r="B114" s="3820">
        <v>103</v>
      </c>
      <c r="C114" s="3824">
        <v>9</v>
      </c>
      <c r="D114" s="3817" t="s">
        <v>3403</v>
      </c>
      <c r="E114" s="3821">
        <v>1054.23</v>
      </c>
      <c r="F114" s="3822">
        <v>777.23</v>
      </c>
      <c r="G114" s="3822" t="s">
        <v>3340</v>
      </c>
      <c r="H114" s="3822" t="s">
        <v>3467</v>
      </c>
      <c r="I114" s="3822" t="s">
        <v>3551</v>
      </c>
    </row>
    <row r="115" spans="1:9" ht="16.5">
      <c r="A115" s="3828"/>
      <c r="B115" s="3820">
        <v>104</v>
      </c>
      <c r="C115" s="3824">
        <v>9</v>
      </c>
      <c r="D115" s="3817" t="s">
        <v>3433</v>
      </c>
      <c r="E115" s="3821">
        <v>763.3</v>
      </c>
      <c r="F115" s="3822">
        <v>562.74</v>
      </c>
      <c r="G115" s="3822" t="s">
        <v>3340</v>
      </c>
      <c r="H115" s="3822" t="s">
        <v>3467</v>
      </c>
      <c r="I115" s="3822" t="s">
        <v>3551</v>
      </c>
    </row>
    <row r="116" spans="1:9" ht="16.5">
      <c r="A116" s="3828"/>
      <c r="B116" s="3820">
        <v>105</v>
      </c>
      <c r="C116" s="3824">
        <v>9</v>
      </c>
      <c r="D116" s="3817" t="s">
        <v>3434</v>
      </c>
      <c r="E116" s="3821">
        <v>783.64</v>
      </c>
      <c r="F116" s="3822">
        <v>577.74</v>
      </c>
      <c r="G116" s="3822" t="s">
        <v>3340</v>
      </c>
      <c r="H116" s="3822" t="s">
        <v>3467</v>
      </c>
      <c r="I116" s="3822" t="s">
        <v>3551</v>
      </c>
    </row>
    <row r="117" spans="1:9" ht="16.5">
      <c r="A117" s="3828"/>
      <c r="B117" s="3820">
        <v>106</v>
      </c>
      <c r="C117" s="3824">
        <v>9</v>
      </c>
      <c r="D117" s="3817" t="s">
        <v>3435</v>
      </c>
      <c r="E117" s="3821">
        <v>791.09</v>
      </c>
      <c r="F117" s="3822">
        <v>583.23</v>
      </c>
      <c r="G117" s="3822" t="s">
        <v>3340</v>
      </c>
      <c r="H117" s="3822" t="s">
        <v>3467</v>
      </c>
      <c r="I117" s="3822" t="s">
        <v>3551</v>
      </c>
    </row>
    <row r="118" spans="1:9" ht="16.5">
      <c r="A118" s="3828"/>
      <c r="B118" s="3820">
        <v>107</v>
      </c>
      <c r="C118" s="3824">
        <v>9</v>
      </c>
      <c r="D118" s="3817" t="s">
        <v>3436</v>
      </c>
      <c r="E118" s="3821">
        <v>830.02</v>
      </c>
      <c r="F118" s="3822">
        <v>611.92999999999995</v>
      </c>
      <c r="G118" s="3822" t="s">
        <v>3340</v>
      </c>
      <c r="H118" s="3822" t="s">
        <v>3467</v>
      </c>
      <c r="I118" s="3822" t="s">
        <v>3551</v>
      </c>
    </row>
    <row r="119" spans="1:9" ht="16.5">
      <c r="A119" s="3828"/>
      <c r="B119" s="3820">
        <v>108</v>
      </c>
      <c r="C119" s="3824">
        <v>9</v>
      </c>
      <c r="D119" s="3817" t="s">
        <v>3438</v>
      </c>
      <c r="E119" s="3821">
        <v>950.98</v>
      </c>
      <c r="F119" s="3822">
        <v>716.97</v>
      </c>
      <c r="G119" s="3822" t="s">
        <v>3340</v>
      </c>
      <c r="H119" s="3822" t="s">
        <v>3467</v>
      </c>
      <c r="I119" s="3822" t="s">
        <v>3551</v>
      </c>
    </row>
    <row r="120" spans="1:9" ht="16.5">
      <c r="A120" s="3828"/>
      <c r="B120" s="3820">
        <v>109</v>
      </c>
      <c r="C120" s="3824">
        <v>9</v>
      </c>
      <c r="D120" s="3817" t="s">
        <v>3439</v>
      </c>
      <c r="E120" s="3821">
        <v>952.51</v>
      </c>
      <c r="F120" s="3822">
        <v>718.12</v>
      </c>
      <c r="G120" s="3822" t="s">
        <v>3340</v>
      </c>
      <c r="H120" s="3822" t="s">
        <v>3467</v>
      </c>
      <c r="I120" s="3822" t="s">
        <v>3551</v>
      </c>
    </row>
    <row r="121" spans="1:9" ht="16.5">
      <c r="A121" s="3828"/>
      <c r="B121" s="3820">
        <v>110</v>
      </c>
      <c r="C121" s="3824">
        <v>9</v>
      </c>
      <c r="D121" s="3817" t="s">
        <v>3440</v>
      </c>
      <c r="E121" s="3821">
        <v>961.73</v>
      </c>
      <c r="F121" s="3822">
        <v>747.4</v>
      </c>
      <c r="G121" s="3822" t="s">
        <v>3340</v>
      </c>
      <c r="H121" s="3822" t="s">
        <v>3467</v>
      </c>
      <c r="I121" s="3822" t="s">
        <v>3551</v>
      </c>
    </row>
    <row r="122" spans="1:9" ht="16.5">
      <c r="A122" s="3828"/>
      <c r="B122" s="3820">
        <v>111</v>
      </c>
      <c r="C122" s="3824">
        <v>9</v>
      </c>
      <c r="D122" s="3817" t="s">
        <v>3441</v>
      </c>
      <c r="E122" s="3821">
        <v>961.74</v>
      </c>
      <c r="F122" s="3822">
        <v>747.41</v>
      </c>
      <c r="G122" s="3822" t="s">
        <v>3340</v>
      </c>
      <c r="H122" s="3822" t="s">
        <v>3467</v>
      </c>
      <c r="I122" s="3822" t="s">
        <v>3551</v>
      </c>
    </row>
    <row r="123" spans="1:9" ht="16.5">
      <c r="A123" s="3828"/>
      <c r="B123" s="3820">
        <v>112</v>
      </c>
      <c r="C123" s="3824">
        <v>9</v>
      </c>
      <c r="D123" s="3817" t="s">
        <v>3442</v>
      </c>
      <c r="E123" s="3821">
        <v>961.73</v>
      </c>
      <c r="F123" s="3822">
        <v>747.4</v>
      </c>
      <c r="G123" s="3822" t="s">
        <v>3340</v>
      </c>
      <c r="H123" s="3822" t="s">
        <v>3467</v>
      </c>
      <c r="I123" s="3822" t="s">
        <v>3551</v>
      </c>
    </row>
    <row r="124" spans="1:9" ht="16.5">
      <c r="A124" s="3828"/>
      <c r="B124" s="3820">
        <v>113</v>
      </c>
      <c r="C124" s="3824">
        <v>9</v>
      </c>
      <c r="D124" s="3817" t="s">
        <v>3443</v>
      </c>
      <c r="E124" s="3821">
        <v>961.74</v>
      </c>
      <c r="F124" s="3822">
        <v>747.41</v>
      </c>
      <c r="G124" s="3822" t="s">
        <v>3340</v>
      </c>
      <c r="H124" s="3822" t="s">
        <v>3467</v>
      </c>
      <c r="I124" s="3822" t="s">
        <v>3551</v>
      </c>
    </row>
    <row r="125" spans="1:9" ht="16.5">
      <c r="A125" s="3828"/>
      <c r="B125" s="3820">
        <v>114</v>
      </c>
      <c r="C125" s="3824">
        <v>9</v>
      </c>
      <c r="D125" s="3817" t="s">
        <v>3444</v>
      </c>
      <c r="E125" s="3821">
        <v>961.73</v>
      </c>
      <c r="F125" s="3822">
        <v>747.4</v>
      </c>
      <c r="G125" s="3822" t="s">
        <v>3340</v>
      </c>
      <c r="H125" s="3822" t="s">
        <v>3467</v>
      </c>
      <c r="I125" s="3822" t="s">
        <v>3551</v>
      </c>
    </row>
    <row r="126" spans="1:9" ht="16.5">
      <c r="A126" s="3828"/>
      <c r="B126" s="3820">
        <v>115</v>
      </c>
      <c r="C126" s="3824">
        <v>9</v>
      </c>
      <c r="D126" s="3817" t="s">
        <v>3445</v>
      </c>
      <c r="E126" s="3821">
        <v>961.74</v>
      </c>
      <c r="F126" s="3822">
        <v>747.41</v>
      </c>
      <c r="G126" s="3822" t="s">
        <v>3340</v>
      </c>
      <c r="H126" s="3822" t="s">
        <v>3467</v>
      </c>
      <c r="I126" s="3822" t="s">
        <v>3551</v>
      </c>
    </row>
    <row r="127" spans="1:9" ht="16.5">
      <c r="A127" s="3828"/>
      <c r="B127" s="3820">
        <v>116</v>
      </c>
      <c r="C127" s="3824">
        <v>9</v>
      </c>
      <c r="D127" s="3817" t="s">
        <v>3446</v>
      </c>
      <c r="E127" s="3821">
        <v>961.73</v>
      </c>
      <c r="F127" s="3822">
        <v>747.4</v>
      </c>
      <c r="G127" s="3822" t="s">
        <v>3340</v>
      </c>
      <c r="H127" s="3822" t="s">
        <v>3467</v>
      </c>
      <c r="I127" s="3822" t="s">
        <v>3551</v>
      </c>
    </row>
    <row r="128" spans="1:9" ht="16.5">
      <c r="A128" s="3828"/>
      <c r="B128" s="3820">
        <v>117</v>
      </c>
      <c r="C128" s="3824">
        <v>9</v>
      </c>
      <c r="D128" s="3817" t="s">
        <v>3447</v>
      </c>
      <c r="E128" s="3821">
        <v>961.74</v>
      </c>
      <c r="F128" s="3822">
        <v>747.41</v>
      </c>
      <c r="G128" s="3822" t="s">
        <v>3340</v>
      </c>
      <c r="H128" s="3822" t="s">
        <v>3467</v>
      </c>
      <c r="I128" s="3822" t="s">
        <v>3551</v>
      </c>
    </row>
    <row r="129" spans="1:9" ht="16.5">
      <c r="A129" s="3828"/>
      <c r="B129" s="3820">
        <v>118</v>
      </c>
      <c r="C129" s="3824">
        <v>9</v>
      </c>
      <c r="D129" s="3817" t="s">
        <v>3448</v>
      </c>
      <c r="E129" s="3821">
        <v>961.73</v>
      </c>
      <c r="F129" s="3822">
        <v>747.4</v>
      </c>
      <c r="G129" s="3822" t="s">
        <v>3340</v>
      </c>
      <c r="H129" s="3822" t="s">
        <v>3467</v>
      </c>
      <c r="I129" s="3822" t="s">
        <v>3551</v>
      </c>
    </row>
    <row r="130" spans="1:9" ht="16.5">
      <c r="A130" s="3828"/>
      <c r="B130" s="3820">
        <v>119</v>
      </c>
      <c r="C130" s="3824">
        <v>9</v>
      </c>
      <c r="D130" s="3817" t="s">
        <v>3449</v>
      </c>
      <c r="E130" s="3821">
        <v>961.74</v>
      </c>
      <c r="F130" s="3822">
        <v>747.41</v>
      </c>
      <c r="G130" s="3822" t="s">
        <v>3340</v>
      </c>
      <c r="H130" s="3822" t="s">
        <v>3467</v>
      </c>
      <c r="I130" s="3822" t="s">
        <v>3551</v>
      </c>
    </row>
    <row r="131" spans="1:9" ht="16.5">
      <c r="A131" s="3828"/>
      <c r="B131" s="3820">
        <v>120</v>
      </c>
      <c r="C131" s="3824">
        <v>9</v>
      </c>
      <c r="D131" s="3817" t="s">
        <v>3450</v>
      </c>
      <c r="E131" s="3821">
        <v>961.73</v>
      </c>
      <c r="F131" s="3822">
        <v>747.4</v>
      </c>
      <c r="G131" s="3822" t="s">
        <v>3340</v>
      </c>
      <c r="H131" s="3822" t="s">
        <v>3467</v>
      </c>
      <c r="I131" s="3822" t="s">
        <v>3551</v>
      </c>
    </row>
    <row r="132" spans="1:9" ht="16.5">
      <c r="A132" s="3828"/>
      <c r="B132" s="3820">
        <v>121</v>
      </c>
      <c r="C132" s="3824">
        <v>9</v>
      </c>
      <c r="D132" s="3817" t="s">
        <v>3451</v>
      </c>
      <c r="E132" s="3821">
        <v>961.74</v>
      </c>
      <c r="F132" s="3822">
        <v>747.41</v>
      </c>
      <c r="G132" s="3822" t="s">
        <v>3340</v>
      </c>
      <c r="H132" s="3822" t="s">
        <v>3467</v>
      </c>
      <c r="I132" s="3822" t="s">
        <v>3551</v>
      </c>
    </row>
    <row r="133" spans="1:9" ht="16.5">
      <c r="A133" s="3828"/>
      <c r="B133" s="3820">
        <v>122</v>
      </c>
      <c r="C133" s="3824">
        <v>9</v>
      </c>
      <c r="D133" s="3817" t="s">
        <v>3452</v>
      </c>
      <c r="E133" s="3821">
        <v>961.73</v>
      </c>
      <c r="F133" s="3822">
        <v>747.4</v>
      </c>
      <c r="G133" s="3822" t="s">
        <v>3340</v>
      </c>
      <c r="H133" s="3822" t="s">
        <v>3467</v>
      </c>
      <c r="I133" s="3822" t="s">
        <v>3551</v>
      </c>
    </row>
    <row r="134" spans="1:9" ht="16.5">
      <c r="A134" s="3828"/>
      <c r="B134" s="3820">
        <v>123</v>
      </c>
      <c r="C134" s="3824">
        <v>9</v>
      </c>
      <c r="D134" s="3817" t="s">
        <v>3453</v>
      </c>
      <c r="E134" s="3821">
        <v>961.74</v>
      </c>
      <c r="F134" s="3822">
        <v>747.41</v>
      </c>
      <c r="G134" s="3822" t="s">
        <v>3340</v>
      </c>
      <c r="H134" s="3822" t="s">
        <v>3467</v>
      </c>
      <c r="I134" s="3822" t="s">
        <v>3551</v>
      </c>
    </row>
    <row r="135" spans="1:9" ht="16.5">
      <c r="A135" s="3828"/>
      <c r="B135" s="3820">
        <v>124</v>
      </c>
      <c r="C135" s="3824">
        <v>9</v>
      </c>
      <c r="D135" s="3817" t="s">
        <v>3454</v>
      </c>
      <c r="E135" s="3821">
        <v>961.73</v>
      </c>
      <c r="F135" s="3822">
        <v>747.4</v>
      </c>
      <c r="G135" s="3822" t="s">
        <v>3340</v>
      </c>
      <c r="H135" s="3822" t="s">
        <v>3467</v>
      </c>
      <c r="I135" s="3822" t="s">
        <v>3551</v>
      </c>
    </row>
    <row r="136" spans="1:9" ht="16.5">
      <c r="A136" s="3828"/>
      <c r="B136" s="3820">
        <v>125</v>
      </c>
      <c r="C136" s="3824">
        <v>9</v>
      </c>
      <c r="D136" s="3817" t="s">
        <v>3455</v>
      </c>
      <c r="E136" s="3821">
        <v>961.74</v>
      </c>
      <c r="F136" s="3822">
        <v>747.41</v>
      </c>
      <c r="G136" s="3822" t="s">
        <v>3340</v>
      </c>
      <c r="H136" s="3822" t="s">
        <v>3467</v>
      </c>
      <c r="I136" s="3822" t="s">
        <v>3551</v>
      </c>
    </row>
    <row r="137" spans="1:9" ht="16.5">
      <c r="A137" s="3828"/>
      <c r="B137" s="3820">
        <v>126</v>
      </c>
      <c r="C137" s="3824">
        <v>9</v>
      </c>
      <c r="D137" s="3817" t="s">
        <v>3456</v>
      </c>
      <c r="E137" s="3821">
        <v>961.73</v>
      </c>
      <c r="F137" s="3822">
        <v>747.4</v>
      </c>
      <c r="G137" s="3822" t="s">
        <v>3340</v>
      </c>
      <c r="H137" s="3822" t="s">
        <v>3467</v>
      </c>
      <c r="I137" s="3822" t="s">
        <v>3551</v>
      </c>
    </row>
    <row r="138" spans="1:9" ht="16.5">
      <c r="A138" s="3828"/>
      <c r="B138" s="3820">
        <v>127</v>
      </c>
      <c r="C138" s="3824">
        <v>9</v>
      </c>
      <c r="D138" s="3817" t="s">
        <v>3457</v>
      </c>
      <c r="E138" s="3821">
        <v>961.74</v>
      </c>
      <c r="F138" s="3822">
        <v>747.41</v>
      </c>
      <c r="G138" s="3822" t="s">
        <v>3340</v>
      </c>
      <c r="H138" s="3822" t="s">
        <v>3467</v>
      </c>
      <c r="I138" s="3822" t="s">
        <v>3551</v>
      </c>
    </row>
    <row r="139" spans="1:9" ht="16.5">
      <c r="A139" s="3828"/>
      <c r="B139" s="3820">
        <v>128</v>
      </c>
      <c r="C139" s="3824">
        <v>9</v>
      </c>
      <c r="D139" s="3817" t="s">
        <v>3458</v>
      </c>
      <c r="E139" s="3821">
        <v>961.73</v>
      </c>
      <c r="F139" s="3822">
        <v>747.4</v>
      </c>
      <c r="G139" s="3822" t="s">
        <v>3340</v>
      </c>
      <c r="H139" s="3822" t="s">
        <v>3467</v>
      </c>
      <c r="I139" s="3822" t="s">
        <v>3551</v>
      </c>
    </row>
    <row r="140" spans="1:9" ht="16.5">
      <c r="A140" s="3828"/>
      <c r="B140" s="3820">
        <v>129</v>
      </c>
      <c r="C140" s="3824">
        <v>9</v>
      </c>
      <c r="D140" s="3817" t="s">
        <v>3459</v>
      </c>
      <c r="E140" s="3821">
        <v>961.74</v>
      </c>
      <c r="F140" s="3822">
        <v>747.41</v>
      </c>
      <c r="G140" s="3822" t="s">
        <v>3340</v>
      </c>
      <c r="H140" s="3822" t="s">
        <v>3467</v>
      </c>
      <c r="I140" s="3822" t="s">
        <v>3551</v>
      </c>
    </row>
    <row r="141" spans="1:9" ht="16.5">
      <c r="A141" s="3828"/>
      <c r="B141" s="3820" t="s">
        <v>3553</v>
      </c>
      <c r="C141" s="3824" t="s">
        <v>3515</v>
      </c>
      <c r="D141" s="3817" t="s">
        <v>3553</v>
      </c>
      <c r="E141" s="3821">
        <f>SUM(E113:E140)</f>
        <v>26054.640000000003</v>
      </c>
      <c r="F141" s="3821">
        <f>SUM(F113:F140)</f>
        <v>20007.84</v>
      </c>
      <c r="G141" s="3822" t="s">
        <v>3553</v>
      </c>
      <c r="H141" s="3822" t="s">
        <v>3553</v>
      </c>
      <c r="I141" s="3822" t="s">
        <v>3382</v>
      </c>
    </row>
    <row r="142" spans="1:9" ht="16.5">
      <c r="A142" s="3828"/>
      <c r="B142" s="3820">
        <v>130</v>
      </c>
      <c r="C142" s="3824">
        <v>47</v>
      </c>
      <c r="D142" s="3817" t="s">
        <v>3424</v>
      </c>
      <c r="E142" s="3821">
        <v>646.46</v>
      </c>
      <c r="F142" s="3822">
        <v>504.38</v>
      </c>
      <c r="G142" s="3822" t="s">
        <v>3340</v>
      </c>
      <c r="H142" s="3822" t="s">
        <v>3476</v>
      </c>
      <c r="I142" s="3822" t="s">
        <v>3551</v>
      </c>
    </row>
    <row r="143" spans="1:9" ht="16.5">
      <c r="A143" s="3828"/>
      <c r="B143" s="3820">
        <v>131</v>
      </c>
      <c r="C143" s="3824">
        <v>47</v>
      </c>
      <c r="D143" s="3817" t="s">
        <v>3425</v>
      </c>
      <c r="E143" s="3821">
        <v>664.53</v>
      </c>
      <c r="F143" s="3822">
        <v>518.48</v>
      </c>
      <c r="G143" s="3822" t="s">
        <v>3340</v>
      </c>
      <c r="H143" s="3822" t="s">
        <v>3476</v>
      </c>
      <c r="I143" s="3822" t="s">
        <v>3551</v>
      </c>
    </row>
    <row r="144" spans="1:9" ht="16.5">
      <c r="A144" s="3828"/>
      <c r="B144" s="3820">
        <v>132</v>
      </c>
      <c r="C144" s="3824">
        <v>47</v>
      </c>
      <c r="D144" s="3817" t="s">
        <v>3426</v>
      </c>
      <c r="E144" s="3821">
        <v>641.11</v>
      </c>
      <c r="F144" s="3822">
        <v>500.21</v>
      </c>
      <c r="G144" s="3822" t="s">
        <v>3340</v>
      </c>
      <c r="H144" s="3822" t="s">
        <v>3476</v>
      </c>
      <c r="I144" s="3822" t="s">
        <v>3551</v>
      </c>
    </row>
    <row r="145" spans="1:9" ht="16.5">
      <c r="A145" s="3828"/>
      <c r="B145" s="3820">
        <v>133</v>
      </c>
      <c r="C145" s="3824">
        <v>47</v>
      </c>
      <c r="D145" s="3817" t="s">
        <v>3427</v>
      </c>
      <c r="E145" s="3821">
        <v>645.15</v>
      </c>
      <c r="F145" s="3822">
        <v>503.36</v>
      </c>
      <c r="G145" s="3822" t="s">
        <v>3340</v>
      </c>
      <c r="H145" s="3822" t="s">
        <v>3476</v>
      </c>
      <c r="I145" s="3822" t="s">
        <v>3551</v>
      </c>
    </row>
    <row r="146" spans="1:9" ht="16.5">
      <c r="A146" s="3828"/>
      <c r="B146" s="3820">
        <v>134</v>
      </c>
      <c r="C146" s="3824">
        <v>47</v>
      </c>
      <c r="D146" s="3817" t="s">
        <v>3428</v>
      </c>
      <c r="E146" s="3821">
        <v>1095.0999999999999</v>
      </c>
      <c r="F146" s="3822">
        <v>854.42</v>
      </c>
      <c r="G146" s="3822" t="s">
        <v>3340</v>
      </c>
      <c r="H146" s="3822" t="s">
        <v>3476</v>
      </c>
      <c r="I146" s="3822" t="s">
        <v>3551</v>
      </c>
    </row>
    <row r="147" spans="1:9" ht="16.5">
      <c r="A147" s="3828"/>
      <c r="B147" s="3820">
        <v>135</v>
      </c>
      <c r="C147" s="3824">
        <v>47</v>
      </c>
      <c r="D147" s="3817" t="s">
        <v>3429</v>
      </c>
      <c r="E147" s="3821">
        <v>654.29999999999995</v>
      </c>
      <c r="F147" s="3822">
        <v>510.5</v>
      </c>
      <c r="G147" s="3822" t="s">
        <v>3340</v>
      </c>
      <c r="H147" s="3822" t="s">
        <v>3476</v>
      </c>
      <c r="I147" s="3822" t="s">
        <v>3551</v>
      </c>
    </row>
    <row r="148" spans="1:9" ht="16.5">
      <c r="A148" s="3828"/>
      <c r="B148" s="3820">
        <v>136</v>
      </c>
      <c r="C148" s="3824">
        <v>47</v>
      </c>
      <c r="D148" s="3817" t="s">
        <v>3460</v>
      </c>
      <c r="E148" s="3821">
        <v>663.34</v>
      </c>
      <c r="F148" s="3822">
        <v>517.54999999999995</v>
      </c>
      <c r="G148" s="3822" t="s">
        <v>3340</v>
      </c>
      <c r="H148" s="3822" t="s">
        <v>3476</v>
      </c>
      <c r="I148" s="3822" t="s">
        <v>3551</v>
      </c>
    </row>
    <row r="149" spans="1:9" ht="16.5">
      <c r="A149" s="3828"/>
      <c r="B149" s="3820">
        <v>137</v>
      </c>
      <c r="C149" s="3824">
        <v>47</v>
      </c>
      <c r="D149" s="3817" t="s">
        <v>3461</v>
      </c>
      <c r="E149" s="3821">
        <v>660.98</v>
      </c>
      <c r="F149" s="3822">
        <v>515.71</v>
      </c>
      <c r="G149" s="3822" t="s">
        <v>3340</v>
      </c>
      <c r="H149" s="3822" t="s">
        <v>3476</v>
      </c>
      <c r="I149" s="3822" t="s">
        <v>3551</v>
      </c>
    </row>
    <row r="150" spans="1:9" ht="16.5">
      <c r="A150" s="3828"/>
      <c r="B150" s="3820" t="s">
        <v>3553</v>
      </c>
      <c r="C150" s="3824" t="s">
        <v>3515</v>
      </c>
      <c r="D150" s="3817" t="s">
        <v>3553</v>
      </c>
      <c r="E150" s="3821">
        <f>SUM(E142:E149)</f>
        <v>5670.9699999999993</v>
      </c>
      <c r="F150" s="3821">
        <f>SUM(F142:F149)</f>
        <v>4424.6099999999997</v>
      </c>
      <c r="G150" s="3822" t="s">
        <v>3553</v>
      </c>
      <c r="H150" s="3822" t="s">
        <v>3553</v>
      </c>
      <c r="I150" s="3822" t="s">
        <v>3553</v>
      </c>
    </row>
    <row r="151" spans="1:9" ht="16.5">
      <c r="A151" s="3828"/>
      <c r="B151" s="3820" t="s">
        <v>3553</v>
      </c>
      <c r="C151" s="3824" t="s">
        <v>3200</v>
      </c>
      <c r="D151" s="3817" t="s">
        <v>3553</v>
      </c>
      <c r="E151" s="3821">
        <f>E141+E150</f>
        <v>31725.61</v>
      </c>
      <c r="F151" s="3821">
        <f>F141+F150</f>
        <v>24432.45</v>
      </c>
      <c r="G151" s="3822" t="s">
        <v>3553</v>
      </c>
      <c r="H151" s="3822" t="s">
        <v>3553</v>
      </c>
      <c r="I151" s="3822" t="s">
        <v>3553</v>
      </c>
    </row>
    <row r="152" spans="1:9">
      <c r="A152" s="3820" t="s">
        <v>3522</v>
      </c>
      <c r="B152" s="3820">
        <v>137</v>
      </c>
      <c r="C152" s="3820" t="s">
        <v>3553</v>
      </c>
      <c r="D152" s="3820" t="s">
        <v>3553</v>
      </c>
      <c r="E152" s="3829">
        <f>E151+E112+E96</f>
        <v>108871.43</v>
      </c>
      <c r="F152" s="3829">
        <f>F151+F112+F96</f>
        <v>80017.760000000009</v>
      </c>
      <c r="G152" s="3820" t="s">
        <v>3553</v>
      </c>
      <c r="H152" s="3820" t="s">
        <v>3553</v>
      </c>
      <c r="I152" s="3820" t="s">
        <v>3553</v>
      </c>
    </row>
  </sheetData>
  <mergeCells count="3">
    <mergeCell ref="A113:A151"/>
    <mergeCell ref="A2:A96"/>
    <mergeCell ref="A97:A112"/>
  </mergeCells>
  <phoneticPr fontId="26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6FB9-0AAB-4120-8F01-97CD3DDDC35D}">
  <dimension ref="A1:Q149"/>
  <sheetViews>
    <sheetView topLeftCell="A132" workbookViewId="0">
      <selection activeCell="G149" sqref="G149"/>
    </sheetView>
  </sheetViews>
  <sheetFormatPr defaultColWidth="10.875" defaultRowHeight="14.25"/>
  <cols>
    <col min="1" max="1" width="3.625" customWidth="1"/>
    <col min="2" max="2" width="4.25" style="3331" customWidth="1"/>
    <col min="3" max="3" width="9" style="3331" customWidth="1"/>
    <col min="4" max="7" width="9.375" style="3331" customWidth="1"/>
    <col min="8" max="8" width="5.875" style="3331" customWidth="1"/>
    <col min="9" max="9" width="5.5" style="3331" customWidth="1"/>
    <col min="10" max="10" width="8.375" style="3331" customWidth="1"/>
    <col min="11" max="11" width="8.5" style="3331" customWidth="1"/>
    <col min="12" max="12" width="9.375" style="3332" customWidth="1"/>
    <col min="13" max="13" width="3" customWidth="1"/>
    <col min="15" max="15" width="13" customWidth="1"/>
  </cols>
  <sheetData>
    <row r="1" spans="1:17">
      <c r="B1" s="3488" t="s">
        <v>3394</v>
      </c>
      <c r="C1" s="3488"/>
      <c r="D1" s="3488"/>
      <c r="E1" s="3488"/>
      <c r="F1" s="3318"/>
      <c r="G1" s="3318"/>
      <c r="H1" s="3318"/>
      <c r="I1" s="3318"/>
      <c r="J1" s="3318"/>
      <c r="K1" s="3318"/>
      <c r="L1" s="3319"/>
    </row>
    <row r="2" spans="1:17" ht="16.5">
      <c r="A2" s="3320" t="s">
        <v>3395</v>
      </c>
      <c r="B2" s="3321" t="s">
        <v>3396</v>
      </c>
      <c r="C2" s="3321" t="s">
        <v>3397</v>
      </c>
      <c r="D2" s="3321" t="s">
        <v>3398</v>
      </c>
      <c r="E2" s="3321" t="s">
        <v>3399</v>
      </c>
      <c r="F2" s="3321" t="s">
        <v>3400</v>
      </c>
      <c r="G2" s="3321" t="s">
        <v>3462</v>
      </c>
      <c r="H2" s="3321" t="s">
        <v>3463</v>
      </c>
      <c r="I2" s="3321"/>
      <c r="J2" s="3321" t="s">
        <v>3464</v>
      </c>
      <c r="K2" s="3321" t="s">
        <v>3465</v>
      </c>
      <c r="L2" s="3322" t="s">
        <v>3466</v>
      </c>
      <c r="O2" s="3350" t="s">
        <v>3505</v>
      </c>
      <c r="P2" s="3350" t="s">
        <v>3504</v>
      </c>
      <c r="Q2" s="3351" t="s">
        <v>3507</v>
      </c>
    </row>
    <row r="3" spans="1:17" ht="16.5">
      <c r="A3" s="3489" t="s">
        <v>3401</v>
      </c>
      <c r="B3" s="3323">
        <v>1</v>
      </c>
      <c r="C3" s="3315" t="s">
        <v>3402</v>
      </c>
      <c r="D3" s="3315">
        <v>683.55</v>
      </c>
      <c r="E3" s="3315">
        <v>508.67</v>
      </c>
      <c r="F3" s="3315" t="s">
        <v>3340</v>
      </c>
      <c r="G3" s="3315" t="s">
        <v>3467</v>
      </c>
      <c r="H3" s="3315" t="s">
        <v>3468</v>
      </c>
      <c r="I3" s="3315"/>
      <c r="J3" s="3315" t="s">
        <v>3469</v>
      </c>
      <c r="K3" s="3315">
        <f t="shared" ref="K3:K20" si="0">J3*D3</f>
        <v>2050.6499999999996</v>
      </c>
      <c r="L3" s="3324"/>
      <c r="N3" s="3350" t="s">
        <v>3501</v>
      </c>
      <c r="O3" s="3350" t="s">
        <v>3506</v>
      </c>
      <c r="P3" s="3350" t="s">
        <v>3502</v>
      </c>
    </row>
    <row r="4" spans="1:17" ht="16.5">
      <c r="A4" s="3490"/>
      <c r="B4" s="3323">
        <v>1</v>
      </c>
      <c r="C4" s="3315" t="s">
        <v>3403</v>
      </c>
      <c r="D4" s="3315">
        <v>690.09</v>
      </c>
      <c r="E4" s="3315">
        <v>513.54</v>
      </c>
      <c r="F4" s="3315" t="s">
        <v>3340</v>
      </c>
      <c r="G4" s="3315" t="s">
        <v>3467</v>
      </c>
      <c r="H4" s="3315" t="s">
        <v>3468</v>
      </c>
      <c r="I4" s="3315"/>
      <c r="J4" s="3315" t="s">
        <v>3469</v>
      </c>
      <c r="K4" s="3315">
        <f t="shared" si="0"/>
        <v>2070.27</v>
      </c>
      <c r="L4" s="3324"/>
      <c r="N4" s="3350" t="s">
        <v>3501</v>
      </c>
      <c r="P4" s="3350" t="s">
        <v>3503</v>
      </c>
    </row>
    <row r="5" spans="1:17" ht="16.5">
      <c r="A5" s="3490"/>
      <c r="B5" s="3323">
        <v>1</v>
      </c>
      <c r="C5" s="3315" t="s">
        <v>3404</v>
      </c>
      <c r="D5" s="3315">
        <v>739.52</v>
      </c>
      <c r="E5" s="3315">
        <v>508.08</v>
      </c>
      <c r="F5" s="3315" t="s">
        <v>3470</v>
      </c>
      <c r="G5" s="3315" t="s">
        <v>3467</v>
      </c>
      <c r="H5" s="3315" t="s">
        <v>3468</v>
      </c>
      <c r="I5" s="3315"/>
      <c r="J5" s="3316">
        <v>1.85</v>
      </c>
      <c r="K5" s="3315">
        <f t="shared" si="0"/>
        <v>1368.1120000000001</v>
      </c>
      <c r="L5" s="3324"/>
    </row>
    <row r="6" spans="1:17" ht="16.5">
      <c r="A6" s="3490"/>
      <c r="B6" s="3323">
        <v>1</v>
      </c>
      <c r="C6" s="3315" t="s">
        <v>3405</v>
      </c>
      <c r="D6" s="3315">
        <v>740.24</v>
      </c>
      <c r="E6" s="3315">
        <v>550.86</v>
      </c>
      <c r="F6" s="3315" t="s">
        <v>3470</v>
      </c>
      <c r="G6" s="3315" t="s">
        <v>3467</v>
      </c>
      <c r="H6" s="3315" t="s">
        <v>3468</v>
      </c>
      <c r="I6" s="3315"/>
      <c r="J6" s="3316">
        <v>1.85</v>
      </c>
      <c r="K6" s="3315">
        <f t="shared" si="0"/>
        <v>1369.4440000000002</v>
      </c>
      <c r="L6" s="3324"/>
    </row>
    <row r="7" spans="1:17" ht="16.5">
      <c r="A7" s="3490"/>
      <c r="B7" s="3323">
        <v>1</v>
      </c>
      <c r="C7" s="3315" t="s">
        <v>3406</v>
      </c>
      <c r="D7" s="3315">
        <v>739.8</v>
      </c>
      <c r="E7" s="3315">
        <v>508.27</v>
      </c>
      <c r="F7" s="3315" t="s">
        <v>3470</v>
      </c>
      <c r="G7" s="3315" t="s">
        <v>3467</v>
      </c>
      <c r="H7" s="3315" t="s">
        <v>3468</v>
      </c>
      <c r="I7" s="3315"/>
      <c r="J7" s="3316">
        <v>1.85</v>
      </c>
      <c r="K7" s="3315">
        <f t="shared" si="0"/>
        <v>1368.6299999999999</v>
      </c>
      <c r="L7" s="3324"/>
    </row>
    <row r="8" spans="1:17" ht="16.5">
      <c r="A8" s="3490"/>
      <c r="B8" s="3323">
        <v>1</v>
      </c>
      <c r="C8" s="3315" t="s">
        <v>3407</v>
      </c>
      <c r="D8" s="3315">
        <v>740.24</v>
      </c>
      <c r="E8" s="3315">
        <v>550.86</v>
      </c>
      <c r="F8" s="3315" t="s">
        <v>3470</v>
      </c>
      <c r="G8" s="3315" t="s">
        <v>3467</v>
      </c>
      <c r="H8" s="3315" t="s">
        <v>3468</v>
      </c>
      <c r="I8" s="3315"/>
      <c r="J8" s="3316">
        <v>1.85</v>
      </c>
      <c r="K8" s="3315">
        <f t="shared" si="0"/>
        <v>1369.4440000000002</v>
      </c>
      <c r="L8" s="3324"/>
    </row>
    <row r="9" spans="1:17" ht="16.5">
      <c r="A9" s="3490"/>
      <c r="B9" s="3323">
        <v>1</v>
      </c>
      <c r="C9" s="3315" t="s">
        <v>3408</v>
      </c>
      <c r="D9" s="3315">
        <v>815.05</v>
      </c>
      <c r="E9" s="3315">
        <v>606.53</v>
      </c>
      <c r="F9" s="3315" t="s">
        <v>3470</v>
      </c>
      <c r="G9" s="3315" t="s">
        <v>3467</v>
      </c>
      <c r="H9" s="3315" t="s">
        <v>3468</v>
      </c>
      <c r="I9" s="3315"/>
      <c r="J9" s="3316">
        <v>1.85</v>
      </c>
      <c r="K9" s="3315">
        <f t="shared" si="0"/>
        <v>1507.8425</v>
      </c>
      <c r="L9" s="3324"/>
    </row>
    <row r="10" spans="1:17" ht="16.5">
      <c r="A10" s="3490"/>
      <c r="B10" s="3323">
        <v>1</v>
      </c>
      <c r="C10" s="3315" t="s">
        <v>3409</v>
      </c>
      <c r="D10" s="3315">
        <v>740.24</v>
      </c>
      <c r="E10" s="3315">
        <v>550.86</v>
      </c>
      <c r="F10" s="3315" t="s">
        <v>3470</v>
      </c>
      <c r="G10" s="3315" t="s">
        <v>3467</v>
      </c>
      <c r="H10" s="3315" t="s">
        <v>3468</v>
      </c>
      <c r="I10" s="3315"/>
      <c r="J10" s="3316">
        <v>1.85</v>
      </c>
      <c r="K10" s="3315">
        <f t="shared" si="0"/>
        <v>1369.4440000000002</v>
      </c>
      <c r="L10" s="3324"/>
    </row>
    <row r="11" spans="1:17" ht="16.5">
      <c r="A11" s="3490"/>
      <c r="B11" s="3323">
        <v>1</v>
      </c>
      <c r="C11" s="3315" t="s">
        <v>3410</v>
      </c>
      <c r="D11" s="3315">
        <v>815.05</v>
      </c>
      <c r="E11" s="3315">
        <v>606.53</v>
      </c>
      <c r="F11" s="3315" t="s">
        <v>3470</v>
      </c>
      <c r="G11" s="3315" t="s">
        <v>3467</v>
      </c>
      <c r="H11" s="3315" t="s">
        <v>3468</v>
      </c>
      <c r="I11" s="3315"/>
      <c r="J11" s="3316">
        <v>1.85</v>
      </c>
      <c r="K11" s="3315">
        <f t="shared" si="0"/>
        <v>1507.8425</v>
      </c>
      <c r="L11" s="3324"/>
    </row>
    <row r="12" spans="1:17" ht="16.5">
      <c r="A12" s="3490"/>
      <c r="B12" s="3323">
        <v>1</v>
      </c>
      <c r="C12" s="3315" t="s">
        <v>3411</v>
      </c>
      <c r="D12" s="3315">
        <v>740.24</v>
      </c>
      <c r="E12" s="3315">
        <v>550.86</v>
      </c>
      <c r="F12" s="3315" t="s">
        <v>3470</v>
      </c>
      <c r="G12" s="3315" t="s">
        <v>3467</v>
      </c>
      <c r="H12" s="3315" t="s">
        <v>3468</v>
      </c>
      <c r="I12" s="3315"/>
      <c r="J12" s="3316">
        <v>1.85</v>
      </c>
      <c r="K12" s="3315">
        <f t="shared" si="0"/>
        <v>1369.4440000000002</v>
      </c>
      <c r="L12" s="3324"/>
    </row>
    <row r="13" spans="1:17" ht="16.5">
      <c r="A13" s="3490"/>
      <c r="B13" s="3323">
        <v>1</v>
      </c>
      <c r="C13" s="3315" t="s">
        <v>3412</v>
      </c>
      <c r="D13" s="3315">
        <v>815.05</v>
      </c>
      <c r="E13" s="3315">
        <v>606.53</v>
      </c>
      <c r="F13" s="3315" t="s">
        <v>3470</v>
      </c>
      <c r="G13" s="3315" t="s">
        <v>3467</v>
      </c>
      <c r="H13" s="3315" t="s">
        <v>3468</v>
      </c>
      <c r="I13" s="3315"/>
      <c r="J13" s="3316">
        <v>1.85</v>
      </c>
      <c r="K13" s="3315">
        <f t="shared" si="0"/>
        <v>1507.8425</v>
      </c>
      <c r="L13" s="3324"/>
    </row>
    <row r="14" spans="1:17" ht="16.5">
      <c r="A14" s="3490"/>
      <c r="B14" s="3323">
        <v>1</v>
      </c>
      <c r="C14" s="3315" t="s">
        <v>3413</v>
      </c>
      <c r="D14" s="3315">
        <v>740.24</v>
      </c>
      <c r="E14" s="3315">
        <v>550.86</v>
      </c>
      <c r="F14" s="3315" t="s">
        <v>3470</v>
      </c>
      <c r="G14" s="3315" t="s">
        <v>3467</v>
      </c>
      <c r="H14" s="3315" t="s">
        <v>3468</v>
      </c>
      <c r="I14" s="3315"/>
      <c r="J14" s="3316">
        <v>1.85</v>
      </c>
      <c r="K14" s="3315">
        <f t="shared" si="0"/>
        <v>1369.4440000000002</v>
      </c>
      <c r="L14" s="3324"/>
    </row>
    <row r="15" spans="1:17" ht="16.5">
      <c r="A15" s="3490"/>
      <c r="B15" s="3323">
        <v>1</v>
      </c>
      <c r="C15" s="3315" t="s">
        <v>3414</v>
      </c>
      <c r="D15" s="3315">
        <v>815.05</v>
      </c>
      <c r="E15" s="3315">
        <v>606.53</v>
      </c>
      <c r="F15" s="3315" t="s">
        <v>3470</v>
      </c>
      <c r="G15" s="3315" t="s">
        <v>3467</v>
      </c>
      <c r="H15" s="3315" t="s">
        <v>3468</v>
      </c>
      <c r="I15" s="3315"/>
      <c r="J15" s="3316">
        <v>1.85</v>
      </c>
      <c r="K15" s="3315">
        <f t="shared" si="0"/>
        <v>1507.8425</v>
      </c>
      <c r="L15" s="3324"/>
    </row>
    <row r="16" spans="1:17" ht="16.5">
      <c r="A16" s="3490"/>
      <c r="B16" s="3323">
        <v>1</v>
      </c>
      <c r="C16" s="3315" t="s">
        <v>3415</v>
      </c>
      <c r="D16" s="3315">
        <v>740.24</v>
      </c>
      <c r="E16" s="3315">
        <v>550.86</v>
      </c>
      <c r="F16" s="3315" t="s">
        <v>3470</v>
      </c>
      <c r="G16" s="3315" t="s">
        <v>3467</v>
      </c>
      <c r="H16" s="3315" t="s">
        <v>3468</v>
      </c>
      <c r="I16" s="3315"/>
      <c r="J16" s="3316">
        <v>1.85</v>
      </c>
      <c r="K16" s="3315">
        <f t="shared" si="0"/>
        <v>1369.4440000000002</v>
      </c>
      <c r="L16" s="3324"/>
    </row>
    <row r="17" spans="1:12" ht="16.5">
      <c r="A17" s="3490"/>
      <c r="B17" s="3323">
        <v>1</v>
      </c>
      <c r="C17" s="3315" t="s">
        <v>3416</v>
      </c>
      <c r="D17" s="3315">
        <v>815.05</v>
      </c>
      <c r="E17" s="3315">
        <v>606.53</v>
      </c>
      <c r="F17" s="3315" t="s">
        <v>3470</v>
      </c>
      <c r="G17" s="3315" t="s">
        <v>3467</v>
      </c>
      <c r="H17" s="3315" t="s">
        <v>3468</v>
      </c>
      <c r="I17" s="3315"/>
      <c r="J17" s="3316">
        <v>1.85</v>
      </c>
      <c r="K17" s="3315">
        <f t="shared" si="0"/>
        <v>1507.8425</v>
      </c>
      <c r="L17" s="3324"/>
    </row>
    <row r="18" spans="1:12" ht="16.5">
      <c r="A18" s="3490"/>
      <c r="B18" s="3323">
        <v>1</v>
      </c>
      <c r="C18" s="3315" t="s">
        <v>3417</v>
      </c>
      <c r="D18" s="3315">
        <v>740.24</v>
      </c>
      <c r="E18" s="3315">
        <v>550.86</v>
      </c>
      <c r="F18" s="3315" t="s">
        <v>3470</v>
      </c>
      <c r="G18" s="3315" t="s">
        <v>3467</v>
      </c>
      <c r="H18" s="3315" t="s">
        <v>3468</v>
      </c>
      <c r="I18" s="3315"/>
      <c r="J18" s="3316">
        <v>1.85</v>
      </c>
      <c r="K18" s="3315">
        <f t="shared" si="0"/>
        <v>1369.4440000000002</v>
      </c>
      <c r="L18" s="3324"/>
    </row>
    <row r="19" spans="1:12" ht="16.5">
      <c r="A19" s="3490"/>
      <c r="B19" s="3323">
        <v>1</v>
      </c>
      <c r="C19" s="3315" t="s">
        <v>3418</v>
      </c>
      <c r="D19" s="3315">
        <v>815.05</v>
      </c>
      <c r="E19" s="3315">
        <v>606.53</v>
      </c>
      <c r="F19" s="3315" t="s">
        <v>3470</v>
      </c>
      <c r="G19" s="3315" t="s">
        <v>3467</v>
      </c>
      <c r="H19" s="3315" t="s">
        <v>3468</v>
      </c>
      <c r="I19" s="3315"/>
      <c r="J19" s="3316">
        <v>1.85</v>
      </c>
      <c r="K19" s="3315">
        <f t="shared" si="0"/>
        <v>1507.8425</v>
      </c>
      <c r="L19" s="3324"/>
    </row>
    <row r="20" spans="1:12" ht="16.5">
      <c r="A20" s="3490"/>
      <c r="B20" s="3323">
        <v>1</v>
      </c>
      <c r="C20" s="3315" t="s">
        <v>3419</v>
      </c>
      <c r="D20" s="3315">
        <v>740.24</v>
      </c>
      <c r="E20" s="3315">
        <v>550.86</v>
      </c>
      <c r="F20" s="3315" t="s">
        <v>3470</v>
      </c>
      <c r="G20" s="3315" t="s">
        <v>3467</v>
      </c>
      <c r="H20" s="3315" t="s">
        <v>3468</v>
      </c>
      <c r="I20" s="3315"/>
      <c r="J20" s="3316">
        <v>1.85</v>
      </c>
      <c r="K20" s="3315">
        <f t="shared" si="0"/>
        <v>1369.4440000000002</v>
      </c>
      <c r="L20" s="3324"/>
    </row>
    <row r="21" spans="1:12" ht="16.5">
      <c r="A21" s="3490"/>
      <c r="B21" s="3325"/>
      <c r="C21" s="3326" t="s">
        <v>3200</v>
      </c>
      <c r="D21" s="3326">
        <f t="shared" ref="D21:E21" si="1">SUM(D3:D20)</f>
        <v>13665.179999999997</v>
      </c>
      <c r="E21" s="3326">
        <f t="shared" si="1"/>
        <v>10084.620000000001</v>
      </c>
      <c r="F21" s="3326"/>
      <c r="G21" s="3326"/>
      <c r="H21" s="3326" t="s">
        <v>3468</v>
      </c>
      <c r="I21" s="3326"/>
      <c r="J21" s="3326"/>
      <c r="K21" s="3326">
        <f>SUM(K3:K20)</f>
        <v>26860.268999999993</v>
      </c>
      <c r="L21" s="3327">
        <f>K21/D21</f>
        <v>1.9655993554420799</v>
      </c>
    </row>
    <row r="22" spans="1:12" ht="16.5">
      <c r="A22" s="3490"/>
      <c r="B22" s="3328">
        <v>2</v>
      </c>
      <c r="C22" s="3315" t="s">
        <v>3402</v>
      </c>
      <c r="D22" s="3315">
        <v>696.9</v>
      </c>
      <c r="E22" s="3315">
        <v>516.63</v>
      </c>
      <c r="F22" s="3315" t="s">
        <v>3340</v>
      </c>
      <c r="G22" s="3315" t="s">
        <v>3467</v>
      </c>
      <c r="H22" s="3315" t="s">
        <v>3468</v>
      </c>
      <c r="I22" s="3315"/>
      <c r="J22" s="3315" t="s">
        <v>3469</v>
      </c>
      <c r="K22" s="3315">
        <f t="shared" ref="K22:K39" si="2">J22*D22</f>
        <v>2090.6999999999998</v>
      </c>
      <c r="L22" s="3324"/>
    </row>
    <row r="23" spans="1:12" ht="16.5">
      <c r="A23" s="3490"/>
      <c r="B23" s="3328">
        <v>2</v>
      </c>
      <c r="C23" s="3315" t="s">
        <v>3403</v>
      </c>
      <c r="D23" s="3315">
        <v>707.28</v>
      </c>
      <c r="E23" s="3315">
        <v>524.33000000000004</v>
      </c>
      <c r="F23" s="3315" t="s">
        <v>3340</v>
      </c>
      <c r="G23" s="3315" t="s">
        <v>3467</v>
      </c>
      <c r="H23" s="3315" t="s">
        <v>3468</v>
      </c>
      <c r="I23" s="3315"/>
      <c r="J23" s="3315" t="s">
        <v>3469</v>
      </c>
      <c r="K23" s="3315">
        <f t="shared" si="2"/>
        <v>2121.84</v>
      </c>
      <c r="L23" s="3324"/>
    </row>
    <row r="24" spans="1:12" ht="16.5">
      <c r="A24" s="3490"/>
      <c r="B24" s="3328">
        <v>2</v>
      </c>
      <c r="C24" s="3315" t="s">
        <v>3404</v>
      </c>
      <c r="D24" s="3315">
        <v>743.54</v>
      </c>
      <c r="E24" s="3315">
        <v>551.21</v>
      </c>
      <c r="F24" s="3315" t="s">
        <v>3470</v>
      </c>
      <c r="G24" s="3315" t="s">
        <v>3467</v>
      </c>
      <c r="H24" s="3315" t="s">
        <v>3468</v>
      </c>
      <c r="I24" s="3315"/>
      <c r="J24" s="3316">
        <v>1.85</v>
      </c>
      <c r="K24" s="3315">
        <f t="shared" si="2"/>
        <v>1375.549</v>
      </c>
      <c r="L24" s="3324"/>
    </row>
    <row r="25" spans="1:12" ht="16.5">
      <c r="A25" s="3490"/>
      <c r="B25" s="3328">
        <v>2</v>
      </c>
      <c r="C25" s="3315" t="s">
        <v>3405</v>
      </c>
      <c r="D25" s="3315">
        <v>735.69</v>
      </c>
      <c r="E25" s="3315">
        <v>503.74</v>
      </c>
      <c r="F25" s="3315" t="s">
        <v>3470</v>
      </c>
      <c r="G25" s="3315" t="s">
        <v>3467</v>
      </c>
      <c r="H25" s="3315" t="s">
        <v>3468</v>
      </c>
      <c r="I25" s="3315"/>
      <c r="J25" s="3316">
        <v>1.85</v>
      </c>
      <c r="K25" s="3315">
        <f t="shared" si="2"/>
        <v>1361.0265000000002</v>
      </c>
      <c r="L25" s="3324"/>
    </row>
    <row r="26" spans="1:12" ht="16.5">
      <c r="A26" s="3490"/>
      <c r="B26" s="3328">
        <v>2</v>
      </c>
      <c r="C26" s="3315" t="s">
        <v>3406</v>
      </c>
      <c r="D26" s="3315">
        <v>743.54</v>
      </c>
      <c r="E26" s="3315">
        <v>551.21</v>
      </c>
      <c r="F26" s="3315" t="s">
        <v>3470</v>
      </c>
      <c r="G26" s="3315" t="s">
        <v>3467</v>
      </c>
      <c r="H26" s="3315" t="s">
        <v>3468</v>
      </c>
      <c r="I26" s="3315"/>
      <c r="J26" s="3316">
        <v>1.85</v>
      </c>
      <c r="K26" s="3315">
        <f t="shared" si="2"/>
        <v>1375.549</v>
      </c>
      <c r="L26" s="3324"/>
    </row>
    <row r="27" spans="1:12" ht="16.5">
      <c r="A27" s="3490"/>
      <c r="B27" s="3328">
        <v>2</v>
      </c>
      <c r="C27" s="3315" t="s">
        <v>3407</v>
      </c>
      <c r="D27" s="3315">
        <v>750.74</v>
      </c>
      <c r="E27" s="3315">
        <v>514.04999999999995</v>
      </c>
      <c r="F27" s="3315" t="s">
        <v>3470</v>
      </c>
      <c r="G27" s="3315" t="s">
        <v>3467</v>
      </c>
      <c r="H27" s="3315" t="s">
        <v>3468</v>
      </c>
      <c r="I27" s="3315"/>
      <c r="J27" s="3316">
        <v>1.85</v>
      </c>
      <c r="K27" s="3315">
        <f t="shared" si="2"/>
        <v>1388.8690000000001</v>
      </c>
      <c r="L27" s="3324"/>
    </row>
    <row r="28" spans="1:12" ht="16.5">
      <c r="A28" s="3490"/>
      <c r="B28" s="3328">
        <v>2</v>
      </c>
      <c r="C28" s="3315" t="s">
        <v>3408</v>
      </c>
      <c r="D28" s="3315">
        <v>743.26</v>
      </c>
      <c r="E28" s="3315">
        <v>551</v>
      </c>
      <c r="F28" s="3315" t="s">
        <v>3470</v>
      </c>
      <c r="G28" s="3315" t="s">
        <v>3467</v>
      </c>
      <c r="H28" s="3315" t="s">
        <v>3468</v>
      </c>
      <c r="I28" s="3315"/>
      <c r="J28" s="3316">
        <v>1.85</v>
      </c>
      <c r="K28" s="3315">
        <f t="shared" si="2"/>
        <v>1375.0309999999999</v>
      </c>
      <c r="L28" s="3324"/>
    </row>
    <row r="29" spans="1:12" ht="16.5">
      <c r="A29" s="3490"/>
      <c r="B29" s="3328">
        <v>2</v>
      </c>
      <c r="C29" s="3315" t="s">
        <v>3409</v>
      </c>
      <c r="D29" s="3315">
        <v>807.75</v>
      </c>
      <c r="E29" s="3315">
        <v>598.80999999999995</v>
      </c>
      <c r="F29" s="3315" t="s">
        <v>3470</v>
      </c>
      <c r="G29" s="3315" t="s">
        <v>3467</v>
      </c>
      <c r="H29" s="3315" t="s">
        <v>3468</v>
      </c>
      <c r="I29" s="3315"/>
      <c r="J29" s="3316">
        <v>1.85</v>
      </c>
      <c r="K29" s="3315">
        <f t="shared" si="2"/>
        <v>1494.3375000000001</v>
      </c>
      <c r="L29" s="3324"/>
    </row>
    <row r="30" spans="1:12" ht="16.5">
      <c r="A30" s="3490"/>
      <c r="B30" s="3328">
        <v>2</v>
      </c>
      <c r="C30" s="3315" t="s">
        <v>3410</v>
      </c>
      <c r="D30" s="3315">
        <v>743.26</v>
      </c>
      <c r="E30" s="3315">
        <v>551</v>
      </c>
      <c r="F30" s="3315" t="s">
        <v>3470</v>
      </c>
      <c r="G30" s="3315" t="s">
        <v>3467</v>
      </c>
      <c r="H30" s="3315" t="s">
        <v>3468</v>
      </c>
      <c r="I30" s="3315"/>
      <c r="J30" s="3316">
        <v>1.85</v>
      </c>
      <c r="K30" s="3315">
        <f t="shared" si="2"/>
        <v>1375.0309999999999</v>
      </c>
      <c r="L30" s="3324"/>
    </row>
    <row r="31" spans="1:12" ht="16.5">
      <c r="A31" s="3490"/>
      <c r="B31" s="3328">
        <v>2</v>
      </c>
      <c r="C31" s="3315" t="s">
        <v>3411</v>
      </c>
      <c r="D31" s="3315">
        <v>807.75</v>
      </c>
      <c r="E31" s="3315">
        <v>598.80999999999995</v>
      </c>
      <c r="F31" s="3315" t="s">
        <v>3470</v>
      </c>
      <c r="G31" s="3315" t="s">
        <v>3467</v>
      </c>
      <c r="H31" s="3315" t="s">
        <v>3468</v>
      </c>
      <c r="I31" s="3315"/>
      <c r="J31" s="3316">
        <v>1.85</v>
      </c>
      <c r="K31" s="3315">
        <f t="shared" si="2"/>
        <v>1494.3375000000001</v>
      </c>
      <c r="L31" s="3324"/>
    </row>
    <row r="32" spans="1:12" ht="16.5">
      <c r="A32" s="3490"/>
      <c r="B32" s="3328">
        <v>2</v>
      </c>
      <c r="C32" s="3315" t="s">
        <v>3412</v>
      </c>
      <c r="D32" s="3315">
        <v>743.26</v>
      </c>
      <c r="E32" s="3315">
        <v>551</v>
      </c>
      <c r="F32" s="3315" t="s">
        <v>3470</v>
      </c>
      <c r="G32" s="3315" t="s">
        <v>3467</v>
      </c>
      <c r="H32" s="3315" t="s">
        <v>3468</v>
      </c>
      <c r="I32" s="3315"/>
      <c r="J32" s="3316">
        <v>1.85</v>
      </c>
      <c r="K32" s="3315">
        <f t="shared" si="2"/>
        <v>1375.0309999999999</v>
      </c>
      <c r="L32" s="3324"/>
    </row>
    <row r="33" spans="1:12" ht="16.5">
      <c r="A33" s="3490"/>
      <c r="B33" s="3328">
        <v>2</v>
      </c>
      <c r="C33" s="3315" t="s">
        <v>3413</v>
      </c>
      <c r="D33" s="3315">
        <v>807.75</v>
      </c>
      <c r="E33" s="3315">
        <v>598.80999999999995</v>
      </c>
      <c r="F33" s="3315" t="s">
        <v>3470</v>
      </c>
      <c r="G33" s="3315" t="s">
        <v>3467</v>
      </c>
      <c r="H33" s="3315" t="s">
        <v>3468</v>
      </c>
      <c r="I33" s="3315"/>
      <c r="J33" s="3316">
        <v>1.85</v>
      </c>
      <c r="K33" s="3315">
        <f t="shared" si="2"/>
        <v>1494.3375000000001</v>
      </c>
      <c r="L33" s="3324"/>
    </row>
    <row r="34" spans="1:12" ht="16.5">
      <c r="A34" s="3490"/>
      <c r="B34" s="3328">
        <v>2</v>
      </c>
      <c r="C34" s="3315" t="s">
        <v>3414</v>
      </c>
      <c r="D34" s="3315">
        <v>743.26</v>
      </c>
      <c r="E34" s="3315">
        <v>551</v>
      </c>
      <c r="F34" s="3315" t="s">
        <v>3470</v>
      </c>
      <c r="G34" s="3315" t="s">
        <v>3467</v>
      </c>
      <c r="H34" s="3315" t="s">
        <v>3468</v>
      </c>
      <c r="I34" s="3315"/>
      <c r="J34" s="3316">
        <v>1.85</v>
      </c>
      <c r="K34" s="3315">
        <f t="shared" si="2"/>
        <v>1375.0309999999999</v>
      </c>
      <c r="L34" s="3324"/>
    </row>
    <row r="35" spans="1:12" ht="16.5">
      <c r="A35" s="3490"/>
      <c r="B35" s="3328">
        <v>2</v>
      </c>
      <c r="C35" s="3315" t="s">
        <v>3415</v>
      </c>
      <c r="D35" s="3315">
        <v>807.75</v>
      </c>
      <c r="E35" s="3315">
        <v>598.80999999999995</v>
      </c>
      <c r="F35" s="3315" t="s">
        <v>3470</v>
      </c>
      <c r="G35" s="3315" t="s">
        <v>3467</v>
      </c>
      <c r="H35" s="3315" t="s">
        <v>3468</v>
      </c>
      <c r="I35" s="3315"/>
      <c r="J35" s="3316">
        <v>1.85</v>
      </c>
      <c r="K35" s="3315">
        <f t="shared" si="2"/>
        <v>1494.3375000000001</v>
      </c>
      <c r="L35" s="3324"/>
    </row>
    <row r="36" spans="1:12" ht="16.5">
      <c r="A36" s="3490"/>
      <c r="B36" s="3328">
        <v>2</v>
      </c>
      <c r="C36" s="3315" t="s">
        <v>3416</v>
      </c>
      <c r="D36" s="3315">
        <v>743.26</v>
      </c>
      <c r="E36" s="3315">
        <v>551</v>
      </c>
      <c r="F36" s="3315" t="s">
        <v>3470</v>
      </c>
      <c r="G36" s="3315" t="s">
        <v>3467</v>
      </c>
      <c r="H36" s="3315" t="s">
        <v>3468</v>
      </c>
      <c r="I36" s="3315"/>
      <c r="J36" s="3316">
        <v>1.85</v>
      </c>
      <c r="K36" s="3315">
        <f t="shared" si="2"/>
        <v>1375.0309999999999</v>
      </c>
      <c r="L36" s="3324"/>
    </row>
    <row r="37" spans="1:12" ht="16.5">
      <c r="A37" s="3490"/>
      <c r="B37" s="3328">
        <v>2</v>
      </c>
      <c r="C37" s="3315" t="s">
        <v>3417</v>
      </c>
      <c r="D37" s="3315">
        <v>807.75</v>
      </c>
      <c r="E37" s="3315">
        <v>598.80999999999995</v>
      </c>
      <c r="F37" s="3315" t="s">
        <v>3470</v>
      </c>
      <c r="G37" s="3315" t="s">
        <v>3467</v>
      </c>
      <c r="H37" s="3315" t="s">
        <v>3468</v>
      </c>
      <c r="I37" s="3315"/>
      <c r="J37" s="3316">
        <v>1.85</v>
      </c>
      <c r="K37" s="3315">
        <f t="shared" si="2"/>
        <v>1494.3375000000001</v>
      </c>
      <c r="L37" s="3324"/>
    </row>
    <row r="38" spans="1:12" ht="16.5">
      <c r="A38" s="3490"/>
      <c r="B38" s="3328">
        <v>2</v>
      </c>
      <c r="C38" s="3315" t="s">
        <v>3418</v>
      </c>
      <c r="D38" s="3315">
        <v>743.26</v>
      </c>
      <c r="E38" s="3315">
        <v>551</v>
      </c>
      <c r="F38" s="3315" t="s">
        <v>3470</v>
      </c>
      <c r="G38" s="3315" t="s">
        <v>3467</v>
      </c>
      <c r="H38" s="3315" t="s">
        <v>3468</v>
      </c>
      <c r="I38" s="3315"/>
      <c r="J38" s="3316">
        <v>1.85</v>
      </c>
      <c r="K38" s="3315">
        <f t="shared" si="2"/>
        <v>1375.0309999999999</v>
      </c>
      <c r="L38" s="3324"/>
    </row>
    <row r="39" spans="1:12" ht="16.5">
      <c r="A39" s="3490"/>
      <c r="B39" s="3328">
        <v>2</v>
      </c>
      <c r="C39" s="3315" t="s">
        <v>3419</v>
      </c>
      <c r="D39" s="3315">
        <v>807.75</v>
      </c>
      <c r="E39" s="3315">
        <v>598.80999999999995</v>
      </c>
      <c r="F39" s="3315" t="s">
        <v>3470</v>
      </c>
      <c r="G39" s="3315" t="s">
        <v>3467</v>
      </c>
      <c r="H39" s="3315" t="s">
        <v>3468</v>
      </c>
      <c r="I39" s="3315"/>
      <c r="J39" s="3316">
        <v>1.85</v>
      </c>
      <c r="K39" s="3315">
        <f t="shared" si="2"/>
        <v>1494.3375000000001</v>
      </c>
      <c r="L39" s="3324"/>
    </row>
    <row r="40" spans="1:12" ht="16.5">
      <c r="A40" s="3490"/>
      <c r="B40" s="3329"/>
      <c r="C40" s="3326" t="s">
        <v>3200</v>
      </c>
      <c r="D40" s="3326">
        <f t="shared" ref="D40:E40" si="3">SUM(D22:D39)</f>
        <v>13683.75</v>
      </c>
      <c r="E40" s="3326">
        <f t="shared" si="3"/>
        <v>10060.029999999997</v>
      </c>
      <c r="F40" s="3326"/>
      <c r="G40" s="3326"/>
      <c r="H40" s="3326" t="s">
        <v>3468</v>
      </c>
      <c r="I40" s="3326"/>
      <c r="J40" s="3326"/>
      <c r="K40" s="3326">
        <f>SUM(K22:K39)</f>
        <v>26929.744500000004</v>
      </c>
      <c r="L40" s="3327">
        <f>K40/D40</f>
        <v>1.9680090983831189</v>
      </c>
    </row>
    <row r="41" spans="1:12" ht="16.5">
      <c r="A41" s="3490"/>
      <c r="B41" s="3328">
        <v>3</v>
      </c>
      <c r="C41" s="3315" t="s">
        <v>3402</v>
      </c>
      <c r="D41" s="3315">
        <v>647.16999999999996</v>
      </c>
      <c r="E41" s="3315">
        <v>517.82000000000005</v>
      </c>
      <c r="F41" s="3315" t="s">
        <v>3340</v>
      </c>
      <c r="G41" s="3315" t="s">
        <v>3467</v>
      </c>
      <c r="H41" s="3315" t="s">
        <v>3468</v>
      </c>
      <c r="I41" s="3315"/>
      <c r="J41" s="3315" t="s">
        <v>3471</v>
      </c>
      <c r="K41" s="3315">
        <f t="shared" ref="K41:K47" si="4">J41*D41</f>
        <v>2200.3779999999997</v>
      </c>
      <c r="L41" s="3324"/>
    </row>
    <row r="42" spans="1:12" ht="16.5">
      <c r="A42" s="3490"/>
      <c r="B42" s="3328">
        <v>3</v>
      </c>
      <c r="C42" s="3315" t="s">
        <v>3403</v>
      </c>
      <c r="D42" s="3315">
        <v>645.08000000000004</v>
      </c>
      <c r="E42" s="3315">
        <v>516.15</v>
      </c>
      <c r="F42" s="3315" t="s">
        <v>3340</v>
      </c>
      <c r="G42" s="3315" t="s">
        <v>3467</v>
      </c>
      <c r="H42" s="3315" t="s">
        <v>3468</v>
      </c>
      <c r="I42" s="3315"/>
      <c r="J42" s="3315" t="s">
        <v>3471</v>
      </c>
      <c r="K42" s="3315">
        <f t="shared" si="4"/>
        <v>2193.2719999999999</v>
      </c>
      <c r="L42" s="3324"/>
    </row>
    <row r="43" spans="1:12" ht="16.5">
      <c r="A43" s="3490"/>
      <c r="B43" s="3328">
        <v>3</v>
      </c>
      <c r="C43" s="3315" t="s">
        <v>3420</v>
      </c>
      <c r="D43" s="3315">
        <v>645.1</v>
      </c>
      <c r="E43" s="3315">
        <v>516.16</v>
      </c>
      <c r="F43" s="3315" t="s">
        <v>3340</v>
      </c>
      <c r="G43" s="3315" t="s">
        <v>3467</v>
      </c>
      <c r="H43" s="3315" t="s">
        <v>3468</v>
      </c>
      <c r="I43" s="3315"/>
      <c r="J43" s="3315" t="s">
        <v>3471</v>
      </c>
      <c r="K43" s="3315">
        <f t="shared" si="4"/>
        <v>2193.34</v>
      </c>
      <c r="L43" s="3324"/>
    </row>
    <row r="44" spans="1:12" ht="16.5">
      <c r="A44" s="3490"/>
      <c r="B44" s="3328">
        <v>3</v>
      </c>
      <c r="C44" s="3315" t="s">
        <v>3421</v>
      </c>
      <c r="D44" s="3315">
        <v>654.08000000000004</v>
      </c>
      <c r="E44" s="3315">
        <v>523.35</v>
      </c>
      <c r="F44" s="3315" t="s">
        <v>3340</v>
      </c>
      <c r="G44" s="3315" t="s">
        <v>3467</v>
      </c>
      <c r="H44" s="3315" t="s">
        <v>3468</v>
      </c>
      <c r="I44" s="3315"/>
      <c r="J44" s="3315" t="s">
        <v>3471</v>
      </c>
      <c r="K44" s="3315">
        <f t="shared" si="4"/>
        <v>2223.8720000000003</v>
      </c>
      <c r="L44" s="3324"/>
    </row>
    <row r="45" spans="1:12" ht="16.5">
      <c r="A45" s="3490"/>
      <c r="B45" s="3328">
        <v>3</v>
      </c>
      <c r="C45" s="3315" t="s">
        <v>3404</v>
      </c>
      <c r="D45" s="3315">
        <v>882.82</v>
      </c>
      <c r="E45" s="3315">
        <v>648.1</v>
      </c>
      <c r="F45" s="3315" t="s">
        <v>3340</v>
      </c>
      <c r="G45" s="3315" t="s">
        <v>3467</v>
      </c>
      <c r="H45" s="3315" t="s">
        <v>3468</v>
      </c>
      <c r="I45" s="3315"/>
      <c r="J45" s="3315">
        <v>3.2</v>
      </c>
      <c r="K45" s="3315">
        <f t="shared" si="4"/>
        <v>2825.0240000000003</v>
      </c>
      <c r="L45" s="3324"/>
    </row>
    <row r="46" spans="1:12" ht="16.5">
      <c r="A46" s="3490"/>
      <c r="B46" s="3328">
        <v>3</v>
      </c>
      <c r="C46" s="3315" t="s">
        <v>3405</v>
      </c>
      <c r="D46" s="3315">
        <v>1063.95</v>
      </c>
      <c r="E46" s="3315">
        <v>781.07</v>
      </c>
      <c r="F46" s="3315" t="s">
        <v>3340</v>
      </c>
      <c r="G46" s="3315" t="s">
        <v>3467</v>
      </c>
      <c r="H46" s="3315" t="s">
        <v>3468</v>
      </c>
      <c r="I46" s="3315"/>
      <c r="J46" s="3315">
        <v>3.2</v>
      </c>
      <c r="K46" s="3315">
        <f t="shared" si="4"/>
        <v>3404.6400000000003</v>
      </c>
      <c r="L46" s="3324"/>
    </row>
    <row r="47" spans="1:12" ht="16.5">
      <c r="A47" s="3490"/>
      <c r="B47" s="3328">
        <v>3</v>
      </c>
      <c r="C47" s="3315" t="s">
        <v>3422</v>
      </c>
      <c r="D47" s="3315">
        <v>749.63</v>
      </c>
      <c r="E47" s="3315">
        <v>550.32000000000005</v>
      </c>
      <c r="F47" s="3315" t="s">
        <v>3340</v>
      </c>
      <c r="G47" s="3315" t="s">
        <v>3467</v>
      </c>
      <c r="H47" s="3315" t="s">
        <v>3468</v>
      </c>
      <c r="I47" s="3315"/>
      <c r="J47" s="3315">
        <v>3.2</v>
      </c>
      <c r="K47" s="3315">
        <f t="shared" si="4"/>
        <v>2398.8160000000003</v>
      </c>
      <c r="L47" s="3324"/>
    </row>
    <row r="48" spans="1:12" ht="16.5">
      <c r="A48" s="3490"/>
      <c r="B48" s="3329"/>
      <c r="C48" s="3326" t="s">
        <v>3200</v>
      </c>
      <c r="D48" s="3326">
        <f t="shared" ref="D48" si="5">SUM(D41:D47)</f>
        <v>5287.83</v>
      </c>
      <c r="E48" s="3326">
        <f>SUM(E41:E47)</f>
        <v>4052.9700000000003</v>
      </c>
      <c r="F48" s="3326"/>
      <c r="G48" s="3326"/>
      <c r="H48" s="3326" t="s">
        <v>3468</v>
      </c>
      <c r="I48" s="3326"/>
      <c r="J48" s="3326"/>
      <c r="K48" s="3326">
        <f>SUM(K41:K47)</f>
        <v>17439.342000000001</v>
      </c>
      <c r="L48" s="3327">
        <f>K48/D48</f>
        <v>3.2980148756673344</v>
      </c>
    </row>
    <row r="49" spans="1:12" ht="16.5">
      <c r="A49" s="3490"/>
      <c r="B49" s="3328">
        <v>4</v>
      </c>
      <c r="C49" s="3315" t="s">
        <v>3402</v>
      </c>
      <c r="D49" s="3315">
        <v>676.86</v>
      </c>
      <c r="E49" s="3315">
        <v>505.18</v>
      </c>
      <c r="F49" s="3315" t="s">
        <v>3340</v>
      </c>
      <c r="G49" s="3315" t="s">
        <v>3467</v>
      </c>
      <c r="H49" s="3315" t="s">
        <v>3468</v>
      </c>
      <c r="I49" s="3315"/>
      <c r="J49" s="3315" t="s">
        <v>3469</v>
      </c>
      <c r="K49" s="3315">
        <f t="shared" ref="K49:K66" si="6">J49*D49</f>
        <v>2030.58</v>
      </c>
      <c r="L49" s="3324"/>
    </row>
    <row r="50" spans="1:12" ht="16.5">
      <c r="A50" s="3490"/>
      <c r="B50" s="3328">
        <v>4</v>
      </c>
      <c r="C50" s="3315" t="s">
        <v>3403</v>
      </c>
      <c r="D50" s="3315">
        <v>676.86</v>
      </c>
      <c r="E50" s="3315">
        <v>505.18</v>
      </c>
      <c r="F50" s="3315" t="s">
        <v>3340</v>
      </c>
      <c r="G50" s="3315" t="s">
        <v>3467</v>
      </c>
      <c r="H50" s="3315" t="s">
        <v>3468</v>
      </c>
      <c r="I50" s="3315"/>
      <c r="J50" s="3315" t="s">
        <v>3469</v>
      </c>
      <c r="K50" s="3315">
        <f t="shared" si="6"/>
        <v>2030.58</v>
      </c>
      <c r="L50" s="3324"/>
    </row>
    <row r="51" spans="1:12" ht="16.5">
      <c r="A51" s="3490"/>
      <c r="B51" s="3328">
        <v>4</v>
      </c>
      <c r="C51" s="3315" t="s">
        <v>3404</v>
      </c>
      <c r="D51" s="3315">
        <v>718.35</v>
      </c>
      <c r="E51" s="3315">
        <v>502.39</v>
      </c>
      <c r="F51" s="3315" t="s">
        <v>3470</v>
      </c>
      <c r="G51" s="3315" t="s">
        <v>3467</v>
      </c>
      <c r="H51" s="3315" t="s">
        <v>3468</v>
      </c>
      <c r="I51" s="3315"/>
      <c r="J51" s="3315" t="s">
        <v>3472</v>
      </c>
      <c r="K51" s="3315">
        <f t="shared" si="6"/>
        <v>1328.9475000000002</v>
      </c>
      <c r="L51" s="3324"/>
    </row>
    <row r="52" spans="1:12" ht="16.5">
      <c r="A52" s="3490"/>
      <c r="B52" s="3328">
        <v>4</v>
      </c>
      <c r="C52" s="3315" t="s">
        <v>3405</v>
      </c>
      <c r="D52" s="3315">
        <v>718.35</v>
      </c>
      <c r="E52" s="3315">
        <v>502.39</v>
      </c>
      <c r="F52" s="3315" t="s">
        <v>3470</v>
      </c>
      <c r="G52" s="3315" t="s">
        <v>3467</v>
      </c>
      <c r="H52" s="3315" t="s">
        <v>3468</v>
      </c>
      <c r="I52" s="3315"/>
      <c r="J52" s="3315" t="s">
        <v>3472</v>
      </c>
      <c r="K52" s="3315">
        <f t="shared" si="6"/>
        <v>1328.9475000000002</v>
      </c>
      <c r="L52" s="3324"/>
    </row>
    <row r="53" spans="1:12" ht="16.5">
      <c r="A53" s="3490"/>
      <c r="B53" s="3328">
        <v>4</v>
      </c>
      <c r="C53" s="3315" t="s">
        <v>3406</v>
      </c>
      <c r="D53" s="3315">
        <v>713.76</v>
      </c>
      <c r="E53" s="3315">
        <v>499.18</v>
      </c>
      <c r="F53" s="3315" t="s">
        <v>3470</v>
      </c>
      <c r="G53" s="3315" t="s">
        <v>3467</v>
      </c>
      <c r="H53" s="3315" t="s">
        <v>3468</v>
      </c>
      <c r="I53" s="3315"/>
      <c r="J53" s="3315" t="s">
        <v>3473</v>
      </c>
      <c r="K53" s="3315">
        <f t="shared" si="6"/>
        <v>1320.4560000000001</v>
      </c>
      <c r="L53" s="3324"/>
    </row>
    <row r="54" spans="1:12" ht="16.5">
      <c r="A54" s="3490"/>
      <c r="B54" s="3328">
        <v>4</v>
      </c>
      <c r="C54" s="3315" t="s">
        <v>3407</v>
      </c>
      <c r="D54" s="3315">
        <v>713.76</v>
      </c>
      <c r="E54" s="3315">
        <v>499.18</v>
      </c>
      <c r="F54" s="3315" t="s">
        <v>3470</v>
      </c>
      <c r="G54" s="3315" t="s">
        <v>3467</v>
      </c>
      <c r="H54" s="3315" t="s">
        <v>3468</v>
      </c>
      <c r="I54" s="3315"/>
      <c r="J54" s="3315" t="s">
        <v>3473</v>
      </c>
      <c r="K54" s="3315">
        <f t="shared" si="6"/>
        <v>1320.4560000000001</v>
      </c>
      <c r="L54" s="3324"/>
    </row>
    <row r="55" spans="1:12" ht="16.5">
      <c r="A55" s="3490"/>
      <c r="B55" s="3328">
        <v>4</v>
      </c>
      <c r="C55" s="3315" t="s">
        <v>3408</v>
      </c>
      <c r="D55" s="3315">
        <v>681.82</v>
      </c>
      <c r="E55" s="3315">
        <v>508.88</v>
      </c>
      <c r="F55" s="3315" t="s">
        <v>3470</v>
      </c>
      <c r="G55" s="3315" t="s">
        <v>3467</v>
      </c>
      <c r="H55" s="3315" t="s">
        <v>3468</v>
      </c>
      <c r="I55" s="3315"/>
      <c r="J55" s="3315" t="s">
        <v>3473</v>
      </c>
      <c r="K55" s="3315">
        <f t="shared" si="6"/>
        <v>1261.3670000000002</v>
      </c>
      <c r="L55" s="3324"/>
    </row>
    <row r="56" spans="1:12" ht="16.5">
      <c r="A56" s="3490"/>
      <c r="B56" s="3328">
        <v>4</v>
      </c>
      <c r="C56" s="3315" t="s">
        <v>3409</v>
      </c>
      <c r="D56" s="3315">
        <v>681.82</v>
      </c>
      <c r="E56" s="3315">
        <v>508.88</v>
      </c>
      <c r="F56" s="3315" t="s">
        <v>3470</v>
      </c>
      <c r="G56" s="3315" t="s">
        <v>3467</v>
      </c>
      <c r="H56" s="3315" t="s">
        <v>3468</v>
      </c>
      <c r="I56" s="3315"/>
      <c r="J56" s="3315" t="s">
        <v>3473</v>
      </c>
      <c r="K56" s="3315">
        <f t="shared" si="6"/>
        <v>1261.3670000000002</v>
      </c>
      <c r="L56" s="3324"/>
    </row>
    <row r="57" spans="1:12" ht="16.5">
      <c r="A57" s="3490"/>
      <c r="B57" s="3328">
        <v>4</v>
      </c>
      <c r="C57" s="3315" t="s">
        <v>3410</v>
      </c>
      <c r="D57" s="3315">
        <v>681.82</v>
      </c>
      <c r="E57" s="3315">
        <v>508.88</v>
      </c>
      <c r="F57" s="3315" t="s">
        <v>3470</v>
      </c>
      <c r="G57" s="3315" t="s">
        <v>3467</v>
      </c>
      <c r="H57" s="3315" t="s">
        <v>3468</v>
      </c>
      <c r="I57" s="3315"/>
      <c r="J57" s="3315" t="s">
        <v>3473</v>
      </c>
      <c r="K57" s="3315">
        <f t="shared" si="6"/>
        <v>1261.3670000000002</v>
      </c>
      <c r="L57" s="3324"/>
    </row>
    <row r="58" spans="1:12" ht="16.5">
      <c r="A58" s="3490"/>
      <c r="B58" s="3328">
        <v>4</v>
      </c>
      <c r="C58" s="3315" t="s">
        <v>3411</v>
      </c>
      <c r="D58" s="3315">
        <v>681.82</v>
      </c>
      <c r="E58" s="3315">
        <v>508.88</v>
      </c>
      <c r="F58" s="3315" t="s">
        <v>3470</v>
      </c>
      <c r="G58" s="3315" t="s">
        <v>3467</v>
      </c>
      <c r="H58" s="3315" t="s">
        <v>3468</v>
      </c>
      <c r="I58" s="3315"/>
      <c r="J58" s="3315" t="s">
        <v>3473</v>
      </c>
      <c r="K58" s="3315">
        <f t="shared" si="6"/>
        <v>1261.3670000000002</v>
      </c>
      <c r="L58" s="3324"/>
    </row>
    <row r="59" spans="1:12" ht="16.5">
      <c r="A59" s="3490"/>
      <c r="B59" s="3328">
        <v>4</v>
      </c>
      <c r="C59" s="3315" t="s">
        <v>3412</v>
      </c>
      <c r="D59" s="3315">
        <v>681.82</v>
      </c>
      <c r="E59" s="3315">
        <v>508.88</v>
      </c>
      <c r="F59" s="3315" t="s">
        <v>3470</v>
      </c>
      <c r="G59" s="3315" t="s">
        <v>3467</v>
      </c>
      <c r="H59" s="3315" t="s">
        <v>3468</v>
      </c>
      <c r="I59" s="3315"/>
      <c r="J59" s="3315" t="s">
        <v>3473</v>
      </c>
      <c r="K59" s="3315">
        <f t="shared" si="6"/>
        <v>1261.3670000000002</v>
      </c>
      <c r="L59" s="3324"/>
    </row>
    <row r="60" spans="1:12" ht="16.5">
      <c r="A60" s="3490"/>
      <c r="B60" s="3328">
        <v>4</v>
      </c>
      <c r="C60" s="3315" t="s">
        <v>3413</v>
      </c>
      <c r="D60" s="3315">
        <v>681.82</v>
      </c>
      <c r="E60" s="3315">
        <v>508.88</v>
      </c>
      <c r="F60" s="3315" t="s">
        <v>3470</v>
      </c>
      <c r="G60" s="3315" t="s">
        <v>3467</v>
      </c>
      <c r="H60" s="3315" t="s">
        <v>3468</v>
      </c>
      <c r="I60" s="3315"/>
      <c r="J60" s="3315" t="s">
        <v>3473</v>
      </c>
      <c r="K60" s="3315">
        <f t="shared" si="6"/>
        <v>1261.3670000000002</v>
      </c>
      <c r="L60" s="3324"/>
    </row>
    <row r="61" spans="1:12" ht="16.5">
      <c r="A61" s="3490"/>
      <c r="B61" s="3328">
        <v>4</v>
      </c>
      <c r="C61" s="3315" t="s">
        <v>3414</v>
      </c>
      <c r="D61" s="3315">
        <v>681.82</v>
      </c>
      <c r="E61" s="3315">
        <v>508.88</v>
      </c>
      <c r="F61" s="3315" t="s">
        <v>3470</v>
      </c>
      <c r="G61" s="3315" t="s">
        <v>3467</v>
      </c>
      <c r="H61" s="3315" t="s">
        <v>3468</v>
      </c>
      <c r="I61" s="3315"/>
      <c r="J61" s="3315" t="s">
        <v>3473</v>
      </c>
      <c r="K61" s="3315">
        <f t="shared" si="6"/>
        <v>1261.3670000000002</v>
      </c>
      <c r="L61" s="3324"/>
    </row>
    <row r="62" spans="1:12" ht="16.5">
      <c r="A62" s="3490"/>
      <c r="B62" s="3328">
        <v>4</v>
      </c>
      <c r="C62" s="3315" t="s">
        <v>3415</v>
      </c>
      <c r="D62" s="3315">
        <v>681.82</v>
      </c>
      <c r="E62" s="3315">
        <v>508.88</v>
      </c>
      <c r="F62" s="3315" t="s">
        <v>3470</v>
      </c>
      <c r="G62" s="3315" t="s">
        <v>3467</v>
      </c>
      <c r="H62" s="3315" t="s">
        <v>3468</v>
      </c>
      <c r="I62" s="3315"/>
      <c r="J62" s="3315" t="s">
        <v>3473</v>
      </c>
      <c r="K62" s="3315">
        <f t="shared" si="6"/>
        <v>1261.3670000000002</v>
      </c>
      <c r="L62" s="3324"/>
    </row>
    <row r="63" spans="1:12" ht="16.5">
      <c r="A63" s="3490"/>
      <c r="B63" s="3328">
        <v>4</v>
      </c>
      <c r="C63" s="3315" t="s">
        <v>3416</v>
      </c>
      <c r="D63" s="3315">
        <v>681.82</v>
      </c>
      <c r="E63" s="3315">
        <v>508.88</v>
      </c>
      <c r="F63" s="3315" t="s">
        <v>3470</v>
      </c>
      <c r="G63" s="3315" t="s">
        <v>3467</v>
      </c>
      <c r="H63" s="3315" t="s">
        <v>3468</v>
      </c>
      <c r="I63" s="3315"/>
      <c r="J63" s="3315" t="s">
        <v>3473</v>
      </c>
      <c r="K63" s="3315">
        <f t="shared" si="6"/>
        <v>1261.3670000000002</v>
      </c>
      <c r="L63" s="3324"/>
    </row>
    <row r="64" spans="1:12" ht="16.5">
      <c r="A64" s="3490"/>
      <c r="B64" s="3328">
        <v>4</v>
      </c>
      <c r="C64" s="3315" t="s">
        <v>3417</v>
      </c>
      <c r="D64" s="3315">
        <v>681.82</v>
      </c>
      <c r="E64" s="3315">
        <v>508.88</v>
      </c>
      <c r="F64" s="3315" t="s">
        <v>3470</v>
      </c>
      <c r="G64" s="3315" t="s">
        <v>3467</v>
      </c>
      <c r="H64" s="3315" t="s">
        <v>3468</v>
      </c>
      <c r="I64" s="3315"/>
      <c r="J64" s="3315" t="s">
        <v>3473</v>
      </c>
      <c r="K64" s="3315">
        <f t="shared" si="6"/>
        <v>1261.3670000000002</v>
      </c>
      <c r="L64" s="3324"/>
    </row>
    <row r="65" spans="1:12" ht="16.5">
      <c r="A65" s="3490"/>
      <c r="B65" s="3328">
        <v>4</v>
      </c>
      <c r="C65" s="3315" t="s">
        <v>3418</v>
      </c>
      <c r="D65" s="3315">
        <v>681.82</v>
      </c>
      <c r="E65" s="3315">
        <v>508.88</v>
      </c>
      <c r="F65" s="3315" t="s">
        <v>3470</v>
      </c>
      <c r="G65" s="3315" t="s">
        <v>3467</v>
      </c>
      <c r="H65" s="3315" t="s">
        <v>3468</v>
      </c>
      <c r="I65" s="3315"/>
      <c r="J65" s="3315" t="s">
        <v>3473</v>
      </c>
      <c r="K65" s="3315">
        <f t="shared" si="6"/>
        <v>1261.3670000000002</v>
      </c>
      <c r="L65" s="3324"/>
    </row>
    <row r="66" spans="1:12" ht="16.5">
      <c r="A66" s="3490"/>
      <c r="B66" s="3328">
        <v>4</v>
      </c>
      <c r="C66" s="3315" t="s">
        <v>3419</v>
      </c>
      <c r="D66" s="3315">
        <v>681.82</v>
      </c>
      <c r="E66" s="3315">
        <v>508.88</v>
      </c>
      <c r="F66" s="3315" t="s">
        <v>3470</v>
      </c>
      <c r="G66" s="3315" t="s">
        <v>3467</v>
      </c>
      <c r="H66" s="3315" t="s">
        <v>3468</v>
      </c>
      <c r="I66" s="3315"/>
      <c r="J66" s="3315" t="s">
        <v>3473</v>
      </c>
      <c r="K66" s="3315">
        <f t="shared" si="6"/>
        <v>1261.3670000000002</v>
      </c>
      <c r="L66" s="3324"/>
    </row>
    <row r="67" spans="1:12" ht="16.5">
      <c r="A67" s="3490"/>
      <c r="B67" s="3328"/>
      <c r="C67" s="3315"/>
      <c r="D67" s="3315" t="s">
        <v>3474</v>
      </c>
      <c r="E67" s="3315"/>
      <c r="F67" s="3315"/>
      <c r="G67" s="3315"/>
      <c r="H67" s="3315"/>
      <c r="I67" s="3315"/>
      <c r="J67" s="3315"/>
      <c r="K67" s="3315" t="s">
        <v>3475</v>
      </c>
      <c r="L67" s="3324">
        <f>K67/D67</f>
        <v>1.9755487597360597</v>
      </c>
    </row>
    <row r="68" spans="1:12" ht="16.5">
      <c r="A68" s="3490"/>
      <c r="B68" s="3328">
        <v>5</v>
      </c>
      <c r="C68" s="3315" t="s">
        <v>3402</v>
      </c>
      <c r="D68" s="3315">
        <v>536.66999999999996</v>
      </c>
      <c r="E68" s="3315">
        <v>509.1</v>
      </c>
      <c r="F68" s="3315" t="s">
        <v>1283</v>
      </c>
      <c r="G68" s="3315" t="s">
        <v>3467</v>
      </c>
      <c r="H68" s="3315" t="s">
        <v>3468</v>
      </c>
      <c r="I68" s="3315"/>
      <c r="J68" s="3315">
        <v>3</v>
      </c>
      <c r="K68" s="3315">
        <f t="shared" ref="K68:K85" si="7">J68*D68</f>
        <v>1610.0099999999998</v>
      </c>
      <c r="L68" s="3324"/>
    </row>
    <row r="69" spans="1:12" ht="16.5">
      <c r="A69" s="3490"/>
      <c r="B69" s="3328">
        <v>5</v>
      </c>
      <c r="C69" s="3315" t="s">
        <v>3403</v>
      </c>
      <c r="D69" s="3315">
        <v>535.79</v>
      </c>
      <c r="E69" s="3315">
        <v>508.27</v>
      </c>
      <c r="F69" s="3315" t="s">
        <v>1283</v>
      </c>
      <c r="G69" s="3315" t="s">
        <v>3467</v>
      </c>
      <c r="H69" s="3315" t="s">
        <v>3468</v>
      </c>
      <c r="I69" s="3315"/>
      <c r="J69" s="3315">
        <v>3</v>
      </c>
      <c r="K69" s="3315">
        <f t="shared" si="7"/>
        <v>1607.37</v>
      </c>
      <c r="L69" s="3324"/>
    </row>
    <row r="70" spans="1:12" ht="16.5">
      <c r="A70" s="3490"/>
      <c r="B70" s="3328">
        <v>5</v>
      </c>
      <c r="C70" s="3315" t="s">
        <v>3404</v>
      </c>
      <c r="D70" s="3315">
        <v>748.02</v>
      </c>
      <c r="E70" s="3315">
        <v>509.33</v>
      </c>
      <c r="F70" s="3315" t="s">
        <v>27</v>
      </c>
      <c r="G70" s="3315" t="s">
        <v>3467</v>
      </c>
      <c r="H70" s="3315" t="s">
        <v>3468</v>
      </c>
      <c r="I70" s="3315"/>
      <c r="J70" s="3315" t="s">
        <v>3472</v>
      </c>
      <c r="K70" s="3315">
        <f t="shared" si="7"/>
        <v>1383.837</v>
      </c>
      <c r="L70" s="3324"/>
    </row>
    <row r="71" spans="1:12" ht="16.5">
      <c r="A71" s="3490"/>
      <c r="B71" s="3328">
        <v>5</v>
      </c>
      <c r="C71" s="3315" t="s">
        <v>3405</v>
      </c>
      <c r="D71" s="3315">
        <v>738.19</v>
      </c>
      <c r="E71" s="3315">
        <v>502.64</v>
      </c>
      <c r="F71" s="3315" t="s">
        <v>27</v>
      </c>
      <c r="G71" s="3315" t="s">
        <v>3467</v>
      </c>
      <c r="H71" s="3315" t="s">
        <v>3468</v>
      </c>
      <c r="I71" s="3315"/>
      <c r="J71" s="3315" t="s">
        <v>3472</v>
      </c>
      <c r="K71" s="3315">
        <f t="shared" si="7"/>
        <v>1365.6515000000002</v>
      </c>
      <c r="L71" s="3324"/>
    </row>
    <row r="72" spans="1:12" ht="16.5">
      <c r="A72" s="3490"/>
      <c r="B72" s="3328">
        <v>5</v>
      </c>
      <c r="C72" s="3315" t="s">
        <v>3406</v>
      </c>
      <c r="D72" s="3315">
        <v>742.41</v>
      </c>
      <c r="E72" s="3315">
        <v>505.51</v>
      </c>
      <c r="F72" s="3315" t="s">
        <v>27</v>
      </c>
      <c r="G72" s="3315" t="s">
        <v>3467</v>
      </c>
      <c r="H72" s="3315" t="s">
        <v>3468</v>
      </c>
      <c r="I72" s="3315"/>
      <c r="J72" s="3315" t="s">
        <v>3473</v>
      </c>
      <c r="K72" s="3315">
        <f t="shared" si="7"/>
        <v>1373.4585</v>
      </c>
      <c r="L72" s="3324"/>
    </row>
    <row r="73" spans="1:12" ht="16.5">
      <c r="A73" s="3490"/>
      <c r="B73" s="3328">
        <v>5</v>
      </c>
      <c r="C73" s="3315" t="s">
        <v>3407</v>
      </c>
      <c r="D73" s="3315">
        <v>734.08</v>
      </c>
      <c r="E73" s="3315">
        <v>499.84</v>
      </c>
      <c r="F73" s="3315" t="s">
        <v>27</v>
      </c>
      <c r="G73" s="3315" t="s">
        <v>3467</v>
      </c>
      <c r="H73" s="3315" t="s">
        <v>3468</v>
      </c>
      <c r="I73" s="3315"/>
      <c r="J73" s="3315" t="s">
        <v>3473</v>
      </c>
      <c r="K73" s="3315">
        <f t="shared" si="7"/>
        <v>1358.0480000000002</v>
      </c>
      <c r="L73" s="3324"/>
    </row>
    <row r="74" spans="1:12" ht="16.5">
      <c r="A74" s="3490"/>
      <c r="B74" s="3328">
        <v>5</v>
      </c>
      <c r="C74" s="3315" t="s">
        <v>3408</v>
      </c>
      <c r="D74" s="3315">
        <v>698.58</v>
      </c>
      <c r="E74" s="3315">
        <v>508.49</v>
      </c>
      <c r="F74" s="3315" t="s">
        <v>27</v>
      </c>
      <c r="G74" s="3315" t="s">
        <v>3467</v>
      </c>
      <c r="H74" s="3315" t="s">
        <v>3468</v>
      </c>
      <c r="I74" s="3315"/>
      <c r="J74" s="3315" t="s">
        <v>3473</v>
      </c>
      <c r="K74" s="3315">
        <f t="shared" si="7"/>
        <v>1292.373</v>
      </c>
      <c r="L74" s="3324"/>
    </row>
    <row r="75" spans="1:12" ht="16.5">
      <c r="A75" s="3490"/>
      <c r="B75" s="3328">
        <v>5</v>
      </c>
      <c r="C75" s="3315" t="s">
        <v>3409</v>
      </c>
      <c r="D75" s="3315">
        <v>698.58</v>
      </c>
      <c r="E75" s="3315">
        <v>508.49</v>
      </c>
      <c r="F75" s="3315" t="s">
        <v>27</v>
      </c>
      <c r="G75" s="3315" t="s">
        <v>3467</v>
      </c>
      <c r="H75" s="3315" t="s">
        <v>3468</v>
      </c>
      <c r="I75" s="3315"/>
      <c r="J75" s="3315" t="s">
        <v>3473</v>
      </c>
      <c r="K75" s="3315">
        <f t="shared" si="7"/>
        <v>1292.373</v>
      </c>
      <c r="L75" s="3324"/>
    </row>
    <row r="76" spans="1:12" ht="16.5">
      <c r="A76" s="3490"/>
      <c r="B76" s="3328">
        <v>5</v>
      </c>
      <c r="C76" s="3315" t="s">
        <v>3410</v>
      </c>
      <c r="D76" s="3315">
        <v>698.58</v>
      </c>
      <c r="E76" s="3315">
        <v>508.49</v>
      </c>
      <c r="F76" s="3315" t="s">
        <v>27</v>
      </c>
      <c r="G76" s="3315" t="s">
        <v>3467</v>
      </c>
      <c r="H76" s="3315" t="s">
        <v>3468</v>
      </c>
      <c r="I76" s="3315"/>
      <c r="J76" s="3315" t="s">
        <v>3473</v>
      </c>
      <c r="K76" s="3315">
        <f t="shared" si="7"/>
        <v>1292.373</v>
      </c>
      <c r="L76" s="3324"/>
    </row>
    <row r="77" spans="1:12" ht="16.5">
      <c r="A77" s="3490"/>
      <c r="B77" s="3328">
        <v>5</v>
      </c>
      <c r="C77" s="3315" t="s">
        <v>3411</v>
      </c>
      <c r="D77" s="3315">
        <v>698.58</v>
      </c>
      <c r="E77" s="3315">
        <v>508.49</v>
      </c>
      <c r="F77" s="3315" t="s">
        <v>27</v>
      </c>
      <c r="G77" s="3315" t="s">
        <v>3467</v>
      </c>
      <c r="H77" s="3315" t="s">
        <v>3468</v>
      </c>
      <c r="I77" s="3315"/>
      <c r="J77" s="3315" t="s">
        <v>3473</v>
      </c>
      <c r="K77" s="3315">
        <f t="shared" si="7"/>
        <v>1292.373</v>
      </c>
      <c r="L77" s="3324"/>
    </row>
    <row r="78" spans="1:12" ht="16.5">
      <c r="A78" s="3490"/>
      <c r="B78" s="3328">
        <v>5</v>
      </c>
      <c r="C78" s="3315" t="s">
        <v>3412</v>
      </c>
      <c r="D78" s="3315">
        <v>698.58</v>
      </c>
      <c r="E78" s="3315">
        <v>508.49</v>
      </c>
      <c r="F78" s="3315" t="s">
        <v>27</v>
      </c>
      <c r="G78" s="3315" t="s">
        <v>3467</v>
      </c>
      <c r="H78" s="3315" t="s">
        <v>3468</v>
      </c>
      <c r="I78" s="3315"/>
      <c r="J78" s="3315" t="s">
        <v>3473</v>
      </c>
      <c r="K78" s="3315">
        <f t="shared" si="7"/>
        <v>1292.373</v>
      </c>
      <c r="L78" s="3324"/>
    </row>
    <row r="79" spans="1:12" ht="16.5">
      <c r="A79" s="3490"/>
      <c r="B79" s="3328">
        <v>5</v>
      </c>
      <c r="C79" s="3315" t="s">
        <v>3413</v>
      </c>
      <c r="D79" s="3315">
        <v>698.58</v>
      </c>
      <c r="E79" s="3315">
        <v>508.49</v>
      </c>
      <c r="F79" s="3315" t="s">
        <v>27</v>
      </c>
      <c r="G79" s="3315" t="s">
        <v>3467</v>
      </c>
      <c r="H79" s="3315" t="s">
        <v>3468</v>
      </c>
      <c r="I79" s="3315"/>
      <c r="J79" s="3315" t="s">
        <v>3473</v>
      </c>
      <c r="K79" s="3315">
        <f t="shared" si="7"/>
        <v>1292.373</v>
      </c>
      <c r="L79" s="3324"/>
    </row>
    <row r="80" spans="1:12" ht="16.5">
      <c r="A80" s="3490"/>
      <c r="B80" s="3328">
        <v>5</v>
      </c>
      <c r="C80" s="3315" t="s">
        <v>3414</v>
      </c>
      <c r="D80" s="3315">
        <v>698.58</v>
      </c>
      <c r="E80" s="3315">
        <v>508.49</v>
      </c>
      <c r="F80" s="3315" t="s">
        <v>27</v>
      </c>
      <c r="G80" s="3315" t="s">
        <v>3467</v>
      </c>
      <c r="H80" s="3315" t="s">
        <v>3468</v>
      </c>
      <c r="I80" s="3315"/>
      <c r="J80" s="3315" t="s">
        <v>3473</v>
      </c>
      <c r="K80" s="3315">
        <f t="shared" si="7"/>
        <v>1292.373</v>
      </c>
      <c r="L80" s="3324"/>
    </row>
    <row r="81" spans="1:12" ht="16.5">
      <c r="A81" s="3490"/>
      <c r="B81" s="3328">
        <v>5</v>
      </c>
      <c r="C81" s="3315" t="s">
        <v>3415</v>
      </c>
      <c r="D81" s="3315">
        <v>698.58</v>
      </c>
      <c r="E81" s="3315">
        <v>508.49</v>
      </c>
      <c r="F81" s="3315" t="s">
        <v>27</v>
      </c>
      <c r="G81" s="3315" t="s">
        <v>3467</v>
      </c>
      <c r="H81" s="3315" t="s">
        <v>3468</v>
      </c>
      <c r="I81" s="3315"/>
      <c r="J81" s="3315" t="s">
        <v>3473</v>
      </c>
      <c r="K81" s="3315">
        <f t="shared" si="7"/>
        <v>1292.373</v>
      </c>
      <c r="L81" s="3324"/>
    </row>
    <row r="82" spans="1:12" ht="16.5">
      <c r="A82" s="3490"/>
      <c r="B82" s="3328">
        <v>5</v>
      </c>
      <c r="C82" s="3315" t="s">
        <v>3416</v>
      </c>
      <c r="D82" s="3315">
        <v>698.58</v>
      </c>
      <c r="E82" s="3315">
        <v>508.49</v>
      </c>
      <c r="F82" s="3315" t="s">
        <v>27</v>
      </c>
      <c r="G82" s="3315" t="s">
        <v>3467</v>
      </c>
      <c r="H82" s="3315" t="s">
        <v>3468</v>
      </c>
      <c r="I82" s="3315"/>
      <c r="J82" s="3315" t="s">
        <v>3473</v>
      </c>
      <c r="K82" s="3315">
        <f t="shared" si="7"/>
        <v>1292.373</v>
      </c>
      <c r="L82" s="3324"/>
    </row>
    <row r="83" spans="1:12" ht="16.5">
      <c r="A83" s="3490"/>
      <c r="B83" s="3328">
        <v>5</v>
      </c>
      <c r="C83" s="3315" t="s">
        <v>3417</v>
      </c>
      <c r="D83" s="3315">
        <v>698.58</v>
      </c>
      <c r="E83" s="3315">
        <v>508.49</v>
      </c>
      <c r="F83" s="3315" t="s">
        <v>27</v>
      </c>
      <c r="G83" s="3315" t="s">
        <v>3467</v>
      </c>
      <c r="H83" s="3315" t="s">
        <v>3468</v>
      </c>
      <c r="I83" s="3315"/>
      <c r="J83" s="3315" t="s">
        <v>3473</v>
      </c>
      <c r="K83" s="3315">
        <f t="shared" si="7"/>
        <v>1292.373</v>
      </c>
      <c r="L83" s="3324"/>
    </row>
    <row r="84" spans="1:12" ht="16.5">
      <c r="A84" s="3490"/>
      <c r="B84" s="3328">
        <v>5</v>
      </c>
      <c r="C84" s="3315" t="s">
        <v>3418</v>
      </c>
      <c r="D84" s="3315">
        <v>698.58</v>
      </c>
      <c r="E84" s="3315">
        <v>508.49</v>
      </c>
      <c r="F84" s="3315" t="s">
        <v>27</v>
      </c>
      <c r="G84" s="3315" t="s">
        <v>3467</v>
      </c>
      <c r="H84" s="3315" t="s">
        <v>3468</v>
      </c>
      <c r="I84" s="3315"/>
      <c r="J84" s="3315" t="s">
        <v>3473</v>
      </c>
      <c r="K84" s="3315">
        <f t="shared" si="7"/>
        <v>1292.373</v>
      </c>
      <c r="L84" s="3324"/>
    </row>
    <row r="85" spans="1:12" ht="16.5">
      <c r="A85" s="3490"/>
      <c r="B85" s="3328">
        <v>5</v>
      </c>
      <c r="C85" s="3315" t="s">
        <v>3419</v>
      </c>
      <c r="D85" s="3315">
        <v>698.58</v>
      </c>
      <c r="E85" s="3315">
        <v>508.49</v>
      </c>
      <c r="F85" s="3315" t="s">
        <v>27</v>
      </c>
      <c r="G85" s="3315" t="s">
        <v>3467</v>
      </c>
      <c r="H85" s="3315" t="s">
        <v>3468</v>
      </c>
      <c r="I85" s="3315"/>
      <c r="J85" s="3315" t="s">
        <v>3473</v>
      </c>
      <c r="K85" s="3315">
        <f t="shared" si="7"/>
        <v>1292.373</v>
      </c>
      <c r="L85" s="3324"/>
    </row>
    <row r="86" spans="1:12" ht="16.5">
      <c r="A86" s="3490"/>
      <c r="B86" s="3329"/>
      <c r="C86" s="3326" t="s">
        <v>3200</v>
      </c>
      <c r="D86" s="3326">
        <f t="shared" ref="D86:E86" si="8">SUM(D68:D85)</f>
        <v>12418.119999999999</v>
      </c>
      <c r="E86" s="3326">
        <f t="shared" si="8"/>
        <v>9136.5699999999979</v>
      </c>
      <c r="F86" s="3326"/>
      <c r="G86" s="3326"/>
      <c r="H86" s="3326" t="s">
        <v>3468</v>
      </c>
      <c r="I86" s="3326"/>
      <c r="J86" s="3326"/>
      <c r="K86" s="3326">
        <f>SUM(K68:K85)</f>
        <v>24206.850999999995</v>
      </c>
      <c r="L86" s="3327">
        <f>K86/D86</f>
        <v>1.9493168853256369</v>
      </c>
    </row>
    <row r="87" spans="1:12" ht="16.5">
      <c r="A87" s="3490"/>
      <c r="B87" s="3328">
        <v>42</v>
      </c>
      <c r="C87" s="3315" t="s">
        <v>3423</v>
      </c>
      <c r="D87" s="3315">
        <v>969.55</v>
      </c>
      <c r="E87" s="3315">
        <v>577.33000000000004</v>
      </c>
      <c r="F87" s="3315" t="s">
        <v>3340</v>
      </c>
      <c r="G87" s="3315" t="s">
        <v>3476</v>
      </c>
      <c r="H87" s="3315" t="s">
        <v>3468</v>
      </c>
      <c r="I87" s="3315"/>
      <c r="J87" s="3315" t="s">
        <v>3477</v>
      </c>
      <c r="K87" s="3315"/>
      <c r="L87" s="3324"/>
    </row>
    <row r="88" spans="1:12" ht="16.5">
      <c r="A88" s="3490"/>
      <c r="B88" s="3328">
        <v>42</v>
      </c>
      <c r="C88" s="3315" t="s">
        <v>3424</v>
      </c>
      <c r="D88" s="3315">
        <v>1449.79</v>
      </c>
      <c r="E88" s="3315">
        <v>863.29</v>
      </c>
      <c r="F88" s="3315" t="s">
        <v>3340</v>
      </c>
      <c r="G88" s="3315" t="s">
        <v>3476</v>
      </c>
      <c r="H88" s="3315" t="s">
        <v>3468</v>
      </c>
      <c r="I88" s="3315"/>
      <c r="J88" s="3315" t="s">
        <v>3477</v>
      </c>
      <c r="K88" s="3315"/>
      <c r="L88" s="3324"/>
    </row>
    <row r="89" spans="1:12" ht="16.5">
      <c r="A89" s="3490"/>
      <c r="B89" s="3328">
        <v>42</v>
      </c>
      <c r="C89" s="3315" t="s">
        <v>3425</v>
      </c>
      <c r="D89" s="3315">
        <v>1041.56</v>
      </c>
      <c r="E89" s="3315">
        <v>620.21</v>
      </c>
      <c r="F89" s="3315" t="s">
        <v>3340</v>
      </c>
      <c r="G89" s="3315" t="s">
        <v>3476</v>
      </c>
      <c r="H89" s="3315" t="s">
        <v>3468</v>
      </c>
      <c r="I89" s="3315"/>
      <c r="J89" s="3315" t="s">
        <v>3477</v>
      </c>
      <c r="K89" s="3315"/>
      <c r="L89" s="3324"/>
    </row>
    <row r="90" spans="1:12" ht="16.5">
      <c r="A90" s="3490"/>
      <c r="B90" s="3328">
        <v>42</v>
      </c>
      <c r="C90" s="3315" t="s">
        <v>3426</v>
      </c>
      <c r="D90" s="3315">
        <v>883.94</v>
      </c>
      <c r="E90" s="3315">
        <v>526.35</v>
      </c>
      <c r="F90" s="3315" t="s">
        <v>3340</v>
      </c>
      <c r="G90" s="3315" t="s">
        <v>3476</v>
      </c>
      <c r="H90" s="3315" t="s">
        <v>3468</v>
      </c>
      <c r="I90" s="3315"/>
      <c r="J90" s="3315" t="s">
        <v>3477</v>
      </c>
      <c r="K90" s="3315"/>
      <c r="L90" s="3324"/>
    </row>
    <row r="91" spans="1:12" ht="16.5">
      <c r="A91" s="3490"/>
      <c r="B91" s="3328">
        <v>42</v>
      </c>
      <c r="C91" s="3315" t="s">
        <v>3427</v>
      </c>
      <c r="D91" s="3315">
        <v>863.4</v>
      </c>
      <c r="E91" s="3315">
        <v>514.12</v>
      </c>
      <c r="F91" s="3315" t="s">
        <v>3340</v>
      </c>
      <c r="G91" s="3315" t="s">
        <v>3476</v>
      </c>
      <c r="H91" s="3315" t="s">
        <v>3468</v>
      </c>
      <c r="I91" s="3315"/>
      <c r="J91" s="3315" t="s">
        <v>3477</v>
      </c>
      <c r="K91" s="3315"/>
      <c r="L91" s="3324"/>
    </row>
    <row r="92" spans="1:12" ht="16.5">
      <c r="A92" s="3490"/>
      <c r="B92" s="3328">
        <v>42</v>
      </c>
      <c r="C92" s="3315" t="s">
        <v>3428</v>
      </c>
      <c r="D92" s="3315">
        <v>903.32</v>
      </c>
      <c r="E92" s="3315">
        <v>537.89</v>
      </c>
      <c r="F92" s="3315" t="s">
        <v>3340</v>
      </c>
      <c r="G92" s="3315" t="s">
        <v>3476</v>
      </c>
      <c r="H92" s="3315" t="s">
        <v>3468</v>
      </c>
      <c r="I92" s="3315"/>
      <c r="J92" s="3315" t="s">
        <v>3477</v>
      </c>
      <c r="K92" s="3315"/>
      <c r="L92" s="3324"/>
    </row>
    <row r="93" spans="1:12" ht="16.5">
      <c r="A93" s="3490"/>
      <c r="B93" s="3328">
        <v>42</v>
      </c>
      <c r="C93" s="3315" t="s">
        <v>3429</v>
      </c>
      <c r="D93" s="3315">
        <v>892.55</v>
      </c>
      <c r="E93" s="3315">
        <v>531.48</v>
      </c>
      <c r="F93" s="3315" t="s">
        <v>3340</v>
      </c>
      <c r="G93" s="3315" t="s">
        <v>3476</v>
      </c>
      <c r="H93" s="3315" t="s">
        <v>3468</v>
      </c>
      <c r="I93" s="3315"/>
      <c r="J93" s="3315" t="s">
        <v>3477</v>
      </c>
      <c r="K93" s="3315"/>
      <c r="L93" s="3324"/>
    </row>
    <row r="94" spans="1:12" ht="16.5">
      <c r="A94" s="3490"/>
      <c r="B94" s="3328">
        <v>42</v>
      </c>
      <c r="C94" s="3315" t="s">
        <v>3430</v>
      </c>
      <c r="D94" s="3315">
        <v>883.6</v>
      </c>
      <c r="E94" s="3315">
        <v>526.15</v>
      </c>
      <c r="F94" s="3315" t="s">
        <v>3340</v>
      </c>
      <c r="G94" s="3315" t="s">
        <v>3476</v>
      </c>
      <c r="H94" s="3315" t="s">
        <v>3468</v>
      </c>
      <c r="I94" s="3315"/>
      <c r="J94" s="3315" t="s">
        <v>3477</v>
      </c>
      <c r="K94" s="3315"/>
      <c r="L94" s="3324"/>
    </row>
    <row r="95" spans="1:12" ht="16.5">
      <c r="A95" s="3491"/>
      <c r="B95" s="3328">
        <v>42</v>
      </c>
      <c r="C95" s="3315" t="s">
        <v>3431</v>
      </c>
      <c r="D95" s="3315">
        <v>934.77</v>
      </c>
      <c r="E95" s="3315">
        <v>556.62</v>
      </c>
      <c r="F95" s="3315" t="s">
        <v>3340</v>
      </c>
      <c r="G95" s="3315" t="s">
        <v>3476</v>
      </c>
      <c r="H95" s="3315" t="s">
        <v>3468</v>
      </c>
      <c r="I95" s="3315"/>
      <c r="J95" s="3315" t="s">
        <v>3477</v>
      </c>
      <c r="K95" s="3315"/>
      <c r="L95" s="3324">
        <v>1.8</v>
      </c>
    </row>
    <row r="96" spans="1:12" ht="16.5">
      <c r="A96" s="3314"/>
      <c r="B96" s="3329"/>
      <c r="C96" s="3326" t="s">
        <v>3200</v>
      </c>
      <c r="D96" s="3326">
        <f t="shared" ref="D96:E96" si="9">SUM(D87:D95)</f>
        <v>8822.48</v>
      </c>
      <c r="E96" s="3326">
        <f t="shared" si="9"/>
        <v>5253.44</v>
      </c>
      <c r="F96" s="3326"/>
      <c r="G96" s="3326"/>
      <c r="H96" s="3326"/>
      <c r="I96" s="3326"/>
      <c r="J96" s="3326"/>
      <c r="K96" s="3326"/>
      <c r="L96" s="3327"/>
    </row>
    <row r="97" spans="1:12" ht="16.5">
      <c r="A97" s="3489" t="s">
        <v>3432</v>
      </c>
      <c r="B97" s="3328">
        <v>6</v>
      </c>
      <c r="C97" s="3315" t="s">
        <v>3402</v>
      </c>
      <c r="D97" s="3316">
        <v>867.37</v>
      </c>
      <c r="E97" s="3317">
        <v>734.86</v>
      </c>
      <c r="F97" s="3317" t="s">
        <v>3340</v>
      </c>
      <c r="G97" s="3317" t="s">
        <v>3467</v>
      </c>
      <c r="H97" s="3317" t="s">
        <v>3478</v>
      </c>
      <c r="I97" s="3317"/>
      <c r="J97" s="3317">
        <v>3.4</v>
      </c>
      <c r="K97" s="3317">
        <f t="shared" ref="K97:K102" si="10">J97*D97</f>
        <v>2949.058</v>
      </c>
      <c r="L97" s="3330"/>
    </row>
    <row r="98" spans="1:12" ht="16.5">
      <c r="A98" s="3490"/>
      <c r="B98" s="3328">
        <v>6</v>
      </c>
      <c r="C98" s="3315" t="s">
        <v>3403</v>
      </c>
      <c r="D98" s="3316">
        <v>771.32</v>
      </c>
      <c r="E98" s="3317">
        <v>653.48</v>
      </c>
      <c r="F98" s="3317" t="s">
        <v>3340</v>
      </c>
      <c r="G98" s="3317" t="s">
        <v>3467</v>
      </c>
      <c r="H98" s="3317" t="s">
        <v>3478</v>
      </c>
      <c r="I98" s="3317"/>
      <c r="J98" s="3317">
        <v>3.4</v>
      </c>
      <c r="K98" s="3317">
        <f t="shared" si="10"/>
        <v>2622.4880000000003</v>
      </c>
      <c r="L98" s="3330"/>
    </row>
    <row r="99" spans="1:12" ht="16.5">
      <c r="A99" s="3490"/>
      <c r="B99" s="3328">
        <v>6</v>
      </c>
      <c r="C99" s="3315" t="s">
        <v>3433</v>
      </c>
      <c r="D99" s="3316">
        <v>746.79</v>
      </c>
      <c r="E99" s="3317">
        <v>632.70000000000005</v>
      </c>
      <c r="F99" s="3317" t="s">
        <v>3340</v>
      </c>
      <c r="G99" s="3317" t="s">
        <v>3467</v>
      </c>
      <c r="H99" s="3317" t="s">
        <v>3478</v>
      </c>
      <c r="I99" s="3317"/>
      <c r="J99" s="3317">
        <v>3.4</v>
      </c>
      <c r="K99" s="3317">
        <f t="shared" si="10"/>
        <v>2539.0859999999998</v>
      </c>
      <c r="L99" s="3330"/>
    </row>
    <row r="100" spans="1:12" ht="16.5">
      <c r="A100" s="3490"/>
      <c r="B100" s="3328">
        <v>6</v>
      </c>
      <c r="C100" s="3315" t="s">
        <v>3434</v>
      </c>
      <c r="D100" s="3316">
        <v>762.37</v>
      </c>
      <c r="E100" s="3317">
        <v>645.9</v>
      </c>
      <c r="F100" s="3317" t="s">
        <v>3340</v>
      </c>
      <c r="G100" s="3317" t="s">
        <v>3467</v>
      </c>
      <c r="H100" s="3317" t="s">
        <v>3478</v>
      </c>
      <c r="I100" s="3317"/>
      <c r="J100" s="3317">
        <v>3.2</v>
      </c>
      <c r="K100" s="3317">
        <f t="shared" si="10"/>
        <v>2439.5840000000003</v>
      </c>
      <c r="L100" s="3330"/>
    </row>
    <row r="101" spans="1:12" ht="16.5">
      <c r="A101" s="3490"/>
      <c r="B101" s="3328">
        <v>6</v>
      </c>
      <c r="C101" s="3315" t="s">
        <v>3435</v>
      </c>
      <c r="D101" s="3316">
        <v>762.21</v>
      </c>
      <c r="E101" s="3317">
        <v>645.76</v>
      </c>
      <c r="F101" s="3317" t="s">
        <v>3340</v>
      </c>
      <c r="G101" s="3317" t="s">
        <v>3467</v>
      </c>
      <c r="H101" s="3317" t="s">
        <v>3478</v>
      </c>
      <c r="I101" s="3317"/>
      <c r="J101" s="3317">
        <v>3.2</v>
      </c>
      <c r="K101" s="3317">
        <f t="shared" si="10"/>
        <v>2439.0720000000001</v>
      </c>
      <c r="L101" s="3330"/>
    </row>
    <row r="102" spans="1:12" ht="16.5">
      <c r="A102" s="3490"/>
      <c r="B102" s="3328">
        <v>6</v>
      </c>
      <c r="C102" s="3315" t="s">
        <v>3436</v>
      </c>
      <c r="D102" s="3316">
        <v>875.03</v>
      </c>
      <c r="E102" s="3317">
        <v>741.35</v>
      </c>
      <c r="F102" s="3317" t="s">
        <v>3340</v>
      </c>
      <c r="G102" s="3317" t="s">
        <v>3467</v>
      </c>
      <c r="H102" s="3317" t="s">
        <v>3478</v>
      </c>
      <c r="I102" s="3317"/>
      <c r="J102" s="3317">
        <v>3.2</v>
      </c>
      <c r="K102" s="3317">
        <f t="shared" si="10"/>
        <v>2800.096</v>
      </c>
      <c r="L102" s="3330"/>
    </row>
    <row r="103" spans="1:12" ht="16.5">
      <c r="A103" s="3490"/>
      <c r="B103" s="3492" t="s">
        <v>3200</v>
      </c>
      <c r="C103" s="3493"/>
      <c r="D103" s="3317">
        <f>SUM(D97:D102)</f>
        <v>4785.09</v>
      </c>
      <c r="E103" s="3317"/>
      <c r="F103" s="3317"/>
      <c r="G103" s="3317"/>
      <c r="H103" s="3317"/>
      <c r="I103" s="3317"/>
      <c r="J103" s="3317"/>
      <c r="K103" s="3317">
        <f>SUM(K97:K102)</f>
        <v>15789.384</v>
      </c>
      <c r="L103" s="3330">
        <f>K103/D103</f>
        <v>3.2997047077484436</v>
      </c>
    </row>
    <row r="104" spans="1:12" ht="16.5">
      <c r="A104" s="3490"/>
      <c r="B104" s="3328">
        <v>44</v>
      </c>
      <c r="C104" s="3315" t="s">
        <v>3424</v>
      </c>
      <c r="D104" s="3316">
        <v>862.97</v>
      </c>
      <c r="E104" s="3317">
        <v>542.38</v>
      </c>
      <c r="F104" s="3317" t="s">
        <v>3340</v>
      </c>
      <c r="G104" s="3317" t="s">
        <v>3476</v>
      </c>
      <c r="H104" s="3317" t="s">
        <v>3478</v>
      </c>
      <c r="I104" s="3317"/>
      <c r="J104" s="3317">
        <v>3</v>
      </c>
      <c r="K104" s="3317">
        <f t="shared" ref="K104:K110" si="11">J104*D104</f>
        <v>2588.91</v>
      </c>
      <c r="L104" s="3330"/>
    </row>
    <row r="105" spans="1:12" ht="16.5">
      <c r="A105" s="3490"/>
      <c r="B105" s="3328">
        <v>44</v>
      </c>
      <c r="C105" s="3315" t="s">
        <v>3425</v>
      </c>
      <c r="D105" s="3316">
        <v>897.18</v>
      </c>
      <c r="E105" s="3317">
        <v>563.88</v>
      </c>
      <c r="F105" s="3317" t="s">
        <v>3340</v>
      </c>
      <c r="G105" s="3317" t="s">
        <v>3476</v>
      </c>
      <c r="H105" s="3317" t="s">
        <v>3478</v>
      </c>
      <c r="I105" s="3317"/>
      <c r="J105" s="3317">
        <v>3</v>
      </c>
      <c r="K105" s="3317">
        <f t="shared" si="11"/>
        <v>2691.54</v>
      </c>
      <c r="L105" s="3330"/>
    </row>
    <row r="106" spans="1:12" ht="16.5">
      <c r="A106" s="3490"/>
      <c r="B106" s="3328">
        <v>44</v>
      </c>
      <c r="C106" s="3315" t="s">
        <v>3426</v>
      </c>
      <c r="D106" s="3316">
        <v>828.92</v>
      </c>
      <c r="E106" s="3317">
        <v>520.98</v>
      </c>
      <c r="F106" s="3317" t="s">
        <v>3340</v>
      </c>
      <c r="G106" s="3317" t="s">
        <v>3476</v>
      </c>
      <c r="H106" s="3317" t="s">
        <v>3478</v>
      </c>
      <c r="I106" s="3317"/>
      <c r="J106" s="3317">
        <v>2.5</v>
      </c>
      <c r="K106" s="3317">
        <f t="shared" si="11"/>
        <v>2072.2999999999997</v>
      </c>
      <c r="L106" s="3330"/>
    </row>
    <row r="107" spans="1:12" ht="16.5">
      <c r="A107" s="3490"/>
      <c r="B107" s="3328">
        <v>44</v>
      </c>
      <c r="C107" s="3315" t="s">
        <v>3427</v>
      </c>
      <c r="D107" s="3316">
        <v>902.95</v>
      </c>
      <c r="E107" s="3317">
        <v>567.51</v>
      </c>
      <c r="F107" s="3317" t="s">
        <v>3340</v>
      </c>
      <c r="G107" s="3317" t="s">
        <v>3476</v>
      </c>
      <c r="H107" s="3317" t="s">
        <v>3478</v>
      </c>
      <c r="I107" s="3317"/>
      <c r="J107" s="3317">
        <v>2.5</v>
      </c>
      <c r="K107" s="3317">
        <f t="shared" si="11"/>
        <v>2257.375</v>
      </c>
      <c r="L107" s="3330"/>
    </row>
    <row r="108" spans="1:12" ht="16.5">
      <c r="A108" s="3490"/>
      <c r="B108" s="3328">
        <v>44</v>
      </c>
      <c r="C108" s="3315" t="s">
        <v>3428</v>
      </c>
      <c r="D108" s="3316">
        <v>818.35</v>
      </c>
      <c r="E108" s="3317">
        <v>514.34</v>
      </c>
      <c r="F108" s="3317" t="s">
        <v>3340</v>
      </c>
      <c r="G108" s="3317" t="s">
        <v>3476</v>
      </c>
      <c r="H108" s="3317" t="s">
        <v>3478</v>
      </c>
      <c r="I108" s="3317"/>
      <c r="J108" s="3317">
        <v>2.5</v>
      </c>
      <c r="K108" s="3317">
        <f t="shared" si="11"/>
        <v>2045.875</v>
      </c>
      <c r="L108" s="3330"/>
    </row>
    <row r="109" spans="1:12" ht="16.5">
      <c r="A109" s="3490"/>
      <c r="B109" s="3328">
        <v>44</v>
      </c>
      <c r="C109" s="3315" t="s">
        <v>3429</v>
      </c>
      <c r="D109" s="3316">
        <v>858.26</v>
      </c>
      <c r="E109" s="3317">
        <v>539.41999999999996</v>
      </c>
      <c r="F109" s="3317" t="s">
        <v>3340</v>
      </c>
      <c r="G109" s="3317" t="s">
        <v>3476</v>
      </c>
      <c r="H109" s="3317" t="s">
        <v>3478</v>
      </c>
      <c r="I109" s="3317"/>
      <c r="J109" s="3317">
        <v>2.5</v>
      </c>
      <c r="K109" s="3317">
        <f t="shared" si="11"/>
        <v>2145.65</v>
      </c>
      <c r="L109" s="3330"/>
    </row>
    <row r="110" spans="1:12" ht="16.5">
      <c r="A110" s="3491"/>
      <c r="B110" s="3328">
        <v>44</v>
      </c>
      <c r="C110" s="3315" t="s">
        <v>3430</v>
      </c>
      <c r="D110" s="3316">
        <v>914.96</v>
      </c>
      <c r="E110" s="3317">
        <v>575.05999999999995</v>
      </c>
      <c r="F110" s="3317" t="s">
        <v>3340</v>
      </c>
      <c r="G110" s="3317" t="s">
        <v>3476</v>
      </c>
      <c r="H110" s="3317" t="s">
        <v>3478</v>
      </c>
      <c r="I110" s="3317"/>
      <c r="J110" s="3317">
        <v>2.5</v>
      </c>
      <c r="K110" s="3317">
        <f t="shared" si="11"/>
        <v>2287.4</v>
      </c>
      <c r="L110" s="3330"/>
    </row>
    <row r="111" spans="1:12" ht="16.5">
      <c r="A111" s="3314"/>
      <c r="B111" s="3328" t="s">
        <v>3200</v>
      </c>
      <c r="C111" s="3315"/>
      <c r="D111" s="3316">
        <f>SUM(D104:D110)</f>
        <v>6083.5900000000011</v>
      </c>
      <c r="E111" s="3316"/>
      <c r="F111" s="3316"/>
      <c r="G111" s="3316"/>
      <c r="H111" s="3316"/>
      <c r="I111" s="3316"/>
      <c r="J111" s="3316"/>
      <c r="K111" s="3316">
        <f t="shared" ref="K111" si="12">SUM(K104:K110)</f>
        <v>16089.05</v>
      </c>
      <c r="L111" s="3330">
        <f>K111/D111</f>
        <v>2.6446637593920688</v>
      </c>
    </row>
    <row r="112" spans="1:12" ht="16.5">
      <c r="A112" s="3494" t="s">
        <v>3437</v>
      </c>
      <c r="B112" s="3328">
        <v>9</v>
      </c>
      <c r="C112" s="3315" t="s">
        <v>3402</v>
      </c>
      <c r="D112" s="3316">
        <v>694.17</v>
      </c>
      <c r="E112" s="3317">
        <v>511.78</v>
      </c>
      <c r="F112" s="3317" t="s">
        <v>3340</v>
      </c>
      <c r="G112" s="3317" t="s">
        <v>3467</v>
      </c>
      <c r="H112" s="3317" t="s">
        <v>3478</v>
      </c>
      <c r="I112" s="3317"/>
      <c r="J112" s="3317">
        <v>3</v>
      </c>
      <c r="K112" s="3317">
        <f t="shared" ref="K112:K139" si="13">J112*D112</f>
        <v>2082.5099999999998</v>
      </c>
      <c r="L112" s="3330"/>
    </row>
    <row r="113" spans="1:12" ht="16.5">
      <c r="A113" s="3495"/>
      <c r="B113" s="3328">
        <v>9</v>
      </c>
      <c r="C113" s="3315" t="s">
        <v>3403</v>
      </c>
      <c r="D113" s="3316">
        <v>1054.23</v>
      </c>
      <c r="E113" s="3317">
        <v>777.23</v>
      </c>
      <c r="F113" s="3317" t="s">
        <v>3340</v>
      </c>
      <c r="G113" s="3317" t="s">
        <v>3467</v>
      </c>
      <c r="H113" s="3317" t="s">
        <v>3478</v>
      </c>
      <c r="I113" s="3317"/>
      <c r="J113" s="3317">
        <v>3</v>
      </c>
      <c r="K113" s="3317">
        <f t="shared" si="13"/>
        <v>3162.69</v>
      </c>
      <c r="L113" s="3330"/>
    </row>
    <row r="114" spans="1:12" ht="16.5">
      <c r="A114" s="3495"/>
      <c r="B114" s="3328">
        <v>9</v>
      </c>
      <c r="C114" s="3315" t="s">
        <v>3433</v>
      </c>
      <c r="D114" s="3316">
        <v>763.3</v>
      </c>
      <c r="E114" s="3317">
        <v>562.74</v>
      </c>
      <c r="F114" s="3317" t="s">
        <v>3340</v>
      </c>
      <c r="G114" s="3317" t="s">
        <v>3467</v>
      </c>
      <c r="H114" s="3317" t="s">
        <v>3478</v>
      </c>
      <c r="I114" s="3317"/>
      <c r="J114" s="3317">
        <v>3</v>
      </c>
      <c r="K114" s="3317">
        <f t="shared" si="13"/>
        <v>2289.8999999999996</v>
      </c>
      <c r="L114" s="3330"/>
    </row>
    <row r="115" spans="1:12" ht="16.5">
      <c r="A115" s="3495"/>
      <c r="B115" s="3328">
        <v>9</v>
      </c>
      <c r="C115" s="3315" t="s">
        <v>3434</v>
      </c>
      <c r="D115" s="3316">
        <v>783.64</v>
      </c>
      <c r="E115" s="3317">
        <v>577.74</v>
      </c>
      <c r="F115" s="3317" t="s">
        <v>3470</v>
      </c>
      <c r="G115" s="3317" t="s">
        <v>3467</v>
      </c>
      <c r="H115" s="3317" t="s">
        <v>3478</v>
      </c>
      <c r="I115" s="3317"/>
      <c r="J115" s="3317">
        <v>1.85</v>
      </c>
      <c r="K115" s="3317">
        <f t="shared" si="13"/>
        <v>1449.7340000000002</v>
      </c>
      <c r="L115" s="3330"/>
    </row>
    <row r="116" spans="1:12" ht="16.5">
      <c r="A116" s="3495"/>
      <c r="B116" s="3328">
        <v>9</v>
      </c>
      <c r="C116" s="3315" t="s">
        <v>3435</v>
      </c>
      <c r="D116" s="3316">
        <v>791.09</v>
      </c>
      <c r="E116" s="3317">
        <v>583.23</v>
      </c>
      <c r="F116" s="3317" t="s">
        <v>3470</v>
      </c>
      <c r="G116" s="3317" t="s">
        <v>3467</v>
      </c>
      <c r="H116" s="3317" t="s">
        <v>3478</v>
      </c>
      <c r="I116" s="3317"/>
      <c r="J116" s="3317">
        <v>1.85</v>
      </c>
      <c r="K116" s="3317">
        <f t="shared" si="13"/>
        <v>1463.5165000000002</v>
      </c>
      <c r="L116" s="3330"/>
    </row>
    <row r="117" spans="1:12" ht="16.5">
      <c r="A117" s="3495"/>
      <c r="B117" s="3328">
        <v>9</v>
      </c>
      <c r="C117" s="3315" t="s">
        <v>3436</v>
      </c>
      <c r="D117" s="3316">
        <v>830.02</v>
      </c>
      <c r="E117" s="3317">
        <v>611.92999999999995</v>
      </c>
      <c r="F117" s="3317" t="s">
        <v>3470</v>
      </c>
      <c r="G117" s="3317" t="s">
        <v>3467</v>
      </c>
      <c r="H117" s="3317" t="s">
        <v>3478</v>
      </c>
      <c r="I117" s="3317"/>
      <c r="J117" s="3317">
        <v>1.85</v>
      </c>
      <c r="K117" s="3317">
        <f t="shared" si="13"/>
        <v>1535.537</v>
      </c>
      <c r="L117" s="3330"/>
    </row>
    <row r="118" spans="1:12" ht="16.5">
      <c r="A118" s="3495"/>
      <c r="B118" s="3328">
        <v>9</v>
      </c>
      <c r="C118" s="3315" t="s">
        <v>3438</v>
      </c>
      <c r="D118" s="3316">
        <v>950.98</v>
      </c>
      <c r="E118" s="3317">
        <v>716.97</v>
      </c>
      <c r="F118" s="3317" t="s">
        <v>3470</v>
      </c>
      <c r="G118" s="3317" t="s">
        <v>3467</v>
      </c>
      <c r="H118" s="3317" t="s">
        <v>3478</v>
      </c>
      <c r="I118" s="3317"/>
      <c r="J118" s="3317">
        <v>1.85</v>
      </c>
      <c r="K118" s="3317">
        <f t="shared" si="13"/>
        <v>1759.3130000000001</v>
      </c>
      <c r="L118" s="3330"/>
    </row>
    <row r="119" spans="1:12" ht="16.5">
      <c r="A119" s="3495"/>
      <c r="B119" s="3328">
        <v>9</v>
      </c>
      <c r="C119" s="3315" t="s">
        <v>3439</v>
      </c>
      <c r="D119" s="3316">
        <v>952.51</v>
      </c>
      <c r="E119" s="3317">
        <v>718.12</v>
      </c>
      <c r="F119" s="3317" t="s">
        <v>3470</v>
      </c>
      <c r="G119" s="3317" t="s">
        <v>3467</v>
      </c>
      <c r="H119" s="3317" t="s">
        <v>3478</v>
      </c>
      <c r="I119" s="3317"/>
      <c r="J119" s="3317">
        <v>1.85</v>
      </c>
      <c r="K119" s="3317">
        <f t="shared" si="13"/>
        <v>1762.1435000000001</v>
      </c>
      <c r="L119" s="3330"/>
    </row>
    <row r="120" spans="1:12" ht="16.5">
      <c r="A120" s="3495"/>
      <c r="B120" s="3328">
        <v>9</v>
      </c>
      <c r="C120" s="3315" t="s">
        <v>3440</v>
      </c>
      <c r="D120" s="3316">
        <v>961.73</v>
      </c>
      <c r="E120" s="3317">
        <v>747.4</v>
      </c>
      <c r="F120" s="3317" t="s">
        <v>3470</v>
      </c>
      <c r="G120" s="3317" t="s">
        <v>3467</v>
      </c>
      <c r="H120" s="3317" t="s">
        <v>3478</v>
      </c>
      <c r="I120" s="3317"/>
      <c r="J120" s="3317">
        <v>1.85</v>
      </c>
      <c r="K120" s="3317">
        <f t="shared" si="13"/>
        <v>1779.2005000000001</v>
      </c>
      <c r="L120" s="3330"/>
    </row>
    <row r="121" spans="1:12" ht="16.5">
      <c r="A121" s="3495"/>
      <c r="B121" s="3328">
        <v>9</v>
      </c>
      <c r="C121" s="3315" t="s">
        <v>3441</v>
      </c>
      <c r="D121" s="3316">
        <v>961.74</v>
      </c>
      <c r="E121" s="3317">
        <v>747.41</v>
      </c>
      <c r="F121" s="3317" t="s">
        <v>3470</v>
      </c>
      <c r="G121" s="3317" t="s">
        <v>3467</v>
      </c>
      <c r="H121" s="3317" t="s">
        <v>3478</v>
      </c>
      <c r="I121" s="3317"/>
      <c r="J121" s="3317">
        <v>1.85</v>
      </c>
      <c r="K121" s="3317">
        <f t="shared" si="13"/>
        <v>1779.2190000000001</v>
      </c>
      <c r="L121" s="3330"/>
    </row>
    <row r="122" spans="1:12" ht="16.5">
      <c r="A122" s="3495"/>
      <c r="B122" s="3328">
        <v>9</v>
      </c>
      <c r="C122" s="3315" t="s">
        <v>3442</v>
      </c>
      <c r="D122" s="3316">
        <v>961.73</v>
      </c>
      <c r="E122" s="3317">
        <v>747.4</v>
      </c>
      <c r="F122" s="3317" t="s">
        <v>3470</v>
      </c>
      <c r="G122" s="3317" t="s">
        <v>3467</v>
      </c>
      <c r="H122" s="3317" t="s">
        <v>3478</v>
      </c>
      <c r="I122" s="3317"/>
      <c r="J122" s="3317">
        <v>1.85</v>
      </c>
      <c r="K122" s="3317">
        <f t="shared" si="13"/>
        <v>1779.2005000000001</v>
      </c>
      <c r="L122" s="3330"/>
    </row>
    <row r="123" spans="1:12" ht="16.5">
      <c r="A123" s="3495"/>
      <c r="B123" s="3328">
        <v>9</v>
      </c>
      <c r="C123" s="3315" t="s">
        <v>3443</v>
      </c>
      <c r="D123" s="3316">
        <v>961.74</v>
      </c>
      <c r="E123" s="3317">
        <v>747.41</v>
      </c>
      <c r="F123" s="3317" t="s">
        <v>3470</v>
      </c>
      <c r="G123" s="3317" t="s">
        <v>3467</v>
      </c>
      <c r="H123" s="3317" t="s">
        <v>3478</v>
      </c>
      <c r="I123" s="3317"/>
      <c r="J123" s="3317">
        <v>1.85</v>
      </c>
      <c r="K123" s="3317">
        <f t="shared" si="13"/>
        <v>1779.2190000000001</v>
      </c>
      <c r="L123" s="3330"/>
    </row>
    <row r="124" spans="1:12" ht="16.5">
      <c r="A124" s="3495"/>
      <c r="B124" s="3328">
        <v>9</v>
      </c>
      <c r="C124" s="3315" t="s">
        <v>3444</v>
      </c>
      <c r="D124" s="3316">
        <v>961.73</v>
      </c>
      <c r="E124" s="3317">
        <v>747.4</v>
      </c>
      <c r="F124" s="3317" t="s">
        <v>3470</v>
      </c>
      <c r="G124" s="3317" t="s">
        <v>3467</v>
      </c>
      <c r="H124" s="3317" t="s">
        <v>3478</v>
      </c>
      <c r="I124" s="3317"/>
      <c r="J124" s="3317">
        <v>1.85</v>
      </c>
      <c r="K124" s="3317">
        <f t="shared" si="13"/>
        <v>1779.2005000000001</v>
      </c>
      <c r="L124" s="3330"/>
    </row>
    <row r="125" spans="1:12" ht="16.5">
      <c r="A125" s="3495"/>
      <c r="B125" s="3328">
        <v>9</v>
      </c>
      <c r="C125" s="3315" t="s">
        <v>3445</v>
      </c>
      <c r="D125" s="3316">
        <v>961.74</v>
      </c>
      <c r="E125" s="3317">
        <v>747.41</v>
      </c>
      <c r="F125" s="3317" t="s">
        <v>3470</v>
      </c>
      <c r="G125" s="3317" t="s">
        <v>3467</v>
      </c>
      <c r="H125" s="3317" t="s">
        <v>3478</v>
      </c>
      <c r="I125" s="3317"/>
      <c r="J125" s="3317">
        <v>1.85</v>
      </c>
      <c r="K125" s="3317">
        <f t="shared" si="13"/>
        <v>1779.2190000000001</v>
      </c>
      <c r="L125" s="3330"/>
    </row>
    <row r="126" spans="1:12" ht="16.5">
      <c r="A126" s="3495"/>
      <c r="B126" s="3328">
        <v>9</v>
      </c>
      <c r="C126" s="3315" t="s">
        <v>3446</v>
      </c>
      <c r="D126" s="3316">
        <v>961.73</v>
      </c>
      <c r="E126" s="3317">
        <v>747.4</v>
      </c>
      <c r="F126" s="3317" t="s">
        <v>3470</v>
      </c>
      <c r="G126" s="3317" t="s">
        <v>3467</v>
      </c>
      <c r="H126" s="3317" t="s">
        <v>3478</v>
      </c>
      <c r="I126" s="3317"/>
      <c r="J126" s="3317">
        <v>1.85</v>
      </c>
      <c r="K126" s="3317">
        <f t="shared" si="13"/>
        <v>1779.2005000000001</v>
      </c>
      <c r="L126" s="3330"/>
    </row>
    <row r="127" spans="1:12" ht="16.5">
      <c r="A127" s="3495"/>
      <c r="B127" s="3328">
        <v>9</v>
      </c>
      <c r="C127" s="3315" t="s">
        <v>3447</v>
      </c>
      <c r="D127" s="3316">
        <v>961.74</v>
      </c>
      <c r="E127" s="3317">
        <v>747.41</v>
      </c>
      <c r="F127" s="3317" t="s">
        <v>3470</v>
      </c>
      <c r="G127" s="3317" t="s">
        <v>3467</v>
      </c>
      <c r="H127" s="3317" t="s">
        <v>3478</v>
      </c>
      <c r="I127" s="3317"/>
      <c r="J127" s="3317">
        <v>1.85</v>
      </c>
      <c r="K127" s="3317">
        <f t="shared" si="13"/>
        <v>1779.2190000000001</v>
      </c>
      <c r="L127" s="3330"/>
    </row>
    <row r="128" spans="1:12" ht="16.5">
      <c r="A128" s="3495"/>
      <c r="B128" s="3328">
        <v>9</v>
      </c>
      <c r="C128" s="3315" t="s">
        <v>3448</v>
      </c>
      <c r="D128" s="3316">
        <v>961.73</v>
      </c>
      <c r="E128" s="3317">
        <v>747.4</v>
      </c>
      <c r="F128" s="3317" t="s">
        <v>3470</v>
      </c>
      <c r="G128" s="3317" t="s">
        <v>3467</v>
      </c>
      <c r="H128" s="3317" t="s">
        <v>3478</v>
      </c>
      <c r="I128" s="3317"/>
      <c r="J128" s="3317">
        <v>1.85</v>
      </c>
      <c r="K128" s="3317">
        <f t="shared" si="13"/>
        <v>1779.2005000000001</v>
      </c>
      <c r="L128" s="3330"/>
    </row>
    <row r="129" spans="1:12" ht="16.5">
      <c r="A129" s="3495"/>
      <c r="B129" s="3328">
        <v>9</v>
      </c>
      <c r="C129" s="3315" t="s">
        <v>3449</v>
      </c>
      <c r="D129" s="3316">
        <v>961.74</v>
      </c>
      <c r="E129" s="3317">
        <v>747.41</v>
      </c>
      <c r="F129" s="3317" t="s">
        <v>3470</v>
      </c>
      <c r="G129" s="3317" t="s">
        <v>3467</v>
      </c>
      <c r="H129" s="3317" t="s">
        <v>3478</v>
      </c>
      <c r="I129" s="3317"/>
      <c r="J129" s="3317">
        <v>1.85</v>
      </c>
      <c r="K129" s="3317">
        <f t="shared" si="13"/>
        <v>1779.2190000000001</v>
      </c>
      <c r="L129" s="3330"/>
    </row>
    <row r="130" spans="1:12" ht="16.5">
      <c r="A130" s="3495"/>
      <c r="B130" s="3328">
        <v>9</v>
      </c>
      <c r="C130" s="3315" t="s">
        <v>3450</v>
      </c>
      <c r="D130" s="3316">
        <v>961.73</v>
      </c>
      <c r="E130" s="3317">
        <v>747.4</v>
      </c>
      <c r="F130" s="3317" t="s">
        <v>3470</v>
      </c>
      <c r="G130" s="3317" t="s">
        <v>3467</v>
      </c>
      <c r="H130" s="3317" t="s">
        <v>3478</v>
      </c>
      <c r="I130" s="3317"/>
      <c r="J130" s="3317">
        <v>1.85</v>
      </c>
      <c r="K130" s="3317">
        <f t="shared" si="13"/>
        <v>1779.2005000000001</v>
      </c>
      <c r="L130" s="3330"/>
    </row>
    <row r="131" spans="1:12" ht="16.5">
      <c r="A131" s="3495"/>
      <c r="B131" s="3328">
        <v>9</v>
      </c>
      <c r="C131" s="3315" t="s">
        <v>3451</v>
      </c>
      <c r="D131" s="3316">
        <v>961.74</v>
      </c>
      <c r="E131" s="3317">
        <v>747.41</v>
      </c>
      <c r="F131" s="3317" t="s">
        <v>3470</v>
      </c>
      <c r="G131" s="3317" t="s">
        <v>3467</v>
      </c>
      <c r="H131" s="3317" t="s">
        <v>3478</v>
      </c>
      <c r="I131" s="3317"/>
      <c r="J131" s="3317">
        <v>1.85</v>
      </c>
      <c r="K131" s="3317">
        <f t="shared" si="13"/>
        <v>1779.2190000000001</v>
      </c>
      <c r="L131" s="3330"/>
    </row>
    <row r="132" spans="1:12" ht="16.5">
      <c r="A132" s="3495"/>
      <c r="B132" s="3328">
        <v>9</v>
      </c>
      <c r="C132" s="3315" t="s">
        <v>3452</v>
      </c>
      <c r="D132" s="3316">
        <v>961.73</v>
      </c>
      <c r="E132" s="3317">
        <v>747.4</v>
      </c>
      <c r="F132" s="3317" t="s">
        <v>3470</v>
      </c>
      <c r="G132" s="3317" t="s">
        <v>3467</v>
      </c>
      <c r="H132" s="3317" t="s">
        <v>3478</v>
      </c>
      <c r="I132" s="3317"/>
      <c r="J132" s="3317">
        <v>1.85</v>
      </c>
      <c r="K132" s="3317">
        <f t="shared" si="13"/>
        <v>1779.2005000000001</v>
      </c>
      <c r="L132" s="3330"/>
    </row>
    <row r="133" spans="1:12" ht="16.5">
      <c r="A133" s="3495"/>
      <c r="B133" s="3328">
        <v>9</v>
      </c>
      <c r="C133" s="3315" t="s">
        <v>3453</v>
      </c>
      <c r="D133" s="3316">
        <v>961.74</v>
      </c>
      <c r="E133" s="3317">
        <v>747.41</v>
      </c>
      <c r="F133" s="3317" t="s">
        <v>3470</v>
      </c>
      <c r="G133" s="3317" t="s">
        <v>3467</v>
      </c>
      <c r="H133" s="3317" t="s">
        <v>3478</v>
      </c>
      <c r="I133" s="3317"/>
      <c r="J133" s="3317">
        <v>1.85</v>
      </c>
      <c r="K133" s="3317">
        <f t="shared" si="13"/>
        <v>1779.2190000000001</v>
      </c>
      <c r="L133" s="3330"/>
    </row>
    <row r="134" spans="1:12" ht="16.5">
      <c r="A134" s="3495"/>
      <c r="B134" s="3328">
        <v>9</v>
      </c>
      <c r="C134" s="3315" t="s">
        <v>3454</v>
      </c>
      <c r="D134" s="3316">
        <v>961.73</v>
      </c>
      <c r="E134" s="3317">
        <v>747.4</v>
      </c>
      <c r="F134" s="3317" t="s">
        <v>3470</v>
      </c>
      <c r="G134" s="3317" t="s">
        <v>3467</v>
      </c>
      <c r="H134" s="3317" t="s">
        <v>3478</v>
      </c>
      <c r="I134" s="3317"/>
      <c r="J134" s="3317">
        <v>1.85</v>
      </c>
      <c r="K134" s="3317">
        <f t="shared" si="13"/>
        <v>1779.2005000000001</v>
      </c>
      <c r="L134" s="3330"/>
    </row>
    <row r="135" spans="1:12" ht="16.5">
      <c r="A135" s="3495"/>
      <c r="B135" s="3328">
        <v>9</v>
      </c>
      <c r="C135" s="3315" t="s">
        <v>3455</v>
      </c>
      <c r="D135" s="3316">
        <v>961.74</v>
      </c>
      <c r="E135" s="3317">
        <v>747.41</v>
      </c>
      <c r="F135" s="3317" t="s">
        <v>3470</v>
      </c>
      <c r="G135" s="3317" t="s">
        <v>3467</v>
      </c>
      <c r="H135" s="3317" t="s">
        <v>3478</v>
      </c>
      <c r="I135" s="3317"/>
      <c r="J135" s="3317">
        <v>1.85</v>
      </c>
      <c r="K135" s="3317">
        <f t="shared" si="13"/>
        <v>1779.2190000000001</v>
      </c>
      <c r="L135" s="3330"/>
    </row>
    <row r="136" spans="1:12" ht="16.5">
      <c r="A136" s="3495"/>
      <c r="B136" s="3328">
        <v>9</v>
      </c>
      <c r="C136" s="3315" t="s">
        <v>3456</v>
      </c>
      <c r="D136" s="3316">
        <v>961.73</v>
      </c>
      <c r="E136" s="3317">
        <v>747.4</v>
      </c>
      <c r="F136" s="3317" t="s">
        <v>3470</v>
      </c>
      <c r="G136" s="3317" t="s">
        <v>3467</v>
      </c>
      <c r="H136" s="3317" t="s">
        <v>3478</v>
      </c>
      <c r="I136" s="3317"/>
      <c r="J136" s="3317">
        <v>1.85</v>
      </c>
      <c r="K136" s="3317">
        <f t="shared" si="13"/>
        <v>1779.2005000000001</v>
      </c>
      <c r="L136" s="3330"/>
    </row>
    <row r="137" spans="1:12" ht="16.5">
      <c r="A137" s="3495"/>
      <c r="B137" s="3328">
        <v>9</v>
      </c>
      <c r="C137" s="3315" t="s">
        <v>3457</v>
      </c>
      <c r="D137" s="3316">
        <v>961.74</v>
      </c>
      <c r="E137" s="3317">
        <v>747.41</v>
      </c>
      <c r="F137" s="3317" t="s">
        <v>3470</v>
      </c>
      <c r="G137" s="3317" t="s">
        <v>3467</v>
      </c>
      <c r="H137" s="3317" t="s">
        <v>3478</v>
      </c>
      <c r="I137" s="3317"/>
      <c r="J137" s="3317">
        <v>1.85</v>
      </c>
      <c r="K137" s="3317">
        <f t="shared" si="13"/>
        <v>1779.2190000000001</v>
      </c>
      <c r="L137" s="3330"/>
    </row>
    <row r="138" spans="1:12" ht="16.5">
      <c r="A138" s="3495"/>
      <c r="B138" s="3328">
        <v>9</v>
      </c>
      <c r="C138" s="3315" t="s">
        <v>3458</v>
      </c>
      <c r="D138" s="3316">
        <v>961.73</v>
      </c>
      <c r="E138" s="3317">
        <v>747.4</v>
      </c>
      <c r="F138" s="3317" t="s">
        <v>3470</v>
      </c>
      <c r="G138" s="3317" t="s">
        <v>3467</v>
      </c>
      <c r="H138" s="3317" t="s">
        <v>3478</v>
      </c>
      <c r="I138" s="3317"/>
      <c r="J138" s="3317">
        <v>1.85</v>
      </c>
      <c r="K138" s="3317">
        <f t="shared" si="13"/>
        <v>1779.2005000000001</v>
      </c>
      <c r="L138" s="3330"/>
    </row>
    <row r="139" spans="1:12" ht="16.5">
      <c r="A139" s="3495"/>
      <c r="B139" s="3328">
        <v>9</v>
      </c>
      <c r="C139" s="3315" t="s">
        <v>3459</v>
      </c>
      <c r="D139" s="3316">
        <v>961.74</v>
      </c>
      <c r="E139" s="3317">
        <v>747.41</v>
      </c>
      <c r="F139" s="3317" t="s">
        <v>3470</v>
      </c>
      <c r="G139" s="3317" t="s">
        <v>3467</v>
      </c>
      <c r="H139" s="3317" t="s">
        <v>3478</v>
      </c>
      <c r="I139" s="3317"/>
      <c r="J139" s="3317">
        <v>1.85</v>
      </c>
      <c r="K139" s="3317">
        <f t="shared" si="13"/>
        <v>1779.2190000000001</v>
      </c>
      <c r="L139" s="3330"/>
    </row>
    <row r="140" spans="1:12" ht="16.5">
      <c r="A140" s="3495"/>
      <c r="B140" s="3328"/>
      <c r="C140" s="3315"/>
      <c r="D140" s="3316">
        <f>SUM(D112:D139)</f>
        <v>26054.640000000003</v>
      </c>
      <c r="E140" s="3317"/>
      <c r="F140" s="3317"/>
      <c r="G140" s="3317"/>
      <c r="H140" s="3317"/>
      <c r="I140" s="3317"/>
      <c r="J140" s="3317"/>
      <c r="K140" s="3317">
        <f>SUM(K112:K139)</f>
        <v>51089.538999999982</v>
      </c>
      <c r="L140" s="3330">
        <f>K140/D140</f>
        <v>1.9608614434895273</v>
      </c>
    </row>
    <row r="141" spans="1:12" ht="16.5">
      <c r="A141" s="3495"/>
      <c r="B141" s="3328">
        <v>47</v>
      </c>
      <c r="C141" s="3315" t="s">
        <v>3424</v>
      </c>
      <c r="D141" s="3316">
        <v>646.46</v>
      </c>
      <c r="E141" s="3317">
        <v>504.38</v>
      </c>
      <c r="F141" s="3317" t="s">
        <v>3340</v>
      </c>
      <c r="G141" s="3317" t="s">
        <v>3476</v>
      </c>
      <c r="H141" s="3317" t="s">
        <v>3478</v>
      </c>
      <c r="I141" s="3317"/>
      <c r="J141" s="3317">
        <v>3</v>
      </c>
      <c r="K141" s="3317">
        <f t="shared" ref="K141:K148" si="14">J141*D141</f>
        <v>1939.38</v>
      </c>
      <c r="L141" s="3330"/>
    </row>
    <row r="142" spans="1:12" ht="16.5">
      <c r="A142" s="3495"/>
      <c r="B142" s="3328">
        <v>47</v>
      </c>
      <c r="C142" s="3315" t="s">
        <v>3425</v>
      </c>
      <c r="D142" s="3316">
        <v>664.53</v>
      </c>
      <c r="E142" s="3317">
        <v>518.48</v>
      </c>
      <c r="F142" s="3317" t="s">
        <v>3340</v>
      </c>
      <c r="G142" s="3317" t="s">
        <v>3476</v>
      </c>
      <c r="H142" s="3317" t="s">
        <v>3478</v>
      </c>
      <c r="I142" s="3317"/>
      <c r="J142" s="3317">
        <v>3</v>
      </c>
      <c r="K142" s="3317">
        <f t="shared" si="14"/>
        <v>1993.59</v>
      </c>
      <c r="L142" s="3330"/>
    </row>
    <row r="143" spans="1:12" ht="16.5">
      <c r="A143" s="3495"/>
      <c r="B143" s="3328">
        <v>47</v>
      </c>
      <c r="C143" s="3315" t="s">
        <v>3426</v>
      </c>
      <c r="D143" s="3316">
        <v>641.11</v>
      </c>
      <c r="E143" s="3317">
        <v>500.21</v>
      </c>
      <c r="F143" s="3317" t="s">
        <v>3340</v>
      </c>
      <c r="G143" s="3317" t="s">
        <v>3476</v>
      </c>
      <c r="H143" s="3317" t="s">
        <v>3478</v>
      </c>
      <c r="I143" s="3317"/>
      <c r="J143" s="3317">
        <v>3</v>
      </c>
      <c r="K143" s="3317">
        <f t="shared" si="14"/>
        <v>1923.33</v>
      </c>
      <c r="L143" s="3330"/>
    </row>
    <row r="144" spans="1:12" ht="16.5">
      <c r="A144" s="3495"/>
      <c r="B144" s="3328">
        <v>47</v>
      </c>
      <c r="C144" s="3315" t="s">
        <v>3427</v>
      </c>
      <c r="D144" s="3316">
        <v>645.15</v>
      </c>
      <c r="E144" s="3317">
        <v>503.36</v>
      </c>
      <c r="F144" s="3317" t="s">
        <v>3340</v>
      </c>
      <c r="G144" s="3317" t="s">
        <v>3476</v>
      </c>
      <c r="H144" s="3317" t="s">
        <v>3478</v>
      </c>
      <c r="I144" s="3317"/>
      <c r="J144" s="3317">
        <v>3</v>
      </c>
      <c r="K144" s="3317">
        <f t="shared" si="14"/>
        <v>1935.4499999999998</v>
      </c>
      <c r="L144" s="3330"/>
    </row>
    <row r="145" spans="1:12" ht="16.5">
      <c r="A145" s="3495"/>
      <c r="B145" s="3328">
        <v>47</v>
      </c>
      <c r="C145" s="3315" t="s">
        <v>3428</v>
      </c>
      <c r="D145" s="3316">
        <v>1095.0999999999999</v>
      </c>
      <c r="E145" s="3317">
        <v>854.42</v>
      </c>
      <c r="F145" s="3317" t="s">
        <v>3340</v>
      </c>
      <c r="G145" s="3317" t="s">
        <v>3476</v>
      </c>
      <c r="H145" s="3317" t="s">
        <v>3478</v>
      </c>
      <c r="I145" s="3317"/>
      <c r="J145" s="3317">
        <v>2</v>
      </c>
      <c r="K145" s="3317">
        <f t="shared" si="14"/>
        <v>2190.1999999999998</v>
      </c>
      <c r="L145" s="3330"/>
    </row>
    <row r="146" spans="1:12" ht="16.5">
      <c r="A146" s="3495"/>
      <c r="B146" s="3328">
        <v>47</v>
      </c>
      <c r="C146" s="3315" t="s">
        <v>3429</v>
      </c>
      <c r="D146" s="3316">
        <v>654.29999999999995</v>
      </c>
      <c r="E146" s="3317">
        <v>510.5</v>
      </c>
      <c r="F146" s="3317" t="s">
        <v>3340</v>
      </c>
      <c r="G146" s="3317" t="s">
        <v>3476</v>
      </c>
      <c r="H146" s="3317" t="s">
        <v>3478</v>
      </c>
      <c r="I146" s="3317"/>
      <c r="J146" s="3317">
        <v>2</v>
      </c>
      <c r="K146" s="3317">
        <f t="shared" si="14"/>
        <v>1308.5999999999999</v>
      </c>
      <c r="L146" s="3330"/>
    </row>
    <row r="147" spans="1:12" ht="16.5">
      <c r="A147" s="3495"/>
      <c r="B147" s="3328">
        <v>47</v>
      </c>
      <c r="C147" s="3315" t="s">
        <v>3460</v>
      </c>
      <c r="D147" s="3316">
        <v>663.34</v>
      </c>
      <c r="E147" s="3317">
        <v>517.54999999999995</v>
      </c>
      <c r="F147" s="3317" t="s">
        <v>3340</v>
      </c>
      <c r="G147" s="3317" t="s">
        <v>3476</v>
      </c>
      <c r="H147" s="3317" t="s">
        <v>3478</v>
      </c>
      <c r="I147" s="3317"/>
      <c r="J147" s="3317">
        <v>2</v>
      </c>
      <c r="K147" s="3317">
        <f t="shared" si="14"/>
        <v>1326.68</v>
      </c>
      <c r="L147" s="3330"/>
    </row>
    <row r="148" spans="1:12" ht="16.5">
      <c r="A148" s="3495"/>
      <c r="B148" s="3328">
        <v>47</v>
      </c>
      <c r="C148" s="3315" t="s">
        <v>3461</v>
      </c>
      <c r="D148" s="3316">
        <v>660.98</v>
      </c>
      <c r="E148" s="3317">
        <v>515.71</v>
      </c>
      <c r="F148" s="3317" t="s">
        <v>3340</v>
      </c>
      <c r="G148" s="3317" t="s">
        <v>3476</v>
      </c>
      <c r="H148" s="3317" t="s">
        <v>3478</v>
      </c>
      <c r="I148" s="3317"/>
      <c r="J148" s="3317">
        <v>2</v>
      </c>
      <c r="K148" s="3317">
        <f t="shared" si="14"/>
        <v>1321.96</v>
      </c>
      <c r="L148" s="3330"/>
    </row>
    <row r="149" spans="1:12" ht="16.5">
      <c r="A149" s="3495"/>
      <c r="B149" s="3328" t="s">
        <v>3200</v>
      </c>
      <c r="C149" s="3315"/>
      <c r="D149" s="3316">
        <f>SUM(D141:D148)</f>
        <v>5670.9699999999993</v>
      </c>
      <c r="E149" s="3317"/>
      <c r="F149" s="3317"/>
      <c r="G149" s="3317"/>
      <c r="H149" s="3317"/>
      <c r="I149" s="3317"/>
      <c r="J149" s="3317"/>
      <c r="K149" s="3317">
        <f>SUM(K141:K148)</f>
        <v>13939.190000000002</v>
      </c>
      <c r="L149" s="3330">
        <f>K149/D149</f>
        <v>2.4579904319719561</v>
      </c>
    </row>
  </sheetData>
  <mergeCells count="5">
    <mergeCell ref="B1:E1"/>
    <mergeCell ref="A3:A95"/>
    <mergeCell ref="A97:A110"/>
    <mergeCell ref="B103:C103"/>
    <mergeCell ref="A112:A149"/>
  </mergeCells>
  <phoneticPr fontId="26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0" customWidth="1"/>
    <col min="2" max="9" width="10" style="950" customWidth="1"/>
    <col min="10" max="16384" width="9" style="950"/>
  </cols>
  <sheetData>
    <row r="36" spans="1:9">
      <c r="A36" s="949" t="s">
        <v>818</v>
      </c>
      <c r="B36" s="949" t="s">
        <v>819</v>
      </c>
    </row>
    <row r="37" spans="1:9" ht="27.75" customHeight="1">
      <c r="A37" s="949"/>
      <c r="B37" s="3390" t="str">
        <f>项目基本情况!B1</f>
        <v>北京市房地产市场价值预评估</v>
      </c>
      <c r="C37" s="3390"/>
      <c r="D37" s="3390"/>
      <c r="E37" s="3390"/>
      <c r="F37" s="3390"/>
      <c r="G37" s="3390"/>
      <c r="H37" s="3390"/>
      <c r="I37" s="3390"/>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 ca="1">项目基本情况!K4</f>
        <v>陈颖（注册号：0)、叶凌（注册号：1119970111)</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7FA3-BE97-417C-AEE1-ADE1CC1F7BE6}">
  <dimension ref="A1:E14"/>
  <sheetViews>
    <sheetView workbookViewId="0">
      <selection activeCell="D15" sqref="D15"/>
    </sheetView>
  </sheetViews>
  <sheetFormatPr defaultRowHeight="14.25"/>
  <cols>
    <col min="2" max="2" width="18.375" customWidth="1"/>
    <col min="4" max="4" width="18.5" customWidth="1"/>
    <col min="8" max="8" width="9.875" customWidth="1"/>
  </cols>
  <sheetData>
    <row r="1" spans="1:5" ht="18" thickBot="1">
      <c r="A1" s="3333" t="s">
        <v>3479</v>
      </c>
      <c r="B1" s="3333"/>
      <c r="C1" s="3333"/>
      <c r="D1" s="3333"/>
      <c r="E1" s="3333"/>
    </row>
    <row r="2" spans="1:5" ht="51.75">
      <c r="A2" s="3334" t="s">
        <v>3480</v>
      </c>
      <c r="B2" s="3335" t="s">
        <v>3481</v>
      </c>
      <c r="C2" s="3335" t="s">
        <v>3482</v>
      </c>
      <c r="D2" s="3335" t="s">
        <v>3483</v>
      </c>
      <c r="E2" s="3336" t="s">
        <v>3484</v>
      </c>
    </row>
    <row r="3" spans="1:5" ht="17.25">
      <c r="A3" s="3496" t="s">
        <v>3485</v>
      </c>
      <c r="B3" s="3337" t="s">
        <v>3486</v>
      </c>
      <c r="C3" s="3337" t="s">
        <v>3487</v>
      </c>
      <c r="D3" s="3338">
        <v>46962.83</v>
      </c>
      <c r="E3" s="3339">
        <v>1.8</v>
      </c>
    </row>
    <row r="4" spans="1:5" ht="17.25">
      <c r="A4" s="3497"/>
      <c r="B4" s="3337">
        <v>9</v>
      </c>
      <c r="C4" s="3337" t="s">
        <v>3488</v>
      </c>
      <c r="D4" s="3340">
        <v>23542.940000000002</v>
      </c>
      <c r="E4" s="3339">
        <v>1.8</v>
      </c>
    </row>
    <row r="5" spans="1:5" ht="18" thickBot="1">
      <c r="A5" s="3498" t="s">
        <v>3489</v>
      </c>
      <c r="B5" s="3499"/>
      <c r="C5" s="3500"/>
      <c r="D5" s="3341">
        <v>70505.77</v>
      </c>
      <c r="E5" s="3342">
        <v>1.8</v>
      </c>
    </row>
    <row r="6" spans="1:5" ht="17.25">
      <c r="A6" s="3334" t="s">
        <v>3490</v>
      </c>
      <c r="B6" s="3335" t="s">
        <v>3491</v>
      </c>
      <c r="C6" s="3335" t="s">
        <v>3492</v>
      </c>
      <c r="D6" s="3343">
        <v>7715.7</v>
      </c>
      <c r="E6" s="3344">
        <v>3</v>
      </c>
    </row>
    <row r="7" spans="1:5" ht="17.25">
      <c r="A7" s="3501" t="s">
        <v>3493</v>
      </c>
      <c r="B7" s="3337">
        <v>3</v>
      </c>
      <c r="C7" s="3337" t="s">
        <v>3494</v>
      </c>
      <c r="D7" s="3340">
        <v>5287.83</v>
      </c>
      <c r="E7" s="3339">
        <v>3.3</v>
      </c>
    </row>
    <row r="8" spans="1:5" ht="17.25">
      <c r="A8" s="3501"/>
      <c r="B8" s="3337">
        <v>6</v>
      </c>
      <c r="C8" s="3337" t="s">
        <v>3494</v>
      </c>
      <c r="D8" s="3340">
        <v>4785.09</v>
      </c>
      <c r="E8" s="3339">
        <v>3.3</v>
      </c>
    </row>
    <row r="9" spans="1:5" ht="18" thickBot="1">
      <c r="A9" s="3498" t="s">
        <v>3489</v>
      </c>
      <c r="B9" s="3499"/>
      <c r="C9" s="3500"/>
      <c r="D9" s="3345">
        <v>17788.62</v>
      </c>
      <c r="E9" s="3346">
        <v>3.1698769213126146</v>
      </c>
    </row>
    <row r="10" spans="1:5" ht="17.25">
      <c r="A10" s="3502" t="s">
        <v>3495</v>
      </c>
      <c r="B10" s="3505" t="s">
        <v>3496</v>
      </c>
      <c r="C10" s="3506"/>
      <c r="D10" s="3343">
        <v>8822.48</v>
      </c>
      <c r="E10" s="3344">
        <v>1.8</v>
      </c>
    </row>
    <row r="11" spans="1:5" ht="17.25">
      <c r="A11" s="3503"/>
      <c r="B11" s="3507" t="s">
        <v>3497</v>
      </c>
      <c r="C11" s="3508"/>
      <c r="D11" s="3340">
        <v>6083.5900000000011</v>
      </c>
      <c r="E11" s="3339">
        <v>2.7</v>
      </c>
    </row>
    <row r="12" spans="1:5" ht="17.25">
      <c r="A12" s="3503"/>
      <c r="B12" s="3507" t="s">
        <v>3498</v>
      </c>
      <c r="C12" s="3508"/>
      <c r="D12" s="3340">
        <v>5670.9699999999993</v>
      </c>
      <c r="E12" s="3339">
        <v>2.5</v>
      </c>
    </row>
    <row r="13" spans="1:5" ht="18" thickBot="1">
      <c r="A13" s="3504"/>
      <c r="B13" s="3509" t="s">
        <v>3489</v>
      </c>
      <c r="C13" s="3500"/>
      <c r="D13" s="3345">
        <v>20577.04</v>
      </c>
      <c r="E13" s="3346">
        <v>2.2590023637996524</v>
      </c>
    </row>
    <row r="14" spans="1:5" ht="17.25">
      <c r="A14" s="3347"/>
      <c r="B14" s="3333"/>
      <c r="C14" s="3333"/>
      <c r="D14" s="3348">
        <f>D5+D9+D13</f>
        <v>108871.43</v>
      </c>
      <c r="E14" s="3333"/>
    </row>
  </sheetData>
  <mergeCells count="9">
    <mergeCell ref="A3:A4"/>
    <mergeCell ref="A5:C5"/>
    <mergeCell ref="A7:A8"/>
    <mergeCell ref="A9:C9"/>
    <mergeCell ref="A10:A13"/>
    <mergeCell ref="B10:C10"/>
    <mergeCell ref="B11:C11"/>
    <mergeCell ref="B12:C12"/>
    <mergeCell ref="B13:C13"/>
  </mergeCells>
  <phoneticPr fontId="26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0C330-58E5-4A74-9BDE-50F956490DDD}">
  <dimension ref="A2:U149"/>
  <sheetViews>
    <sheetView tabSelected="1" topLeftCell="F1" workbookViewId="0">
      <selection activeCell="W14" sqref="W14"/>
    </sheetView>
  </sheetViews>
  <sheetFormatPr defaultRowHeight="14.25"/>
  <cols>
    <col min="1" max="1" width="4.375" style="3318" hidden="1" customWidth="1"/>
    <col min="2" max="2" width="4.5" style="3318" hidden="1" customWidth="1"/>
    <col min="3" max="3" width="6.5" style="3318" hidden="1" customWidth="1"/>
    <col min="4" max="4" width="7.5" style="3318" hidden="1" customWidth="1"/>
    <col min="5" max="5" width="7" style="3318" hidden="1" customWidth="1"/>
    <col min="6" max="6" width="2.375" style="3318" customWidth="1"/>
    <col min="7" max="7" width="5.625" style="3318" customWidth="1"/>
    <col min="8" max="8" width="5.75" style="3318" customWidth="1"/>
    <col min="9" max="9" width="5.5" style="3318" customWidth="1"/>
    <col min="10" max="10" width="9.75" style="3318" customWidth="1"/>
    <col min="11" max="11" width="8.875" style="3318" customWidth="1"/>
    <col min="12" max="12" width="9.5" style="3318" customWidth="1"/>
    <col min="13" max="13" width="2.625" style="3318" customWidth="1"/>
    <col min="14" max="14" width="12.125" style="3362" customWidth="1"/>
    <col min="15" max="15" width="14.75" style="3318" customWidth="1"/>
    <col min="16" max="16" width="10.875" style="3318" customWidth="1"/>
    <col min="17" max="17" width="12.625" style="3318" hidden="1" customWidth="1"/>
    <col min="18" max="18" width="9.375" style="3318" hidden="1" customWidth="1"/>
    <col min="19" max="19" width="9.375" style="3318" customWidth="1"/>
    <col min="20" max="20" width="12.25" style="3318" customWidth="1"/>
    <col min="21" max="21" width="10.75" style="3318" customWidth="1"/>
    <col min="22" max="16384" width="9" style="3318"/>
  </cols>
  <sheetData>
    <row r="2" spans="1:21" ht="16.5">
      <c r="A2" s="3349" t="s">
        <v>3395</v>
      </c>
      <c r="B2" s="3321" t="s">
        <v>3396</v>
      </c>
      <c r="C2" s="3321" t="s">
        <v>3397</v>
      </c>
      <c r="D2" s="3321" t="s">
        <v>3398</v>
      </c>
      <c r="E2" s="3321" t="s">
        <v>3399</v>
      </c>
      <c r="F2" s="3363"/>
      <c r="G2" s="3364" t="s">
        <v>3517</v>
      </c>
      <c r="H2" s="3364" t="s">
        <v>3516</v>
      </c>
      <c r="I2" s="3364" t="s">
        <v>3518</v>
      </c>
      <c r="J2" s="3364" t="s">
        <v>3547</v>
      </c>
      <c r="K2" s="3364" t="s">
        <v>3519</v>
      </c>
      <c r="L2" s="3365" t="s">
        <v>3523</v>
      </c>
      <c r="N2" s="3384" t="s">
        <v>3518</v>
      </c>
      <c r="O2" s="3370" t="s">
        <v>3524</v>
      </c>
      <c r="P2" s="3385" t="s">
        <v>3519</v>
      </c>
      <c r="Q2" s="3389" t="s">
        <v>3555</v>
      </c>
      <c r="R2" s="3389" t="s">
        <v>3537</v>
      </c>
      <c r="S2" s="3385" t="s">
        <v>3534</v>
      </c>
      <c r="T2" s="3321" t="s">
        <v>3536</v>
      </c>
      <c r="U2" s="3354" t="s">
        <v>3535</v>
      </c>
    </row>
    <row r="3" spans="1:21" ht="16.5">
      <c r="A3" s="3489" t="s">
        <v>3401</v>
      </c>
      <c r="B3" s="3382">
        <v>1</v>
      </c>
      <c r="C3" s="3383" t="s">
        <v>3402</v>
      </c>
      <c r="D3" s="3383">
        <v>683.55</v>
      </c>
      <c r="E3" s="3383">
        <v>508.67</v>
      </c>
      <c r="F3" s="3355"/>
      <c r="G3" s="3511">
        <v>42</v>
      </c>
      <c r="H3" s="3510">
        <v>1</v>
      </c>
      <c r="I3" s="3366">
        <v>1</v>
      </c>
      <c r="J3" s="3366"/>
      <c r="K3" s="3367">
        <f>D3+D4</f>
        <v>1373.6399999999999</v>
      </c>
      <c r="L3" s="3367">
        <f>E3+E4</f>
        <v>1022.21</v>
      </c>
      <c r="N3" s="3384" t="s">
        <v>3532</v>
      </c>
      <c r="O3" s="3370" t="s">
        <v>3533</v>
      </c>
      <c r="P3" s="3386">
        <f>K3+K13+K26+K36+K55</f>
        <v>7715.7</v>
      </c>
      <c r="Q3" s="3386">
        <f>L3+L13+L26+L36+L55</f>
        <v>5942.65</v>
      </c>
      <c r="R3" s="3386">
        <v>1</v>
      </c>
      <c r="S3" s="3386">
        <v>1</v>
      </c>
      <c r="T3" s="3349">
        <f>收益法倒推租金!D38</f>
        <v>3</v>
      </c>
      <c r="U3" s="3830">
        <f>ROUND(P3*T3,2)</f>
        <v>23147.1</v>
      </c>
    </row>
    <row r="4" spans="1:21" ht="16.5">
      <c r="A4" s="3490"/>
      <c r="B4" s="3321">
        <v>1</v>
      </c>
      <c r="C4" s="3315" t="s">
        <v>3403</v>
      </c>
      <c r="D4" s="3315">
        <v>690.09</v>
      </c>
      <c r="E4" s="3315">
        <v>513.54</v>
      </c>
      <c r="F4" s="3355"/>
      <c r="G4" s="3511"/>
      <c r="H4" s="3510"/>
      <c r="I4" s="3368">
        <v>2</v>
      </c>
      <c r="J4" s="3368"/>
      <c r="K4" s="3367">
        <f>D5+D6</f>
        <v>1479.76</v>
      </c>
      <c r="L4" s="3367">
        <f>E5+E6</f>
        <v>1058.94</v>
      </c>
      <c r="N4" s="3384" t="s">
        <v>3529</v>
      </c>
      <c r="O4" s="3370" t="s">
        <v>3528</v>
      </c>
      <c r="P4" s="3387">
        <f>K25+K51</f>
        <v>10072.92</v>
      </c>
      <c r="Q4" s="3387">
        <f>L25+L51</f>
        <v>8107.02</v>
      </c>
      <c r="R4" s="3387">
        <v>1</v>
      </c>
      <c r="S4" s="3387">
        <v>1.05</v>
      </c>
      <c r="T4" s="3349">
        <f>ROUND(S4*T3*R4,2)</f>
        <v>3.15</v>
      </c>
      <c r="U4" s="3830">
        <f t="shared" ref="U4:U7" si="0">ROUND(P4*T4,2)</f>
        <v>31729.7</v>
      </c>
    </row>
    <row r="5" spans="1:21" ht="16.5">
      <c r="A5" s="3490"/>
      <c r="B5" s="3321">
        <v>1</v>
      </c>
      <c r="C5" s="3315" t="s">
        <v>3404</v>
      </c>
      <c r="D5" s="3315">
        <v>739.52</v>
      </c>
      <c r="E5" s="3315">
        <v>508.08</v>
      </c>
      <c r="F5" s="3355"/>
      <c r="G5" s="3511"/>
      <c r="H5" s="3510"/>
      <c r="I5" s="3368">
        <v>3</v>
      </c>
      <c r="J5" s="3368"/>
      <c r="K5" s="3367">
        <f>D7+D8</f>
        <v>1480.04</v>
      </c>
      <c r="L5" s="3367">
        <f>E7+E8</f>
        <v>1059.1300000000001</v>
      </c>
      <c r="N5" s="3384" t="s">
        <v>3530</v>
      </c>
      <c r="O5" s="3370" t="s">
        <v>3527</v>
      </c>
      <c r="P5" s="3387">
        <f>SUM(K4:K11)+SUM(K14:K21)+SUM(K27:K34)+SUM(K37:K44)</f>
        <v>46962.83</v>
      </c>
      <c r="Q5" s="3387">
        <f>SUM(L4:L11)+SUM(L14:L21)+SUM(L27:L34)+SUM(L37:L44)</f>
        <v>34310.379999999997</v>
      </c>
      <c r="R5" s="3387">
        <v>1</v>
      </c>
      <c r="S5" s="3387">
        <v>0.6</v>
      </c>
      <c r="T5" s="3349">
        <f>ROUND(T3*S5*R5,2)</f>
        <v>1.8</v>
      </c>
      <c r="U5" s="3830">
        <f t="shared" si="0"/>
        <v>84533.09</v>
      </c>
    </row>
    <row r="6" spans="1:21" ht="16.5">
      <c r="A6" s="3490"/>
      <c r="B6" s="3321">
        <v>1</v>
      </c>
      <c r="C6" s="3315" t="s">
        <v>3405</v>
      </c>
      <c r="D6" s="3315">
        <v>740.24</v>
      </c>
      <c r="E6" s="3315">
        <v>550.86</v>
      </c>
      <c r="F6" s="3355"/>
      <c r="G6" s="3511"/>
      <c r="H6" s="3510"/>
      <c r="I6" s="3368">
        <v>4</v>
      </c>
      <c r="J6" s="3368"/>
      <c r="K6" s="3367">
        <f>D9+D10</f>
        <v>1555.29</v>
      </c>
      <c r="L6" s="3367">
        <f>E9+E10</f>
        <v>1157.3899999999999</v>
      </c>
      <c r="N6" s="3384" t="s">
        <v>3531</v>
      </c>
      <c r="O6" s="3349">
        <v>9</v>
      </c>
      <c r="P6" s="3387">
        <f>SUM(K56:K67)</f>
        <v>23542.940000000002</v>
      </c>
      <c r="Q6" s="3387">
        <f>SUM(L56:L67)</f>
        <v>18156.09</v>
      </c>
      <c r="R6" s="3387">
        <v>1</v>
      </c>
      <c r="S6" s="3387">
        <v>0.55000000000000004</v>
      </c>
      <c r="T6" s="3349">
        <f>ROUND(S6*T3*R6,2)</f>
        <v>1.65</v>
      </c>
      <c r="U6" s="3830">
        <f t="shared" si="0"/>
        <v>38845.85</v>
      </c>
    </row>
    <row r="7" spans="1:21" ht="16.5">
      <c r="A7" s="3490"/>
      <c r="B7" s="3321">
        <v>1</v>
      </c>
      <c r="C7" s="3315" t="s">
        <v>3406</v>
      </c>
      <c r="D7" s="3315">
        <v>739.8</v>
      </c>
      <c r="E7" s="3315">
        <v>508.27</v>
      </c>
      <c r="F7" s="3355"/>
      <c r="G7" s="3511"/>
      <c r="H7" s="3510"/>
      <c r="I7" s="3368">
        <v>5</v>
      </c>
      <c r="J7" s="3368"/>
      <c r="K7" s="3367">
        <f>D11+D12</f>
        <v>1555.29</v>
      </c>
      <c r="L7" s="3367">
        <f>E11+E12</f>
        <v>1157.3899999999999</v>
      </c>
      <c r="N7" s="3384" t="s">
        <v>3525</v>
      </c>
      <c r="O7" s="3370" t="s">
        <v>3526</v>
      </c>
      <c r="P7" s="3387">
        <f>K47+K53+K70</f>
        <v>20577.04</v>
      </c>
      <c r="Q7" s="3387">
        <f>L47+L53+L70</f>
        <v>13501.619999999999</v>
      </c>
      <c r="R7" s="3387">
        <v>1</v>
      </c>
      <c r="S7" s="3387">
        <v>0.6</v>
      </c>
      <c r="T7" s="3349">
        <f>ROUND(S7*T3*R7,2)</f>
        <v>1.8</v>
      </c>
      <c r="U7" s="3830">
        <f t="shared" si="0"/>
        <v>37038.67</v>
      </c>
    </row>
    <row r="8" spans="1:21" ht="16.5">
      <c r="A8" s="3490"/>
      <c r="B8" s="3321">
        <v>1</v>
      </c>
      <c r="C8" s="3315" t="s">
        <v>3407</v>
      </c>
      <c r="D8" s="3315">
        <v>740.24</v>
      </c>
      <c r="E8" s="3315">
        <v>550.86</v>
      </c>
      <c r="F8" s="3355"/>
      <c r="G8" s="3511"/>
      <c r="H8" s="3510"/>
      <c r="I8" s="3368">
        <v>6</v>
      </c>
      <c r="J8" s="3368"/>
      <c r="K8" s="3367">
        <f>D13+D14</f>
        <v>1555.29</v>
      </c>
      <c r="L8" s="3367">
        <f>E13+E14</f>
        <v>1157.3899999999999</v>
      </c>
      <c r="N8" s="3384" t="s">
        <v>3521</v>
      </c>
      <c r="O8" s="3370"/>
      <c r="P8" s="3387">
        <f>SUM(P3:P7)</f>
        <v>108871.43</v>
      </c>
      <c r="Q8" s="3387">
        <f>SUM(Q3:Q7)</f>
        <v>80017.759999999995</v>
      </c>
      <c r="R8" s="3387"/>
      <c r="S8" s="3387"/>
      <c r="T8" s="3349">
        <f>ROUND(U8/P8,2)</f>
        <v>1.98</v>
      </c>
      <c r="U8" s="3318">
        <f>SUM(U3:U7)</f>
        <v>215294.41000000003</v>
      </c>
    </row>
    <row r="9" spans="1:21" ht="16.5">
      <c r="A9" s="3490"/>
      <c r="B9" s="3321">
        <v>1</v>
      </c>
      <c r="C9" s="3315" t="s">
        <v>3408</v>
      </c>
      <c r="D9" s="3315">
        <v>815.05</v>
      </c>
      <c r="E9" s="3315">
        <v>606.53</v>
      </c>
      <c r="F9" s="3355"/>
      <c r="G9" s="3511"/>
      <c r="H9" s="3510"/>
      <c r="I9" s="3368">
        <v>7</v>
      </c>
      <c r="J9" s="3368"/>
      <c r="K9" s="3367">
        <f>D15+D16</f>
        <v>1555.29</v>
      </c>
      <c r="L9" s="3367">
        <f>E15+E16</f>
        <v>1157.3899999999999</v>
      </c>
      <c r="P9" s="3381"/>
      <c r="Q9" s="3381"/>
      <c r="R9" s="3381"/>
      <c r="S9" s="3381"/>
    </row>
    <row r="10" spans="1:21" ht="16.5">
      <c r="A10" s="3490"/>
      <c r="B10" s="3321">
        <v>1</v>
      </c>
      <c r="C10" s="3315" t="s">
        <v>3409</v>
      </c>
      <c r="D10" s="3315">
        <v>740.24</v>
      </c>
      <c r="E10" s="3315">
        <v>550.86</v>
      </c>
      <c r="F10" s="3355"/>
      <c r="G10" s="3511"/>
      <c r="H10" s="3510"/>
      <c r="I10" s="3368">
        <v>8</v>
      </c>
      <c r="J10" s="3368"/>
      <c r="K10" s="3367">
        <f>D17+D18</f>
        <v>1555.29</v>
      </c>
      <c r="L10" s="3367">
        <f>E17+E18</f>
        <v>1157.3899999999999</v>
      </c>
      <c r="P10" s="3381"/>
      <c r="Q10" s="3381"/>
      <c r="R10" s="3381"/>
      <c r="S10" s="3381"/>
    </row>
    <row r="11" spans="1:21" ht="16.5">
      <c r="A11" s="3490"/>
      <c r="B11" s="3321">
        <v>1</v>
      </c>
      <c r="C11" s="3315" t="s">
        <v>3410</v>
      </c>
      <c r="D11" s="3315">
        <v>815.05</v>
      </c>
      <c r="E11" s="3315">
        <v>606.53</v>
      </c>
      <c r="F11" s="3355"/>
      <c r="G11" s="3511"/>
      <c r="H11" s="3510"/>
      <c r="I11" s="3368">
        <v>9</v>
      </c>
      <c r="J11" s="3368"/>
      <c r="K11" s="3367">
        <f>D19+D20</f>
        <v>1555.29</v>
      </c>
      <c r="L11" s="3367">
        <f>E19+E20</f>
        <v>1157.3899999999999</v>
      </c>
    </row>
    <row r="12" spans="1:21" ht="16.5">
      <c r="A12" s="3490"/>
      <c r="B12" s="3321">
        <v>1</v>
      </c>
      <c r="C12" s="3315" t="s">
        <v>3411</v>
      </c>
      <c r="D12" s="3315">
        <v>740.24</v>
      </c>
      <c r="E12" s="3315">
        <v>550.86</v>
      </c>
      <c r="F12" s="3355"/>
      <c r="G12" s="3511"/>
      <c r="H12" s="3510"/>
      <c r="I12" s="3365" t="s">
        <v>3520</v>
      </c>
      <c r="J12" s="3365"/>
      <c r="K12" s="3369">
        <f>SUM(K3:K11)</f>
        <v>13665.18</v>
      </c>
      <c r="L12" s="3369">
        <f>SUM(L3:L11)</f>
        <v>10084.619999999997</v>
      </c>
    </row>
    <row r="13" spans="1:21" ht="16.5">
      <c r="A13" s="3490"/>
      <c r="B13" s="3321">
        <v>1</v>
      </c>
      <c r="C13" s="3315" t="s">
        <v>3412</v>
      </c>
      <c r="D13" s="3315">
        <v>815.05</v>
      </c>
      <c r="E13" s="3315">
        <v>606.53</v>
      </c>
      <c r="F13" s="3355"/>
      <c r="G13" s="3511"/>
      <c r="H13" s="3510">
        <v>2</v>
      </c>
      <c r="I13" s="3366">
        <v>1</v>
      </c>
      <c r="J13" s="3366"/>
      <c r="K13" s="3367">
        <f>D22+D23</f>
        <v>1404.1799999999998</v>
      </c>
      <c r="L13" s="3367">
        <f>E22+E23</f>
        <v>1040.96</v>
      </c>
    </row>
    <row r="14" spans="1:21" ht="16.5">
      <c r="A14" s="3490"/>
      <c r="B14" s="3321">
        <v>1</v>
      </c>
      <c r="C14" s="3315" t="s">
        <v>3413</v>
      </c>
      <c r="D14" s="3315">
        <v>740.24</v>
      </c>
      <c r="E14" s="3315">
        <v>550.86</v>
      </c>
      <c r="F14" s="3355"/>
      <c r="G14" s="3511"/>
      <c r="H14" s="3510"/>
      <c r="I14" s="3368">
        <v>2</v>
      </c>
      <c r="J14" s="3368"/>
      <c r="K14" s="3367">
        <f>D24+D25</f>
        <v>1479.23</v>
      </c>
      <c r="L14" s="3367">
        <f>E24+E25</f>
        <v>1054.95</v>
      </c>
    </row>
    <row r="15" spans="1:21" ht="16.5">
      <c r="A15" s="3490"/>
      <c r="B15" s="3321">
        <v>1</v>
      </c>
      <c r="C15" s="3315" t="s">
        <v>3414</v>
      </c>
      <c r="D15" s="3315">
        <v>815.05</v>
      </c>
      <c r="E15" s="3315">
        <v>606.53</v>
      </c>
      <c r="F15" s="3355"/>
      <c r="G15" s="3511"/>
      <c r="H15" s="3510"/>
      <c r="I15" s="3368">
        <v>3</v>
      </c>
      <c r="J15" s="3368"/>
      <c r="K15" s="3367">
        <f>D26+D27</f>
        <v>1494.28</v>
      </c>
      <c r="L15" s="3367">
        <f>E26+E27</f>
        <v>1065.26</v>
      </c>
    </row>
    <row r="16" spans="1:21" ht="16.5">
      <c r="A16" s="3490"/>
      <c r="B16" s="3321">
        <v>1</v>
      </c>
      <c r="C16" s="3315" t="s">
        <v>3415</v>
      </c>
      <c r="D16" s="3315">
        <v>740.24</v>
      </c>
      <c r="E16" s="3315">
        <v>550.86</v>
      </c>
      <c r="F16" s="3355"/>
      <c r="G16" s="3511"/>
      <c r="H16" s="3510"/>
      <c r="I16" s="3368">
        <v>4</v>
      </c>
      <c r="J16" s="3368"/>
      <c r="K16" s="3367">
        <f>D28+D29</f>
        <v>1551.01</v>
      </c>
      <c r="L16" s="3367">
        <f>E28+E29</f>
        <v>1149.81</v>
      </c>
    </row>
    <row r="17" spans="1:12" ht="16.5">
      <c r="A17" s="3490"/>
      <c r="B17" s="3321">
        <v>1</v>
      </c>
      <c r="C17" s="3315" t="s">
        <v>3416</v>
      </c>
      <c r="D17" s="3315">
        <v>815.05</v>
      </c>
      <c r="E17" s="3315">
        <v>606.53</v>
      </c>
      <c r="F17" s="3355"/>
      <c r="G17" s="3511"/>
      <c r="H17" s="3510"/>
      <c r="I17" s="3368">
        <v>5</v>
      </c>
      <c r="J17" s="3368"/>
      <c r="K17" s="3367">
        <f>D30+D31</f>
        <v>1551.01</v>
      </c>
      <c r="L17" s="3367">
        <f>E30+E31</f>
        <v>1149.81</v>
      </c>
    </row>
    <row r="18" spans="1:12" ht="16.5">
      <c r="A18" s="3490"/>
      <c r="B18" s="3321">
        <v>1</v>
      </c>
      <c r="C18" s="3315" t="s">
        <v>3417</v>
      </c>
      <c r="D18" s="3315">
        <v>740.24</v>
      </c>
      <c r="E18" s="3315">
        <v>550.86</v>
      </c>
      <c r="F18" s="3355"/>
      <c r="G18" s="3511"/>
      <c r="H18" s="3510"/>
      <c r="I18" s="3368">
        <v>6</v>
      </c>
      <c r="J18" s="3368"/>
      <c r="K18" s="3367">
        <f t="shared" ref="K18:L21" si="1">K17</f>
        <v>1551.01</v>
      </c>
      <c r="L18" s="3367">
        <f t="shared" si="1"/>
        <v>1149.81</v>
      </c>
    </row>
    <row r="19" spans="1:12" ht="16.5">
      <c r="A19" s="3490"/>
      <c r="B19" s="3321">
        <v>1</v>
      </c>
      <c r="C19" s="3315" t="s">
        <v>3418</v>
      </c>
      <c r="D19" s="3315">
        <v>815.05</v>
      </c>
      <c r="E19" s="3315">
        <v>606.53</v>
      </c>
      <c r="F19" s="3355"/>
      <c r="G19" s="3511"/>
      <c r="H19" s="3510"/>
      <c r="I19" s="3368">
        <v>7</v>
      </c>
      <c r="J19" s="3368"/>
      <c r="K19" s="3367">
        <f t="shared" si="1"/>
        <v>1551.01</v>
      </c>
      <c r="L19" s="3367">
        <f t="shared" si="1"/>
        <v>1149.81</v>
      </c>
    </row>
    <row r="20" spans="1:12" ht="16.5">
      <c r="A20" s="3490"/>
      <c r="B20" s="3321">
        <v>1</v>
      </c>
      <c r="C20" s="3315" t="s">
        <v>3419</v>
      </c>
      <c r="D20" s="3315">
        <v>740.24</v>
      </c>
      <c r="E20" s="3315">
        <v>550.86</v>
      </c>
      <c r="F20" s="3355"/>
      <c r="G20" s="3511"/>
      <c r="H20" s="3510"/>
      <c r="I20" s="3368">
        <v>8</v>
      </c>
      <c r="J20" s="3368"/>
      <c r="K20" s="3367">
        <f t="shared" si="1"/>
        <v>1551.01</v>
      </c>
      <c r="L20" s="3367">
        <f t="shared" si="1"/>
        <v>1149.81</v>
      </c>
    </row>
    <row r="21" spans="1:12" ht="16.5">
      <c r="A21" s="3490"/>
      <c r="B21" s="3380"/>
      <c r="C21" s="3326" t="s">
        <v>3514</v>
      </c>
      <c r="D21" s="3326">
        <f t="shared" ref="D21:E21" si="2">SUM(D3:D20)</f>
        <v>13665.179999999997</v>
      </c>
      <c r="E21" s="3326">
        <f t="shared" si="2"/>
        <v>10084.620000000001</v>
      </c>
      <c r="F21" s="3356"/>
      <c r="G21" s="3511"/>
      <c r="H21" s="3510"/>
      <c r="I21" s="3368">
        <v>9</v>
      </c>
      <c r="J21" s="3368"/>
      <c r="K21" s="3367">
        <f t="shared" si="1"/>
        <v>1551.01</v>
      </c>
      <c r="L21" s="3367">
        <f t="shared" si="1"/>
        <v>1149.81</v>
      </c>
    </row>
    <row r="22" spans="1:12" ht="16.5">
      <c r="A22" s="3490"/>
      <c r="B22" s="3321">
        <v>2</v>
      </c>
      <c r="C22" s="3315" t="s">
        <v>3402</v>
      </c>
      <c r="D22" s="3315">
        <v>696.9</v>
      </c>
      <c r="E22" s="3315">
        <v>516.63</v>
      </c>
      <c r="F22" s="3355"/>
      <c r="G22" s="3511"/>
      <c r="H22" s="3510"/>
      <c r="I22" s="3365" t="s">
        <v>3520</v>
      </c>
      <c r="J22" s="3365"/>
      <c r="K22" s="3369">
        <f>SUM(K13:K21)</f>
        <v>13683.75</v>
      </c>
      <c r="L22" s="3369">
        <f>SUM(L13:L21)</f>
        <v>10060.029999999997</v>
      </c>
    </row>
    <row r="23" spans="1:12" ht="16.5">
      <c r="A23" s="3490"/>
      <c r="B23" s="3321">
        <v>2</v>
      </c>
      <c r="C23" s="3315" t="s">
        <v>3403</v>
      </c>
      <c r="D23" s="3315">
        <v>707.28</v>
      </c>
      <c r="E23" s="3315">
        <v>524.33000000000004</v>
      </c>
      <c r="F23" s="3355"/>
      <c r="G23" s="3511"/>
      <c r="H23" s="3511">
        <v>3</v>
      </c>
      <c r="I23" s="3368">
        <v>1</v>
      </c>
      <c r="J23" s="3368"/>
      <c r="K23" s="3367">
        <f>D41+D42+D43+D44</f>
        <v>2591.4299999999998</v>
      </c>
      <c r="L23" s="3367">
        <f>E41+E42+E43+E44</f>
        <v>2073.48</v>
      </c>
    </row>
    <row r="24" spans="1:12" ht="16.5">
      <c r="A24" s="3490"/>
      <c r="B24" s="3321">
        <v>2</v>
      </c>
      <c r="C24" s="3315" t="s">
        <v>3404</v>
      </c>
      <c r="D24" s="3315">
        <v>743.54</v>
      </c>
      <c r="E24" s="3315">
        <v>551.21</v>
      </c>
      <c r="F24" s="3355"/>
      <c r="G24" s="3511"/>
      <c r="H24" s="3511"/>
      <c r="I24" s="3368">
        <v>2</v>
      </c>
      <c r="J24" s="3368"/>
      <c r="K24" s="3367">
        <f>D45+D46+D47</f>
        <v>2696.4</v>
      </c>
      <c r="L24" s="3367">
        <f>E45+E46+E47</f>
        <v>1979.4900000000002</v>
      </c>
    </row>
    <row r="25" spans="1:12" ht="16.5">
      <c r="A25" s="3490"/>
      <c r="B25" s="3321">
        <v>2</v>
      </c>
      <c r="C25" s="3315" t="s">
        <v>3405</v>
      </c>
      <c r="D25" s="3315">
        <v>735.69</v>
      </c>
      <c r="E25" s="3315">
        <v>503.74</v>
      </c>
      <c r="F25" s="3355"/>
      <c r="G25" s="3511"/>
      <c r="H25" s="3511"/>
      <c r="I25" s="3365" t="s">
        <v>3520</v>
      </c>
      <c r="J25" s="3365"/>
      <c r="K25" s="3369">
        <f>K23+K24</f>
        <v>5287.83</v>
      </c>
      <c r="L25" s="3369">
        <f>L23+L24</f>
        <v>4052.9700000000003</v>
      </c>
    </row>
    <row r="26" spans="1:12" ht="16.5">
      <c r="A26" s="3490"/>
      <c r="B26" s="3321">
        <v>2</v>
      </c>
      <c r="C26" s="3315" t="s">
        <v>3406</v>
      </c>
      <c r="D26" s="3315">
        <v>743.54</v>
      </c>
      <c r="E26" s="3315">
        <v>551.21</v>
      </c>
      <c r="F26" s="3355"/>
      <c r="G26" s="3511"/>
      <c r="H26" s="3511">
        <v>4</v>
      </c>
      <c r="I26" s="3366">
        <v>1</v>
      </c>
      <c r="J26" s="3366"/>
      <c r="K26" s="3367">
        <f>D49+D50</f>
        <v>1353.72</v>
      </c>
      <c r="L26" s="3367">
        <f>E49+E50</f>
        <v>1010.36</v>
      </c>
    </row>
    <row r="27" spans="1:12" ht="16.5">
      <c r="A27" s="3490"/>
      <c r="B27" s="3321">
        <v>2</v>
      </c>
      <c r="C27" s="3315" t="s">
        <v>3407</v>
      </c>
      <c r="D27" s="3315">
        <v>750.74</v>
      </c>
      <c r="E27" s="3315">
        <v>514.04999999999995</v>
      </c>
      <c r="F27" s="3355"/>
      <c r="G27" s="3511"/>
      <c r="H27" s="3511"/>
      <c r="I27" s="3368">
        <v>2</v>
      </c>
      <c r="J27" s="3368"/>
      <c r="K27" s="3367">
        <f>D51+D52</f>
        <v>1436.7</v>
      </c>
      <c r="L27" s="3367">
        <f>E51+E52</f>
        <v>1004.78</v>
      </c>
    </row>
    <row r="28" spans="1:12" ht="16.5">
      <c r="A28" s="3490"/>
      <c r="B28" s="3321">
        <v>2</v>
      </c>
      <c r="C28" s="3315" t="s">
        <v>3408</v>
      </c>
      <c r="D28" s="3315">
        <v>743.26</v>
      </c>
      <c r="E28" s="3315">
        <v>551</v>
      </c>
      <c r="F28" s="3355"/>
      <c r="G28" s="3511"/>
      <c r="H28" s="3511"/>
      <c r="I28" s="3368">
        <v>3</v>
      </c>
      <c r="J28" s="3368"/>
      <c r="K28" s="3367">
        <f>D53+D54</f>
        <v>1427.52</v>
      </c>
      <c r="L28" s="3367">
        <f>E53+E54</f>
        <v>998.36</v>
      </c>
    </row>
    <row r="29" spans="1:12" ht="16.5">
      <c r="A29" s="3490"/>
      <c r="B29" s="3321">
        <v>2</v>
      </c>
      <c r="C29" s="3315" t="s">
        <v>3409</v>
      </c>
      <c r="D29" s="3315">
        <v>807.75</v>
      </c>
      <c r="E29" s="3315">
        <v>598.80999999999995</v>
      </c>
      <c r="F29" s="3355"/>
      <c r="G29" s="3511"/>
      <c r="H29" s="3511"/>
      <c r="I29" s="3368">
        <v>4</v>
      </c>
      <c r="J29" s="3368"/>
      <c r="K29" s="3367">
        <f>D55+D56</f>
        <v>1363.64</v>
      </c>
      <c r="L29" s="3367">
        <f>E55+E56</f>
        <v>1017.76</v>
      </c>
    </row>
    <row r="30" spans="1:12" ht="16.5">
      <c r="A30" s="3490"/>
      <c r="B30" s="3321">
        <v>2</v>
      </c>
      <c r="C30" s="3315" t="s">
        <v>3410</v>
      </c>
      <c r="D30" s="3315">
        <v>743.26</v>
      </c>
      <c r="E30" s="3315">
        <v>551</v>
      </c>
      <c r="F30" s="3355"/>
      <c r="G30" s="3511"/>
      <c r="H30" s="3511"/>
      <c r="I30" s="3368">
        <v>5</v>
      </c>
      <c r="J30" s="3368"/>
      <c r="K30" s="3367">
        <f>D57+D58</f>
        <v>1363.64</v>
      </c>
      <c r="L30" s="3367">
        <f>E57+E58</f>
        <v>1017.76</v>
      </c>
    </row>
    <row r="31" spans="1:12" ht="16.5">
      <c r="A31" s="3490"/>
      <c r="B31" s="3321">
        <v>2</v>
      </c>
      <c r="C31" s="3315" t="s">
        <v>3411</v>
      </c>
      <c r="D31" s="3315">
        <v>807.75</v>
      </c>
      <c r="E31" s="3315">
        <v>598.80999999999995</v>
      </c>
      <c r="F31" s="3355"/>
      <c r="G31" s="3511"/>
      <c r="H31" s="3511"/>
      <c r="I31" s="3368">
        <v>6</v>
      </c>
      <c r="J31" s="3368"/>
      <c r="K31" s="3367">
        <f>D59+D60</f>
        <v>1363.64</v>
      </c>
      <c r="L31" s="3367">
        <f>E59+E60</f>
        <v>1017.76</v>
      </c>
    </row>
    <row r="32" spans="1:12" ht="16.5">
      <c r="A32" s="3490"/>
      <c r="B32" s="3321">
        <v>2</v>
      </c>
      <c r="C32" s="3315" t="s">
        <v>3412</v>
      </c>
      <c r="D32" s="3315">
        <v>743.26</v>
      </c>
      <c r="E32" s="3315">
        <v>551</v>
      </c>
      <c r="F32" s="3355"/>
      <c r="G32" s="3511"/>
      <c r="H32" s="3511"/>
      <c r="I32" s="3368">
        <v>7</v>
      </c>
      <c r="J32" s="3368"/>
      <c r="K32" s="3367">
        <f>K31</f>
        <v>1363.64</v>
      </c>
      <c r="L32" s="3367">
        <f>L31</f>
        <v>1017.76</v>
      </c>
    </row>
    <row r="33" spans="1:12" ht="16.5">
      <c r="A33" s="3490"/>
      <c r="B33" s="3321">
        <v>2</v>
      </c>
      <c r="C33" s="3315" t="s">
        <v>3413</v>
      </c>
      <c r="D33" s="3315">
        <v>807.75</v>
      </c>
      <c r="E33" s="3315">
        <v>598.80999999999995</v>
      </c>
      <c r="F33" s="3355"/>
      <c r="G33" s="3511"/>
      <c r="H33" s="3511"/>
      <c r="I33" s="3368">
        <v>8</v>
      </c>
      <c r="J33" s="3368"/>
      <c r="K33" s="3367">
        <f>K31</f>
        <v>1363.64</v>
      </c>
      <c r="L33" s="3367">
        <f>L31</f>
        <v>1017.76</v>
      </c>
    </row>
    <row r="34" spans="1:12" ht="16.5">
      <c r="A34" s="3490"/>
      <c r="B34" s="3321">
        <v>2</v>
      </c>
      <c r="C34" s="3315" t="s">
        <v>3414</v>
      </c>
      <c r="D34" s="3315">
        <v>743.26</v>
      </c>
      <c r="E34" s="3315">
        <v>551</v>
      </c>
      <c r="F34" s="3355"/>
      <c r="G34" s="3511"/>
      <c r="H34" s="3511"/>
      <c r="I34" s="3368">
        <v>9</v>
      </c>
      <c r="J34" s="3368"/>
      <c r="K34" s="3367">
        <f>K31</f>
        <v>1363.64</v>
      </c>
      <c r="L34" s="3367">
        <f>L31</f>
        <v>1017.76</v>
      </c>
    </row>
    <row r="35" spans="1:12" ht="16.5">
      <c r="A35" s="3490"/>
      <c r="B35" s="3321">
        <v>2</v>
      </c>
      <c r="C35" s="3315" t="s">
        <v>3415</v>
      </c>
      <c r="D35" s="3315">
        <v>807.75</v>
      </c>
      <c r="E35" s="3315">
        <v>598.80999999999995</v>
      </c>
      <c r="F35" s="3355"/>
      <c r="G35" s="3511"/>
      <c r="H35" s="3511"/>
      <c r="I35" s="3365" t="s">
        <v>3520</v>
      </c>
      <c r="J35" s="3365"/>
      <c r="K35" s="3369">
        <f>SUM(K26:K34)</f>
        <v>12399.779999999999</v>
      </c>
      <c r="L35" s="3369">
        <f>SUM(L26:L34)</f>
        <v>9120.0600000000013</v>
      </c>
    </row>
    <row r="36" spans="1:12" ht="16.5">
      <c r="A36" s="3490"/>
      <c r="B36" s="3321">
        <v>2</v>
      </c>
      <c r="C36" s="3315" t="s">
        <v>3416</v>
      </c>
      <c r="D36" s="3315">
        <v>743.26</v>
      </c>
      <c r="E36" s="3315">
        <v>551</v>
      </c>
      <c r="F36" s="3355"/>
      <c r="G36" s="3511"/>
      <c r="H36" s="3511">
        <v>5</v>
      </c>
      <c r="I36" s="3366">
        <v>1</v>
      </c>
      <c r="J36" s="3366"/>
      <c r="K36" s="3367">
        <f>D68+D69</f>
        <v>1072.46</v>
      </c>
      <c r="L36" s="3367">
        <f>E68+E69</f>
        <v>1017.37</v>
      </c>
    </row>
    <row r="37" spans="1:12" ht="16.5">
      <c r="A37" s="3490"/>
      <c r="B37" s="3321">
        <v>2</v>
      </c>
      <c r="C37" s="3315" t="s">
        <v>3417</v>
      </c>
      <c r="D37" s="3315">
        <v>807.75</v>
      </c>
      <c r="E37" s="3315">
        <v>598.80999999999995</v>
      </c>
      <c r="F37" s="3355"/>
      <c r="G37" s="3511"/>
      <c r="H37" s="3511"/>
      <c r="I37" s="3368">
        <v>2</v>
      </c>
      <c r="J37" s="3368"/>
      <c r="K37" s="3367">
        <f>D70+D71</f>
        <v>1486.21</v>
      </c>
      <c r="L37" s="3367">
        <f>E70+E71</f>
        <v>1011.97</v>
      </c>
    </row>
    <row r="38" spans="1:12" ht="16.5">
      <c r="A38" s="3490"/>
      <c r="B38" s="3321">
        <v>2</v>
      </c>
      <c r="C38" s="3315" t="s">
        <v>3418</v>
      </c>
      <c r="D38" s="3315">
        <v>743.26</v>
      </c>
      <c r="E38" s="3315">
        <v>551</v>
      </c>
      <c r="F38" s="3355"/>
      <c r="G38" s="3511"/>
      <c r="H38" s="3511"/>
      <c r="I38" s="3368">
        <v>3</v>
      </c>
      <c r="J38" s="3368"/>
      <c r="K38" s="3367">
        <f>D72+D73</f>
        <v>1476.49</v>
      </c>
      <c r="L38" s="3367">
        <f>E72+E73</f>
        <v>1005.3499999999999</v>
      </c>
    </row>
    <row r="39" spans="1:12" ht="16.5">
      <c r="A39" s="3490"/>
      <c r="B39" s="3321">
        <v>2</v>
      </c>
      <c r="C39" s="3315" t="s">
        <v>3419</v>
      </c>
      <c r="D39" s="3315">
        <v>807.75</v>
      </c>
      <c r="E39" s="3315">
        <v>598.80999999999995</v>
      </c>
      <c r="F39" s="3355"/>
      <c r="G39" s="3511"/>
      <c r="H39" s="3511"/>
      <c r="I39" s="3368">
        <v>4</v>
      </c>
      <c r="J39" s="3368"/>
      <c r="K39" s="3367">
        <f>D74+D75</f>
        <v>1397.16</v>
      </c>
      <c r="L39" s="3367">
        <f>E74+E75</f>
        <v>1016.98</v>
      </c>
    </row>
    <row r="40" spans="1:12" ht="16.5">
      <c r="A40" s="3490"/>
      <c r="B40" s="3380"/>
      <c r="C40" s="3326" t="s">
        <v>3514</v>
      </c>
      <c r="D40" s="3326">
        <f t="shared" ref="D40:E40" si="3">SUM(D22:D39)</f>
        <v>13683.75</v>
      </c>
      <c r="E40" s="3326">
        <f t="shared" si="3"/>
        <v>10060.029999999997</v>
      </c>
      <c r="F40" s="3356"/>
      <c r="G40" s="3511"/>
      <c r="H40" s="3511"/>
      <c r="I40" s="3368">
        <v>5</v>
      </c>
      <c r="J40" s="3368"/>
      <c r="K40" s="3367">
        <f>D76+D77</f>
        <v>1397.16</v>
      </c>
      <c r="L40" s="3367">
        <f>E76+E77</f>
        <v>1016.98</v>
      </c>
    </row>
    <row r="41" spans="1:12" ht="16.5">
      <c r="A41" s="3490"/>
      <c r="B41" s="3321">
        <v>3</v>
      </c>
      <c r="C41" s="3315" t="s">
        <v>3402</v>
      </c>
      <c r="D41" s="3315">
        <v>647.16999999999996</v>
      </c>
      <c r="E41" s="3315">
        <v>517.82000000000005</v>
      </c>
      <c r="F41" s="3355"/>
      <c r="G41" s="3511"/>
      <c r="H41" s="3511"/>
      <c r="I41" s="3368">
        <v>6</v>
      </c>
      <c r="J41" s="3368"/>
      <c r="K41" s="3367">
        <f>D78+D79</f>
        <v>1397.16</v>
      </c>
      <c r="L41" s="3367">
        <f>E78+E79</f>
        <v>1016.98</v>
      </c>
    </row>
    <row r="42" spans="1:12" ht="16.5">
      <c r="A42" s="3490"/>
      <c r="B42" s="3321">
        <v>3</v>
      </c>
      <c r="C42" s="3315" t="s">
        <v>3403</v>
      </c>
      <c r="D42" s="3315">
        <v>645.08000000000004</v>
      </c>
      <c r="E42" s="3315">
        <v>516.15</v>
      </c>
      <c r="F42" s="3355"/>
      <c r="G42" s="3511"/>
      <c r="H42" s="3511"/>
      <c r="I42" s="3368">
        <v>7</v>
      </c>
      <c r="J42" s="3368"/>
      <c r="K42" s="3367">
        <f>K41</f>
        <v>1397.16</v>
      </c>
      <c r="L42" s="3367">
        <f>L41</f>
        <v>1016.98</v>
      </c>
    </row>
    <row r="43" spans="1:12" ht="16.5">
      <c r="A43" s="3490"/>
      <c r="B43" s="3321">
        <v>3</v>
      </c>
      <c r="C43" s="3315" t="s">
        <v>3420</v>
      </c>
      <c r="D43" s="3315">
        <v>645.1</v>
      </c>
      <c r="E43" s="3315">
        <v>516.16</v>
      </c>
      <c r="F43" s="3355"/>
      <c r="G43" s="3511"/>
      <c r="H43" s="3511"/>
      <c r="I43" s="3368">
        <v>8</v>
      </c>
      <c r="J43" s="3368"/>
      <c r="K43" s="3367">
        <f>K41</f>
        <v>1397.16</v>
      </c>
      <c r="L43" s="3367">
        <f>L41</f>
        <v>1016.98</v>
      </c>
    </row>
    <row r="44" spans="1:12" ht="16.5">
      <c r="A44" s="3490"/>
      <c r="B44" s="3321">
        <v>3</v>
      </c>
      <c r="C44" s="3315" t="s">
        <v>3421</v>
      </c>
      <c r="D44" s="3315">
        <v>654.08000000000004</v>
      </c>
      <c r="E44" s="3315">
        <v>523.35</v>
      </c>
      <c r="F44" s="3355"/>
      <c r="G44" s="3511"/>
      <c r="H44" s="3511"/>
      <c r="I44" s="3368">
        <v>9</v>
      </c>
      <c r="J44" s="3368"/>
      <c r="K44" s="3367">
        <f>K41</f>
        <v>1397.16</v>
      </c>
      <c r="L44" s="3367">
        <f>L41</f>
        <v>1016.98</v>
      </c>
    </row>
    <row r="45" spans="1:12" ht="16.5">
      <c r="A45" s="3490"/>
      <c r="B45" s="3321">
        <v>3</v>
      </c>
      <c r="C45" s="3315" t="s">
        <v>3404</v>
      </c>
      <c r="D45" s="3315">
        <v>882.82</v>
      </c>
      <c r="E45" s="3315">
        <v>648.1</v>
      </c>
      <c r="F45" s="3355"/>
      <c r="G45" s="3511"/>
      <c r="H45" s="3511"/>
      <c r="I45" s="3365" t="s">
        <v>3520</v>
      </c>
      <c r="J45" s="3365"/>
      <c r="K45" s="3369">
        <f>SUM(K36:K44)</f>
        <v>12418.119999999999</v>
      </c>
      <c r="L45" s="3369">
        <f>SUM(L36:L44)</f>
        <v>9136.5699999999979</v>
      </c>
    </row>
    <row r="46" spans="1:12" ht="16.5">
      <c r="A46" s="3490"/>
      <c r="B46" s="3321">
        <v>3</v>
      </c>
      <c r="C46" s="3315" t="s">
        <v>3405</v>
      </c>
      <c r="D46" s="3315">
        <v>1063.95</v>
      </c>
      <c r="E46" s="3315">
        <v>781.07</v>
      </c>
      <c r="F46" s="3355"/>
      <c r="G46" s="3511"/>
      <c r="H46" s="3511">
        <v>42</v>
      </c>
      <c r="I46" s="3368">
        <v>-1</v>
      </c>
      <c r="J46" s="3368"/>
      <c r="K46" s="3372">
        <f>SUM(D87:D95)</f>
        <v>8822.48</v>
      </c>
      <c r="L46" s="3367">
        <f>SUM(E87:E95)</f>
        <v>5253.44</v>
      </c>
    </row>
    <row r="47" spans="1:12" ht="16.5">
      <c r="A47" s="3490"/>
      <c r="B47" s="3321">
        <v>3</v>
      </c>
      <c r="C47" s="3315" t="s">
        <v>3422</v>
      </c>
      <c r="D47" s="3315">
        <v>749.63</v>
      </c>
      <c r="E47" s="3315">
        <v>550.32000000000005</v>
      </c>
      <c r="F47" s="3355"/>
      <c r="G47" s="3511"/>
      <c r="H47" s="3511"/>
      <c r="I47" s="3365" t="s">
        <v>3520</v>
      </c>
      <c r="J47" s="3365"/>
      <c r="K47" s="3373">
        <f>K46</f>
        <v>8822.48</v>
      </c>
      <c r="L47" s="3369">
        <f>L46</f>
        <v>5253.44</v>
      </c>
    </row>
    <row r="48" spans="1:12" ht="16.5">
      <c r="A48" s="3490"/>
      <c r="B48" s="3380"/>
      <c r="C48" s="3326" t="s">
        <v>3514</v>
      </c>
      <c r="D48" s="3326">
        <f t="shared" ref="D48" si="4">SUM(D41:D47)</f>
        <v>5287.83</v>
      </c>
      <c r="E48" s="3326">
        <f>SUM(E41:E47)</f>
        <v>4052.9700000000003</v>
      </c>
      <c r="F48" s="3356"/>
      <c r="G48" s="3511"/>
      <c r="H48" s="3376" t="s">
        <v>3521</v>
      </c>
      <c r="I48" s="3377"/>
      <c r="J48" s="3377"/>
      <c r="K48" s="3378">
        <f>K12+K22+K25+K35+K45+K47</f>
        <v>66277.14</v>
      </c>
      <c r="L48" s="3378">
        <f>L12+L22+L25+L35+L45+L47</f>
        <v>47707.689999999995</v>
      </c>
    </row>
    <row r="49" spans="1:12" ht="16.5">
      <c r="A49" s="3490"/>
      <c r="B49" s="3321">
        <v>4</v>
      </c>
      <c r="C49" s="3315" t="s">
        <v>3402</v>
      </c>
      <c r="D49" s="3315">
        <v>676.86</v>
      </c>
      <c r="E49" s="3315">
        <v>505.18</v>
      </c>
      <c r="F49" s="3357"/>
      <c r="G49" s="3511">
        <v>44</v>
      </c>
      <c r="H49" s="3511">
        <v>6</v>
      </c>
      <c r="I49" s="3366">
        <v>1</v>
      </c>
      <c r="J49" s="3366"/>
      <c r="K49" s="3368">
        <f>D97+D98+D99</f>
        <v>2385.48</v>
      </c>
      <c r="L49" s="3374">
        <f>E97+E98+E99</f>
        <v>2021.0400000000002</v>
      </c>
    </row>
    <row r="50" spans="1:12" ht="16.5">
      <c r="A50" s="3490"/>
      <c r="B50" s="3321">
        <v>4</v>
      </c>
      <c r="C50" s="3315" t="s">
        <v>3403</v>
      </c>
      <c r="D50" s="3315">
        <v>676.86</v>
      </c>
      <c r="E50" s="3315">
        <v>505.18</v>
      </c>
      <c r="F50" s="3357"/>
      <c r="G50" s="3511"/>
      <c r="H50" s="3511"/>
      <c r="I50" s="3368">
        <v>2</v>
      </c>
      <c r="J50" s="3368"/>
      <c r="K50" s="3368">
        <f>D100+D101+D102</f>
        <v>2399.6099999999997</v>
      </c>
      <c r="L50" s="3374">
        <f>E100+E101+E102</f>
        <v>2033.0099999999998</v>
      </c>
    </row>
    <row r="51" spans="1:12" ht="16.5">
      <c r="A51" s="3490"/>
      <c r="B51" s="3321">
        <v>4</v>
      </c>
      <c r="C51" s="3315" t="s">
        <v>3404</v>
      </c>
      <c r="D51" s="3315">
        <v>718.35</v>
      </c>
      <c r="E51" s="3315">
        <v>502.39</v>
      </c>
      <c r="F51" s="3357"/>
      <c r="G51" s="3511"/>
      <c r="H51" s="3511"/>
      <c r="I51" s="3365" t="s">
        <v>3520</v>
      </c>
      <c r="J51" s="3365"/>
      <c r="K51" s="3371">
        <f>K49+K50</f>
        <v>4785.09</v>
      </c>
      <c r="L51" s="3375">
        <f>L49+L50</f>
        <v>4054.05</v>
      </c>
    </row>
    <row r="52" spans="1:12" ht="16.5">
      <c r="A52" s="3490"/>
      <c r="B52" s="3321">
        <v>4</v>
      </c>
      <c r="C52" s="3315" t="s">
        <v>3405</v>
      </c>
      <c r="D52" s="3315">
        <v>718.35</v>
      </c>
      <c r="E52" s="3315">
        <v>502.39</v>
      </c>
      <c r="F52" s="3357"/>
      <c r="G52" s="3511"/>
      <c r="H52" s="3511">
        <v>44</v>
      </c>
      <c r="I52" s="3368">
        <v>-1</v>
      </c>
      <c r="J52" s="3368"/>
      <c r="K52" s="3368">
        <f>SUM(D104:D110)</f>
        <v>6083.5900000000011</v>
      </c>
      <c r="L52" s="3374">
        <f>SUM(E104:E110)</f>
        <v>3823.57</v>
      </c>
    </row>
    <row r="53" spans="1:12" ht="16.5">
      <c r="A53" s="3490"/>
      <c r="B53" s="3321">
        <v>4</v>
      </c>
      <c r="C53" s="3315" t="s">
        <v>3406</v>
      </c>
      <c r="D53" s="3315">
        <v>713.76</v>
      </c>
      <c r="E53" s="3315">
        <v>499.18</v>
      </c>
      <c r="F53" s="3357"/>
      <c r="G53" s="3511"/>
      <c r="H53" s="3511"/>
      <c r="I53" s="3365" t="s">
        <v>3520</v>
      </c>
      <c r="J53" s="3365"/>
      <c r="K53" s="3371">
        <f>K52</f>
        <v>6083.5900000000011</v>
      </c>
      <c r="L53" s="3375">
        <f>L52</f>
        <v>3823.57</v>
      </c>
    </row>
    <row r="54" spans="1:12" ht="16.5">
      <c r="A54" s="3490"/>
      <c r="B54" s="3321">
        <v>4</v>
      </c>
      <c r="C54" s="3315" t="s">
        <v>3407</v>
      </c>
      <c r="D54" s="3315">
        <v>713.76</v>
      </c>
      <c r="E54" s="3315">
        <v>499.18</v>
      </c>
      <c r="F54" s="3357"/>
      <c r="G54" s="3511"/>
      <c r="H54" s="3376" t="s">
        <v>3521</v>
      </c>
      <c r="I54" s="3377"/>
      <c r="J54" s="3377"/>
      <c r="K54" s="3377">
        <f>K51+K53</f>
        <v>10868.68</v>
      </c>
      <c r="L54" s="3379">
        <f>L51+L53</f>
        <v>7877.6200000000008</v>
      </c>
    </row>
    <row r="55" spans="1:12" ht="16.5">
      <c r="A55" s="3490"/>
      <c r="B55" s="3321">
        <v>4</v>
      </c>
      <c r="C55" s="3315" t="s">
        <v>3408</v>
      </c>
      <c r="D55" s="3315">
        <v>681.82</v>
      </c>
      <c r="E55" s="3315">
        <v>508.88</v>
      </c>
      <c r="F55" s="3357"/>
      <c r="G55" s="3510">
        <v>47</v>
      </c>
      <c r="H55" s="3511">
        <v>9</v>
      </c>
      <c r="I55" s="3366">
        <v>1</v>
      </c>
      <c r="J55" s="3366"/>
      <c r="K55" s="3368">
        <f>D112+D113+D114</f>
        <v>2511.6999999999998</v>
      </c>
      <c r="L55" s="3368">
        <f>E112+E113+E114</f>
        <v>1851.75</v>
      </c>
    </row>
    <row r="56" spans="1:12" ht="16.5">
      <c r="A56" s="3490"/>
      <c r="B56" s="3321">
        <v>4</v>
      </c>
      <c r="C56" s="3315" t="s">
        <v>3409</v>
      </c>
      <c r="D56" s="3315">
        <v>681.82</v>
      </c>
      <c r="E56" s="3315">
        <v>508.88</v>
      </c>
      <c r="F56" s="3357"/>
      <c r="G56" s="3510"/>
      <c r="H56" s="3511"/>
      <c r="I56" s="3368">
        <v>2</v>
      </c>
      <c r="J56" s="3368"/>
      <c r="K56" s="3368">
        <f>D115+D116+D117</f>
        <v>2404.75</v>
      </c>
      <c r="L56" s="3374">
        <f>E115+E116+E117</f>
        <v>1772.9</v>
      </c>
    </row>
    <row r="57" spans="1:12" ht="16.5">
      <c r="A57" s="3490"/>
      <c r="B57" s="3321">
        <v>4</v>
      </c>
      <c r="C57" s="3315" t="s">
        <v>3410</v>
      </c>
      <c r="D57" s="3315">
        <v>681.82</v>
      </c>
      <c r="E57" s="3315">
        <v>508.88</v>
      </c>
      <c r="F57" s="3357"/>
      <c r="G57" s="3510"/>
      <c r="H57" s="3511"/>
      <c r="I57" s="3368">
        <v>3</v>
      </c>
      <c r="J57" s="3368"/>
      <c r="K57" s="3368">
        <f>D118+D119</f>
        <v>1903.49</v>
      </c>
      <c r="L57" s="3368">
        <f>E118+E119</f>
        <v>1435.0900000000001</v>
      </c>
    </row>
    <row r="58" spans="1:12" ht="16.5">
      <c r="A58" s="3490"/>
      <c r="B58" s="3321">
        <v>4</v>
      </c>
      <c r="C58" s="3315" t="s">
        <v>3411</v>
      </c>
      <c r="D58" s="3315">
        <v>681.82</v>
      </c>
      <c r="E58" s="3315">
        <v>508.88</v>
      </c>
      <c r="F58" s="3357"/>
      <c r="G58" s="3510"/>
      <c r="H58" s="3511"/>
      <c r="I58" s="3368">
        <v>4</v>
      </c>
      <c r="J58" s="3368"/>
      <c r="K58" s="3368">
        <f>D120+D121</f>
        <v>1923.47</v>
      </c>
      <c r="L58" s="3368">
        <f>E120+E121</f>
        <v>1494.81</v>
      </c>
    </row>
    <row r="59" spans="1:12" ht="16.5">
      <c r="A59" s="3490"/>
      <c r="B59" s="3321">
        <v>4</v>
      </c>
      <c r="C59" s="3315" t="s">
        <v>3412</v>
      </c>
      <c r="D59" s="3315">
        <v>681.82</v>
      </c>
      <c r="E59" s="3315">
        <v>508.88</v>
      </c>
      <c r="F59" s="3357"/>
      <c r="G59" s="3510"/>
      <c r="H59" s="3511"/>
      <c r="I59" s="3368">
        <v>5</v>
      </c>
      <c r="J59" s="3368"/>
      <c r="K59" s="3368">
        <f>D122+D123</f>
        <v>1923.47</v>
      </c>
      <c r="L59" s="3368">
        <f>E122+E123</f>
        <v>1494.81</v>
      </c>
    </row>
    <row r="60" spans="1:12" ht="16.5">
      <c r="A60" s="3490"/>
      <c r="B60" s="3321">
        <v>4</v>
      </c>
      <c r="C60" s="3315" t="s">
        <v>3413</v>
      </c>
      <c r="D60" s="3315">
        <v>681.82</v>
      </c>
      <c r="E60" s="3315">
        <v>508.88</v>
      </c>
      <c r="F60" s="3357"/>
      <c r="G60" s="3510"/>
      <c r="H60" s="3511"/>
      <c r="I60" s="3368">
        <v>6</v>
      </c>
      <c r="J60" s="3368"/>
      <c r="K60" s="3368">
        <f>D124+D125</f>
        <v>1923.47</v>
      </c>
      <c r="L60" s="3368">
        <f>E124+E125</f>
        <v>1494.81</v>
      </c>
    </row>
    <row r="61" spans="1:12" ht="16.5">
      <c r="A61" s="3490"/>
      <c r="B61" s="3321">
        <v>4</v>
      </c>
      <c r="C61" s="3315" t="s">
        <v>3414</v>
      </c>
      <c r="D61" s="3315">
        <v>681.82</v>
      </c>
      <c r="E61" s="3315">
        <v>508.88</v>
      </c>
      <c r="F61" s="3357"/>
      <c r="G61" s="3510"/>
      <c r="H61" s="3511"/>
      <c r="I61" s="3368">
        <v>7</v>
      </c>
      <c r="J61" s="3368"/>
      <c r="K61" s="3368">
        <f>D126+D127</f>
        <v>1923.47</v>
      </c>
      <c r="L61" s="3368">
        <f>E126+E127</f>
        <v>1494.81</v>
      </c>
    </row>
    <row r="62" spans="1:12" ht="16.5">
      <c r="A62" s="3490"/>
      <c r="B62" s="3321">
        <v>4</v>
      </c>
      <c r="C62" s="3315" t="s">
        <v>3415</v>
      </c>
      <c r="D62" s="3315">
        <v>681.82</v>
      </c>
      <c r="E62" s="3315">
        <v>508.88</v>
      </c>
      <c r="F62" s="3357"/>
      <c r="G62" s="3510"/>
      <c r="H62" s="3511"/>
      <c r="I62" s="3368">
        <v>8</v>
      </c>
      <c r="J62" s="3368"/>
      <c r="K62" s="3368">
        <f>K61</f>
        <v>1923.47</v>
      </c>
      <c r="L62" s="3368">
        <f>L61</f>
        <v>1494.81</v>
      </c>
    </row>
    <row r="63" spans="1:12" ht="16.5">
      <c r="A63" s="3490"/>
      <c r="B63" s="3321">
        <v>4</v>
      </c>
      <c r="C63" s="3315" t="s">
        <v>3416</v>
      </c>
      <c r="D63" s="3315">
        <v>681.82</v>
      </c>
      <c r="E63" s="3315">
        <v>508.88</v>
      </c>
      <c r="F63" s="3357"/>
      <c r="G63" s="3510"/>
      <c r="H63" s="3511"/>
      <c r="I63" s="3368">
        <v>9</v>
      </c>
      <c r="J63" s="3368"/>
      <c r="K63" s="3368">
        <f t="shared" ref="K63:L65" si="5">K61</f>
        <v>1923.47</v>
      </c>
      <c r="L63" s="3368">
        <f t="shared" si="5"/>
        <v>1494.81</v>
      </c>
    </row>
    <row r="64" spans="1:12" ht="16.5">
      <c r="A64" s="3490"/>
      <c r="B64" s="3321">
        <v>4</v>
      </c>
      <c r="C64" s="3315" t="s">
        <v>3417</v>
      </c>
      <c r="D64" s="3315">
        <v>681.82</v>
      </c>
      <c r="E64" s="3315">
        <v>508.88</v>
      </c>
      <c r="F64" s="3357"/>
      <c r="G64" s="3510"/>
      <c r="H64" s="3511"/>
      <c r="I64" s="3368">
        <v>10</v>
      </c>
      <c r="J64" s="3368"/>
      <c r="K64" s="3368">
        <f t="shared" si="5"/>
        <v>1923.47</v>
      </c>
      <c r="L64" s="3368">
        <f t="shared" si="5"/>
        <v>1494.81</v>
      </c>
    </row>
    <row r="65" spans="1:12" ht="16.5">
      <c r="A65" s="3490"/>
      <c r="B65" s="3321">
        <v>4</v>
      </c>
      <c r="C65" s="3315" t="s">
        <v>3418</v>
      </c>
      <c r="D65" s="3315">
        <v>681.82</v>
      </c>
      <c r="E65" s="3315">
        <v>508.88</v>
      </c>
      <c r="F65" s="3357"/>
      <c r="G65" s="3510"/>
      <c r="H65" s="3511"/>
      <c r="I65" s="3368">
        <v>11</v>
      </c>
      <c r="J65" s="3368"/>
      <c r="K65" s="3368">
        <f t="shared" si="5"/>
        <v>1923.47</v>
      </c>
      <c r="L65" s="3368">
        <f t="shared" si="5"/>
        <v>1494.81</v>
      </c>
    </row>
    <row r="66" spans="1:12" ht="16.5">
      <c r="A66" s="3490"/>
      <c r="B66" s="3321">
        <v>4</v>
      </c>
      <c r="C66" s="3315" t="s">
        <v>3419</v>
      </c>
      <c r="D66" s="3315">
        <v>681.82</v>
      </c>
      <c r="E66" s="3315">
        <v>508.88</v>
      </c>
      <c r="F66" s="3357"/>
      <c r="G66" s="3510"/>
      <c r="H66" s="3511"/>
      <c r="I66" s="3368">
        <v>12</v>
      </c>
      <c r="J66" s="3368"/>
      <c r="K66" s="3368">
        <f>K63</f>
        <v>1923.47</v>
      </c>
      <c r="L66" s="3368">
        <f>L63</f>
        <v>1494.81</v>
      </c>
    </row>
    <row r="67" spans="1:12" ht="16.5">
      <c r="A67" s="3490"/>
      <c r="B67" s="3321"/>
      <c r="C67" s="3315" t="s">
        <v>3515</v>
      </c>
      <c r="D67" s="3353">
        <f>SUM(D49:D66)</f>
        <v>12399.779999999997</v>
      </c>
      <c r="E67" s="3353">
        <f>SUM(E49:E66)</f>
        <v>9120.06</v>
      </c>
      <c r="F67" s="3358"/>
      <c r="G67" s="3510"/>
      <c r="H67" s="3511"/>
      <c r="I67" s="3368">
        <v>13</v>
      </c>
      <c r="J67" s="3368"/>
      <c r="K67" s="3368">
        <f>K65</f>
        <v>1923.47</v>
      </c>
      <c r="L67" s="3368">
        <f>L65</f>
        <v>1494.81</v>
      </c>
    </row>
    <row r="68" spans="1:12" ht="16.5">
      <c r="A68" s="3490"/>
      <c r="B68" s="3321">
        <v>5</v>
      </c>
      <c r="C68" s="3315" t="s">
        <v>3402</v>
      </c>
      <c r="D68" s="3315">
        <v>536.66999999999996</v>
      </c>
      <c r="E68" s="3315">
        <v>509.1</v>
      </c>
      <c r="F68" s="3357"/>
      <c r="G68" s="3510"/>
      <c r="H68" s="3511"/>
      <c r="I68" s="3365" t="s">
        <v>3520</v>
      </c>
      <c r="J68" s="3365"/>
      <c r="K68" s="3371">
        <f>SUM(K55:K67)</f>
        <v>26054.640000000003</v>
      </c>
      <c r="L68" s="3371">
        <f>SUM(L55:L67)</f>
        <v>20007.84</v>
      </c>
    </row>
    <row r="69" spans="1:12" ht="16.5">
      <c r="A69" s="3490"/>
      <c r="B69" s="3321">
        <v>5</v>
      </c>
      <c r="C69" s="3315" t="s">
        <v>3403</v>
      </c>
      <c r="D69" s="3315">
        <v>535.79</v>
      </c>
      <c r="E69" s="3315">
        <v>508.27</v>
      </c>
      <c r="F69" s="3357"/>
      <c r="G69" s="3510"/>
      <c r="H69" s="3511">
        <v>47</v>
      </c>
      <c r="I69" s="3368">
        <v>-1</v>
      </c>
      <c r="J69" s="3368"/>
      <c r="K69" s="3368">
        <f>SUM(D141:D148)</f>
        <v>5670.9699999999993</v>
      </c>
      <c r="L69" s="3374">
        <f>SUM(E141:E148)</f>
        <v>4424.6099999999997</v>
      </c>
    </row>
    <row r="70" spans="1:12" ht="16.5">
      <c r="A70" s="3490"/>
      <c r="B70" s="3321">
        <v>5</v>
      </c>
      <c r="C70" s="3315" t="s">
        <v>3404</v>
      </c>
      <c r="D70" s="3315">
        <v>748.02</v>
      </c>
      <c r="E70" s="3315">
        <v>509.33</v>
      </c>
      <c r="F70" s="3357"/>
      <c r="G70" s="3510"/>
      <c r="H70" s="3511"/>
      <c r="I70" s="3365" t="s">
        <v>3520</v>
      </c>
      <c r="J70" s="3365"/>
      <c r="K70" s="3371">
        <f>K69</f>
        <v>5670.9699999999993</v>
      </c>
      <c r="L70" s="3375">
        <f>L69</f>
        <v>4424.6099999999997</v>
      </c>
    </row>
    <row r="71" spans="1:12" ht="16.5">
      <c r="A71" s="3490"/>
      <c r="B71" s="3321">
        <v>5</v>
      </c>
      <c r="C71" s="3315" t="s">
        <v>3405</v>
      </c>
      <c r="D71" s="3315">
        <v>738.19</v>
      </c>
      <c r="E71" s="3315">
        <v>502.64</v>
      </c>
      <c r="F71" s="3357"/>
      <c r="G71" s="3510"/>
      <c r="H71" s="3376" t="s">
        <v>3521</v>
      </c>
      <c r="I71" s="3377"/>
      <c r="J71" s="3377"/>
      <c r="K71" s="3377">
        <f>K68+K70</f>
        <v>31725.61</v>
      </c>
      <c r="L71" s="3379">
        <f>L68+L70</f>
        <v>24432.45</v>
      </c>
    </row>
    <row r="72" spans="1:12" ht="16.5">
      <c r="A72" s="3490"/>
      <c r="B72" s="3321">
        <v>5</v>
      </c>
      <c r="C72" s="3315" t="s">
        <v>3406</v>
      </c>
      <c r="D72" s="3315">
        <v>742.41</v>
      </c>
      <c r="E72" s="3315">
        <v>505.51</v>
      </c>
      <c r="F72" s="3357"/>
      <c r="G72" s="3365" t="s">
        <v>3522</v>
      </c>
      <c r="H72" s="3371"/>
      <c r="I72" s="3371"/>
      <c r="J72" s="3388"/>
      <c r="K72" s="3369">
        <f>K48+K54+K71</f>
        <v>108871.43000000001</v>
      </c>
      <c r="L72" s="3369">
        <f>L71+L54+L48</f>
        <v>80017.759999999995</v>
      </c>
    </row>
    <row r="73" spans="1:12" ht="16.5">
      <c r="A73" s="3490"/>
      <c r="B73" s="3321">
        <v>5</v>
      </c>
      <c r="C73" s="3315" t="s">
        <v>3407</v>
      </c>
      <c r="D73" s="3315">
        <v>734.08</v>
      </c>
      <c r="E73" s="3315">
        <v>499.84</v>
      </c>
      <c r="F73" s="3357"/>
    </row>
    <row r="74" spans="1:12" ht="16.5">
      <c r="A74" s="3490"/>
      <c r="B74" s="3321">
        <v>5</v>
      </c>
      <c r="C74" s="3315" t="s">
        <v>3408</v>
      </c>
      <c r="D74" s="3315">
        <v>698.58</v>
      </c>
      <c r="E74" s="3315">
        <v>508.49</v>
      </c>
      <c r="F74" s="3357"/>
    </row>
    <row r="75" spans="1:12" ht="16.5">
      <c r="A75" s="3490"/>
      <c r="B75" s="3321">
        <v>5</v>
      </c>
      <c r="C75" s="3315" t="s">
        <v>3409</v>
      </c>
      <c r="D75" s="3315">
        <v>698.58</v>
      </c>
      <c r="E75" s="3315">
        <v>508.49</v>
      </c>
      <c r="F75" s="3357"/>
    </row>
    <row r="76" spans="1:12" ht="16.5">
      <c r="A76" s="3490"/>
      <c r="B76" s="3321">
        <v>5</v>
      </c>
      <c r="C76" s="3315" t="s">
        <v>3410</v>
      </c>
      <c r="D76" s="3315">
        <v>698.58</v>
      </c>
      <c r="E76" s="3315">
        <v>508.49</v>
      </c>
      <c r="F76" s="3357"/>
    </row>
    <row r="77" spans="1:12" ht="16.5">
      <c r="A77" s="3490"/>
      <c r="B77" s="3321">
        <v>5</v>
      </c>
      <c r="C77" s="3315" t="s">
        <v>3411</v>
      </c>
      <c r="D77" s="3315">
        <v>698.58</v>
      </c>
      <c r="E77" s="3315">
        <v>508.49</v>
      </c>
      <c r="F77" s="3357"/>
    </row>
    <row r="78" spans="1:12" ht="16.5">
      <c r="A78" s="3490"/>
      <c r="B78" s="3321">
        <v>5</v>
      </c>
      <c r="C78" s="3315" t="s">
        <v>3412</v>
      </c>
      <c r="D78" s="3315">
        <v>698.58</v>
      </c>
      <c r="E78" s="3315">
        <v>508.49</v>
      </c>
      <c r="F78" s="3357"/>
    </row>
    <row r="79" spans="1:12" ht="16.5">
      <c r="A79" s="3490"/>
      <c r="B79" s="3321">
        <v>5</v>
      </c>
      <c r="C79" s="3315" t="s">
        <v>3413</v>
      </c>
      <c r="D79" s="3315">
        <v>698.58</v>
      </c>
      <c r="E79" s="3315">
        <v>508.49</v>
      </c>
      <c r="F79" s="3357"/>
    </row>
    <row r="80" spans="1:12" ht="16.5">
      <c r="A80" s="3490"/>
      <c r="B80" s="3321">
        <v>5</v>
      </c>
      <c r="C80" s="3315" t="s">
        <v>3414</v>
      </c>
      <c r="D80" s="3315">
        <v>698.58</v>
      </c>
      <c r="E80" s="3315">
        <v>508.49</v>
      </c>
      <c r="F80" s="3357"/>
    </row>
    <row r="81" spans="1:6" ht="16.5">
      <c r="A81" s="3490"/>
      <c r="B81" s="3321">
        <v>5</v>
      </c>
      <c r="C81" s="3315" t="s">
        <v>3415</v>
      </c>
      <c r="D81" s="3315">
        <v>698.58</v>
      </c>
      <c r="E81" s="3315">
        <v>508.49</v>
      </c>
      <c r="F81" s="3357"/>
    </row>
    <row r="82" spans="1:6" ht="16.5">
      <c r="A82" s="3490"/>
      <c r="B82" s="3321">
        <v>5</v>
      </c>
      <c r="C82" s="3315" t="s">
        <v>3416</v>
      </c>
      <c r="D82" s="3315">
        <v>698.58</v>
      </c>
      <c r="E82" s="3315">
        <v>508.49</v>
      </c>
      <c r="F82" s="3357"/>
    </row>
    <row r="83" spans="1:6" ht="16.5">
      <c r="A83" s="3490"/>
      <c r="B83" s="3321">
        <v>5</v>
      </c>
      <c r="C83" s="3315" t="s">
        <v>3417</v>
      </c>
      <c r="D83" s="3315">
        <v>698.58</v>
      </c>
      <c r="E83" s="3315">
        <v>508.49</v>
      </c>
      <c r="F83" s="3357"/>
    </row>
    <row r="84" spans="1:6" ht="16.5">
      <c r="A84" s="3490"/>
      <c r="B84" s="3321">
        <v>5</v>
      </c>
      <c r="C84" s="3315" t="s">
        <v>3418</v>
      </c>
      <c r="D84" s="3315">
        <v>698.58</v>
      </c>
      <c r="E84" s="3315">
        <v>508.49</v>
      </c>
      <c r="F84" s="3357"/>
    </row>
    <row r="85" spans="1:6" ht="16.5">
      <c r="A85" s="3490"/>
      <c r="B85" s="3321">
        <v>5</v>
      </c>
      <c r="C85" s="3315" t="s">
        <v>3419</v>
      </c>
      <c r="D85" s="3315">
        <v>698.58</v>
      </c>
      <c r="E85" s="3315">
        <v>508.49</v>
      </c>
      <c r="F85" s="3357"/>
    </row>
    <row r="86" spans="1:6" ht="16.5">
      <c r="A86" s="3490"/>
      <c r="B86" s="3380"/>
      <c r="C86" s="3326" t="s">
        <v>3200</v>
      </c>
      <c r="D86" s="3326">
        <f t="shared" ref="D86:E86" si="6">SUM(D68:D85)</f>
        <v>12418.119999999999</v>
      </c>
      <c r="E86" s="3326">
        <f t="shared" si="6"/>
        <v>9136.5699999999979</v>
      </c>
      <c r="F86" s="3359"/>
    </row>
    <row r="87" spans="1:6" ht="16.5">
      <c r="A87" s="3490"/>
      <c r="B87" s="3321">
        <v>42</v>
      </c>
      <c r="C87" s="3315" t="s">
        <v>3423</v>
      </c>
      <c r="D87" s="3315">
        <v>969.55</v>
      </c>
      <c r="E87" s="3315">
        <v>577.33000000000004</v>
      </c>
      <c r="F87" s="3357"/>
    </row>
    <row r="88" spans="1:6" ht="16.5">
      <c r="A88" s="3490"/>
      <c r="B88" s="3321">
        <v>42</v>
      </c>
      <c r="C88" s="3315" t="s">
        <v>3424</v>
      </c>
      <c r="D88" s="3315">
        <v>1449.79</v>
      </c>
      <c r="E88" s="3315">
        <v>863.29</v>
      </c>
      <c r="F88" s="3357"/>
    </row>
    <row r="89" spans="1:6" ht="16.5">
      <c r="A89" s="3490"/>
      <c r="B89" s="3321">
        <v>42</v>
      </c>
      <c r="C89" s="3315" t="s">
        <v>3425</v>
      </c>
      <c r="D89" s="3315">
        <v>1041.56</v>
      </c>
      <c r="E89" s="3315">
        <v>620.21</v>
      </c>
      <c r="F89" s="3357"/>
    </row>
    <row r="90" spans="1:6" ht="16.5">
      <c r="A90" s="3490"/>
      <c r="B90" s="3321">
        <v>42</v>
      </c>
      <c r="C90" s="3315" t="s">
        <v>3426</v>
      </c>
      <c r="D90" s="3315">
        <v>883.94</v>
      </c>
      <c r="E90" s="3315">
        <v>526.35</v>
      </c>
      <c r="F90" s="3357"/>
    </row>
    <row r="91" spans="1:6" ht="16.5">
      <c r="A91" s="3490"/>
      <c r="B91" s="3321">
        <v>42</v>
      </c>
      <c r="C91" s="3315" t="s">
        <v>3427</v>
      </c>
      <c r="D91" s="3315">
        <v>863.4</v>
      </c>
      <c r="E91" s="3315">
        <v>514.12</v>
      </c>
      <c r="F91" s="3357"/>
    </row>
    <row r="92" spans="1:6" ht="16.5">
      <c r="A92" s="3490"/>
      <c r="B92" s="3321">
        <v>42</v>
      </c>
      <c r="C92" s="3315" t="s">
        <v>3428</v>
      </c>
      <c r="D92" s="3315">
        <v>903.32</v>
      </c>
      <c r="E92" s="3315">
        <v>537.89</v>
      </c>
      <c r="F92" s="3357"/>
    </row>
    <row r="93" spans="1:6" ht="16.5">
      <c r="A93" s="3490"/>
      <c r="B93" s="3321">
        <v>42</v>
      </c>
      <c r="C93" s="3315" t="s">
        <v>3429</v>
      </c>
      <c r="D93" s="3315">
        <v>892.55</v>
      </c>
      <c r="E93" s="3315">
        <v>531.48</v>
      </c>
      <c r="F93" s="3357"/>
    </row>
    <row r="94" spans="1:6" ht="16.5">
      <c r="A94" s="3490"/>
      <c r="B94" s="3321">
        <v>42</v>
      </c>
      <c r="C94" s="3315" t="s">
        <v>3430</v>
      </c>
      <c r="D94" s="3315">
        <v>883.6</v>
      </c>
      <c r="E94" s="3315">
        <v>526.15</v>
      </c>
      <c r="F94" s="3357"/>
    </row>
    <row r="95" spans="1:6" ht="16.5">
      <c r="A95" s="3491"/>
      <c r="B95" s="3321">
        <v>42</v>
      </c>
      <c r="C95" s="3315" t="s">
        <v>3431</v>
      </c>
      <c r="D95" s="3315">
        <v>934.77</v>
      </c>
      <c r="E95" s="3315">
        <v>556.62</v>
      </c>
      <c r="F95" s="3357"/>
    </row>
    <row r="96" spans="1:6" ht="16.5">
      <c r="A96" s="3349"/>
      <c r="B96" s="3380"/>
      <c r="C96" s="3326" t="s">
        <v>3200</v>
      </c>
      <c r="D96" s="3326">
        <f t="shared" ref="D96:E96" si="7">SUM(D87:D95)</f>
        <v>8822.48</v>
      </c>
      <c r="E96" s="3326">
        <f t="shared" si="7"/>
        <v>5253.44</v>
      </c>
      <c r="F96" s="3359"/>
    </row>
    <row r="97" spans="1:6" ht="16.5">
      <c r="A97" s="3489" t="s">
        <v>3432</v>
      </c>
      <c r="B97" s="3321">
        <v>6</v>
      </c>
      <c r="C97" s="3315" t="s">
        <v>3402</v>
      </c>
      <c r="D97" s="3316">
        <v>867.37</v>
      </c>
      <c r="E97" s="3317">
        <v>734.86</v>
      </c>
      <c r="F97" s="3360"/>
    </row>
    <row r="98" spans="1:6" ht="16.5">
      <c r="A98" s="3490"/>
      <c r="B98" s="3321">
        <v>6</v>
      </c>
      <c r="C98" s="3315" t="s">
        <v>3403</v>
      </c>
      <c r="D98" s="3316">
        <v>771.32</v>
      </c>
      <c r="E98" s="3317">
        <v>653.48</v>
      </c>
      <c r="F98" s="3360"/>
    </row>
    <row r="99" spans="1:6" ht="16.5">
      <c r="A99" s="3490"/>
      <c r="B99" s="3321">
        <v>6</v>
      </c>
      <c r="C99" s="3315" t="s">
        <v>3433</v>
      </c>
      <c r="D99" s="3316">
        <v>746.79</v>
      </c>
      <c r="E99" s="3317">
        <v>632.70000000000005</v>
      </c>
      <c r="F99" s="3360"/>
    </row>
    <row r="100" spans="1:6" ht="16.5">
      <c r="A100" s="3490"/>
      <c r="B100" s="3321">
        <v>6</v>
      </c>
      <c r="C100" s="3315" t="s">
        <v>3434</v>
      </c>
      <c r="D100" s="3316">
        <v>762.37</v>
      </c>
      <c r="E100" s="3317">
        <v>645.9</v>
      </c>
      <c r="F100" s="3360"/>
    </row>
    <row r="101" spans="1:6" ht="16.5">
      <c r="A101" s="3490"/>
      <c r="B101" s="3321">
        <v>6</v>
      </c>
      <c r="C101" s="3315" t="s">
        <v>3435</v>
      </c>
      <c r="D101" s="3316">
        <v>762.21</v>
      </c>
      <c r="E101" s="3317">
        <v>645.76</v>
      </c>
      <c r="F101" s="3360"/>
    </row>
    <row r="102" spans="1:6" ht="16.5">
      <c r="A102" s="3490"/>
      <c r="B102" s="3321">
        <v>6</v>
      </c>
      <c r="C102" s="3315" t="s">
        <v>3436</v>
      </c>
      <c r="D102" s="3316">
        <v>875.03</v>
      </c>
      <c r="E102" s="3317">
        <v>741.35</v>
      </c>
      <c r="F102" s="3360"/>
    </row>
    <row r="103" spans="1:6" ht="16.5">
      <c r="A103" s="3490"/>
      <c r="B103" s="3512" t="s">
        <v>3200</v>
      </c>
      <c r="C103" s="3513"/>
      <c r="D103" s="3317">
        <f>SUM(D97:D102)</f>
        <v>4785.09</v>
      </c>
      <c r="E103" s="3317"/>
      <c r="F103" s="3360"/>
    </row>
    <row r="104" spans="1:6" ht="16.5">
      <c r="A104" s="3490"/>
      <c r="B104" s="3321">
        <v>44</v>
      </c>
      <c r="C104" s="3315" t="s">
        <v>3424</v>
      </c>
      <c r="D104" s="3316">
        <v>862.97</v>
      </c>
      <c r="E104" s="3317">
        <v>542.38</v>
      </c>
      <c r="F104" s="3360"/>
    </row>
    <row r="105" spans="1:6" ht="16.5">
      <c r="A105" s="3490"/>
      <c r="B105" s="3321">
        <v>44</v>
      </c>
      <c r="C105" s="3315" t="s">
        <v>3425</v>
      </c>
      <c r="D105" s="3316">
        <v>897.18</v>
      </c>
      <c r="E105" s="3317">
        <v>563.88</v>
      </c>
      <c r="F105" s="3360"/>
    </row>
    <row r="106" spans="1:6" ht="16.5">
      <c r="A106" s="3490"/>
      <c r="B106" s="3321">
        <v>44</v>
      </c>
      <c r="C106" s="3315" t="s">
        <v>3426</v>
      </c>
      <c r="D106" s="3316">
        <v>828.92</v>
      </c>
      <c r="E106" s="3317">
        <v>520.98</v>
      </c>
      <c r="F106" s="3360"/>
    </row>
    <row r="107" spans="1:6" ht="16.5">
      <c r="A107" s="3490"/>
      <c r="B107" s="3321">
        <v>44</v>
      </c>
      <c r="C107" s="3315" t="s">
        <v>3427</v>
      </c>
      <c r="D107" s="3316">
        <v>902.95</v>
      </c>
      <c r="E107" s="3317">
        <v>567.51</v>
      </c>
      <c r="F107" s="3360"/>
    </row>
    <row r="108" spans="1:6" ht="16.5">
      <c r="A108" s="3490"/>
      <c r="B108" s="3321">
        <v>44</v>
      </c>
      <c r="C108" s="3315" t="s">
        <v>3428</v>
      </c>
      <c r="D108" s="3316">
        <v>818.35</v>
      </c>
      <c r="E108" s="3317">
        <v>514.34</v>
      </c>
      <c r="F108" s="3360"/>
    </row>
    <row r="109" spans="1:6" ht="16.5">
      <c r="A109" s="3490"/>
      <c r="B109" s="3321">
        <v>44</v>
      </c>
      <c r="C109" s="3315" t="s">
        <v>3429</v>
      </c>
      <c r="D109" s="3316">
        <v>858.26</v>
      </c>
      <c r="E109" s="3317">
        <v>539.41999999999996</v>
      </c>
      <c r="F109" s="3360"/>
    </row>
    <row r="110" spans="1:6" ht="16.5">
      <c r="A110" s="3491"/>
      <c r="B110" s="3321">
        <v>44</v>
      </c>
      <c r="C110" s="3315" t="s">
        <v>3430</v>
      </c>
      <c r="D110" s="3316">
        <v>914.96</v>
      </c>
      <c r="E110" s="3317">
        <v>575.05999999999995</v>
      </c>
      <c r="F110" s="3360"/>
    </row>
    <row r="111" spans="1:6" ht="16.5">
      <c r="A111" s="3349"/>
      <c r="B111" s="3321" t="s">
        <v>3200</v>
      </c>
      <c r="C111" s="3315"/>
      <c r="D111" s="3316">
        <f>SUM(D104:D110)</f>
        <v>6083.5900000000011</v>
      </c>
      <c r="E111" s="3316"/>
      <c r="F111" s="3361"/>
    </row>
    <row r="112" spans="1:6" ht="16.5">
      <c r="A112" s="3494" t="s">
        <v>3437</v>
      </c>
      <c r="B112" s="3321">
        <v>9</v>
      </c>
      <c r="C112" s="3315" t="s">
        <v>3402</v>
      </c>
      <c r="D112" s="3316">
        <v>694.17</v>
      </c>
      <c r="E112" s="3317">
        <v>511.78</v>
      </c>
      <c r="F112" s="3360"/>
    </row>
    <row r="113" spans="1:6" ht="16.5">
      <c r="A113" s="3495"/>
      <c r="B113" s="3321">
        <v>9</v>
      </c>
      <c r="C113" s="3315" t="s">
        <v>3403</v>
      </c>
      <c r="D113" s="3316">
        <v>1054.23</v>
      </c>
      <c r="E113" s="3317">
        <v>777.23</v>
      </c>
      <c r="F113" s="3360"/>
    </row>
    <row r="114" spans="1:6" ht="16.5">
      <c r="A114" s="3495"/>
      <c r="B114" s="3321">
        <v>9</v>
      </c>
      <c r="C114" s="3315" t="s">
        <v>3433</v>
      </c>
      <c r="D114" s="3316">
        <v>763.3</v>
      </c>
      <c r="E114" s="3317">
        <v>562.74</v>
      </c>
      <c r="F114" s="3360"/>
    </row>
    <row r="115" spans="1:6" ht="16.5">
      <c r="A115" s="3495"/>
      <c r="B115" s="3321">
        <v>9</v>
      </c>
      <c r="C115" s="3315" t="s">
        <v>3434</v>
      </c>
      <c r="D115" s="3316">
        <v>783.64</v>
      </c>
      <c r="E115" s="3317">
        <v>577.74</v>
      </c>
      <c r="F115" s="3360"/>
    </row>
    <row r="116" spans="1:6" ht="16.5">
      <c r="A116" s="3495"/>
      <c r="B116" s="3321">
        <v>9</v>
      </c>
      <c r="C116" s="3315" t="s">
        <v>3435</v>
      </c>
      <c r="D116" s="3316">
        <v>791.09</v>
      </c>
      <c r="E116" s="3317">
        <v>583.23</v>
      </c>
      <c r="F116" s="3360"/>
    </row>
    <row r="117" spans="1:6" ht="16.5">
      <c r="A117" s="3495"/>
      <c r="B117" s="3321">
        <v>9</v>
      </c>
      <c r="C117" s="3315" t="s">
        <v>3436</v>
      </c>
      <c r="D117" s="3316">
        <v>830.02</v>
      </c>
      <c r="E117" s="3317">
        <v>611.92999999999995</v>
      </c>
      <c r="F117" s="3360"/>
    </row>
    <row r="118" spans="1:6" ht="16.5">
      <c r="A118" s="3495"/>
      <c r="B118" s="3321">
        <v>9</v>
      </c>
      <c r="C118" s="3315" t="s">
        <v>3438</v>
      </c>
      <c r="D118" s="3316">
        <v>950.98</v>
      </c>
      <c r="E118" s="3317">
        <v>716.97</v>
      </c>
      <c r="F118" s="3360"/>
    </row>
    <row r="119" spans="1:6" ht="16.5">
      <c r="A119" s="3495"/>
      <c r="B119" s="3321">
        <v>9</v>
      </c>
      <c r="C119" s="3315" t="s">
        <v>3439</v>
      </c>
      <c r="D119" s="3316">
        <v>952.51</v>
      </c>
      <c r="E119" s="3317">
        <v>718.12</v>
      </c>
      <c r="F119" s="3360"/>
    </row>
    <row r="120" spans="1:6" ht="16.5">
      <c r="A120" s="3495"/>
      <c r="B120" s="3321">
        <v>9</v>
      </c>
      <c r="C120" s="3315" t="s">
        <v>3440</v>
      </c>
      <c r="D120" s="3316">
        <v>961.73</v>
      </c>
      <c r="E120" s="3317">
        <v>747.4</v>
      </c>
      <c r="F120" s="3360"/>
    </row>
    <row r="121" spans="1:6" ht="16.5">
      <c r="A121" s="3495"/>
      <c r="B121" s="3321">
        <v>9</v>
      </c>
      <c r="C121" s="3315" t="s">
        <v>3441</v>
      </c>
      <c r="D121" s="3316">
        <v>961.74</v>
      </c>
      <c r="E121" s="3317">
        <v>747.41</v>
      </c>
      <c r="F121" s="3360"/>
    </row>
    <row r="122" spans="1:6" ht="16.5">
      <c r="A122" s="3495"/>
      <c r="B122" s="3321">
        <v>9</v>
      </c>
      <c r="C122" s="3315" t="s">
        <v>3442</v>
      </c>
      <c r="D122" s="3316">
        <v>961.73</v>
      </c>
      <c r="E122" s="3317">
        <v>747.4</v>
      </c>
      <c r="F122" s="3360"/>
    </row>
    <row r="123" spans="1:6" ht="16.5">
      <c r="A123" s="3495"/>
      <c r="B123" s="3321">
        <v>9</v>
      </c>
      <c r="C123" s="3315" t="s">
        <v>3443</v>
      </c>
      <c r="D123" s="3316">
        <v>961.74</v>
      </c>
      <c r="E123" s="3317">
        <v>747.41</v>
      </c>
      <c r="F123" s="3360"/>
    </row>
    <row r="124" spans="1:6" ht="16.5">
      <c r="A124" s="3495"/>
      <c r="B124" s="3321">
        <v>9</v>
      </c>
      <c r="C124" s="3315" t="s">
        <v>3444</v>
      </c>
      <c r="D124" s="3316">
        <v>961.73</v>
      </c>
      <c r="E124" s="3317">
        <v>747.4</v>
      </c>
      <c r="F124" s="3360"/>
    </row>
    <row r="125" spans="1:6" ht="16.5">
      <c r="A125" s="3495"/>
      <c r="B125" s="3321">
        <v>9</v>
      </c>
      <c r="C125" s="3315" t="s">
        <v>3445</v>
      </c>
      <c r="D125" s="3316">
        <v>961.74</v>
      </c>
      <c r="E125" s="3317">
        <v>747.41</v>
      </c>
      <c r="F125" s="3360"/>
    </row>
    <row r="126" spans="1:6" ht="16.5">
      <c r="A126" s="3495"/>
      <c r="B126" s="3321">
        <v>9</v>
      </c>
      <c r="C126" s="3315" t="s">
        <v>3446</v>
      </c>
      <c r="D126" s="3316">
        <v>961.73</v>
      </c>
      <c r="E126" s="3317">
        <v>747.4</v>
      </c>
      <c r="F126" s="3360"/>
    </row>
    <row r="127" spans="1:6" ht="16.5">
      <c r="A127" s="3495"/>
      <c r="B127" s="3321">
        <v>9</v>
      </c>
      <c r="C127" s="3315" t="s">
        <v>3447</v>
      </c>
      <c r="D127" s="3316">
        <v>961.74</v>
      </c>
      <c r="E127" s="3317">
        <v>747.41</v>
      </c>
      <c r="F127" s="3360"/>
    </row>
    <row r="128" spans="1:6" ht="16.5">
      <c r="A128" s="3495"/>
      <c r="B128" s="3321">
        <v>9</v>
      </c>
      <c r="C128" s="3315" t="s">
        <v>3448</v>
      </c>
      <c r="D128" s="3316">
        <v>961.73</v>
      </c>
      <c r="E128" s="3317">
        <v>747.4</v>
      </c>
      <c r="F128" s="3360"/>
    </row>
    <row r="129" spans="1:6" ht="16.5">
      <c r="A129" s="3495"/>
      <c r="B129" s="3321">
        <v>9</v>
      </c>
      <c r="C129" s="3315" t="s">
        <v>3449</v>
      </c>
      <c r="D129" s="3316">
        <v>961.74</v>
      </c>
      <c r="E129" s="3317">
        <v>747.41</v>
      </c>
      <c r="F129" s="3360"/>
    </row>
    <row r="130" spans="1:6" ht="16.5">
      <c r="A130" s="3495"/>
      <c r="B130" s="3321">
        <v>9</v>
      </c>
      <c r="C130" s="3315" t="s">
        <v>3450</v>
      </c>
      <c r="D130" s="3316">
        <v>961.73</v>
      </c>
      <c r="E130" s="3317">
        <v>747.4</v>
      </c>
      <c r="F130" s="3360"/>
    </row>
    <row r="131" spans="1:6" ht="16.5">
      <c r="A131" s="3495"/>
      <c r="B131" s="3321">
        <v>9</v>
      </c>
      <c r="C131" s="3315" t="s">
        <v>3451</v>
      </c>
      <c r="D131" s="3316">
        <v>961.74</v>
      </c>
      <c r="E131" s="3317">
        <v>747.41</v>
      </c>
      <c r="F131" s="3360"/>
    </row>
    <row r="132" spans="1:6" ht="16.5">
      <c r="A132" s="3495"/>
      <c r="B132" s="3321">
        <v>9</v>
      </c>
      <c r="C132" s="3315" t="s">
        <v>3452</v>
      </c>
      <c r="D132" s="3316">
        <v>961.73</v>
      </c>
      <c r="E132" s="3317">
        <v>747.4</v>
      </c>
      <c r="F132" s="3360"/>
    </row>
    <row r="133" spans="1:6" ht="16.5">
      <c r="A133" s="3495"/>
      <c r="B133" s="3321">
        <v>9</v>
      </c>
      <c r="C133" s="3315" t="s">
        <v>3453</v>
      </c>
      <c r="D133" s="3316">
        <v>961.74</v>
      </c>
      <c r="E133" s="3317">
        <v>747.41</v>
      </c>
      <c r="F133" s="3360"/>
    </row>
    <row r="134" spans="1:6" ht="16.5">
      <c r="A134" s="3495"/>
      <c r="B134" s="3321">
        <v>9</v>
      </c>
      <c r="C134" s="3315" t="s">
        <v>3454</v>
      </c>
      <c r="D134" s="3316">
        <v>961.73</v>
      </c>
      <c r="E134" s="3317">
        <v>747.4</v>
      </c>
      <c r="F134" s="3360"/>
    </row>
    <row r="135" spans="1:6" ht="16.5">
      <c r="A135" s="3495"/>
      <c r="B135" s="3321">
        <v>9</v>
      </c>
      <c r="C135" s="3315" t="s">
        <v>3455</v>
      </c>
      <c r="D135" s="3316">
        <v>961.74</v>
      </c>
      <c r="E135" s="3317">
        <v>747.41</v>
      </c>
      <c r="F135" s="3360"/>
    </row>
    <row r="136" spans="1:6" ht="16.5">
      <c r="A136" s="3495"/>
      <c r="B136" s="3321">
        <v>9</v>
      </c>
      <c r="C136" s="3315" t="s">
        <v>3456</v>
      </c>
      <c r="D136" s="3316">
        <v>961.73</v>
      </c>
      <c r="E136" s="3317">
        <v>747.4</v>
      </c>
      <c r="F136" s="3360"/>
    </row>
    <row r="137" spans="1:6" ht="16.5">
      <c r="A137" s="3495"/>
      <c r="B137" s="3321">
        <v>9</v>
      </c>
      <c r="C137" s="3315" t="s">
        <v>3457</v>
      </c>
      <c r="D137" s="3316">
        <v>961.74</v>
      </c>
      <c r="E137" s="3317">
        <v>747.41</v>
      </c>
      <c r="F137" s="3360"/>
    </row>
    <row r="138" spans="1:6" ht="16.5">
      <c r="A138" s="3495"/>
      <c r="B138" s="3321">
        <v>9</v>
      </c>
      <c r="C138" s="3315" t="s">
        <v>3458</v>
      </c>
      <c r="D138" s="3316">
        <v>961.73</v>
      </c>
      <c r="E138" s="3317">
        <v>747.4</v>
      </c>
      <c r="F138" s="3360"/>
    </row>
    <row r="139" spans="1:6" ht="16.5">
      <c r="A139" s="3495"/>
      <c r="B139" s="3321">
        <v>9</v>
      </c>
      <c r="C139" s="3315" t="s">
        <v>3459</v>
      </c>
      <c r="D139" s="3316">
        <v>961.74</v>
      </c>
      <c r="E139" s="3317">
        <v>747.41</v>
      </c>
      <c r="F139" s="3360"/>
    </row>
    <row r="140" spans="1:6" ht="16.5">
      <c r="A140" s="3495"/>
      <c r="B140" s="3321"/>
      <c r="C140" s="3315"/>
      <c r="D140" s="3316">
        <f>SUM(D112:D139)</f>
        <v>26054.640000000003</v>
      </c>
      <c r="E140" s="3317"/>
      <c r="F140" s="3360"/>
    </row>
    <row r="141" spans="1:6" ht="16.5">
      <c r="A141" s="3495"/>
      <c r="B141" s="3321">
        <v>47</v>
      </c>
      <c r="C141" s="3315" t="s">
        <v>3424</v>
      </c>
      <c r="D141" s="3316">
        <v>646.46</v>
      </c>
      <c r="E141" s="3317">
        <v>504.38</v>
      </c>
      <c r="F141" s="3360"/>
    </row>
    <row r="142" spans="1:6" ht="16.5">
      <c r="A142" s="3495"/>
      <c r="B142" s="3321">
        <v>47</v>
      </c>
      <c r="C142" s="3315" t="s">
        <v>3425</v>
      </c>
      <c r="D142" s="3316">
        <v>664.53</v>
      </c>
      <c r="E142" s="3317">
        <v>518.48</v>
      </c>
      <c r="F142" s="3360"/>
    </row>
    <row r="143" spans="1:6" ht="16.5">
      <c r="A143" s="3495"/>
      <c r="B143" s="3321">
        <v>47</v>
      </c>
      <c r="C143" s="3315" t="s">
        <v>3426</v>
      </c>
      <c r="D143" s="3316">
        <v>641.11</v>
      </c>
      <c r="E143" s="3317">
        <v>500.21</v>
      </c>
      <c r="F143" s="3360"/>
    </row>
    <row r="144" spans="1:6" ht="16.5">
      <c r="A144" s="3495"/>
      <c r="B144" s="3321">
        <v>47</v>
      </c>
      <c r="C144" s="3315" t="s">
        <v>3427</v>
      </c>
      <c r="D144" s="3316">
        <v>645.15</v>
      </c>
      <c r="E144" s="3317">
        <v>503.36</v>
      </c>
      <c r="F144" s="3360"/>
    </row>
    <row r="145" spans="1:6" ht="16.5">
      <c r="A145" s="3495"/>
      <c r="B145" s="3321">
        <v>47</v>
      </c>
      <c r="C145" s="3315" t="s">
        <v>3428</v>
      </c>
      <c r="D145" s="3316">
        <v>1095.0999999999999</v>
      </c>
      <c r="E145" s="3317">
        <v>854.42</v>
      </c>
      <c r="F145" s="3360"/>
    </row>
    <row r="146" spans="1:6" ht="16.5">
      <c r="A146" s="3495"/>
      <c r="B146" s="3321">
        <v>47</v>
      </c>
      <c r="C146" s="3315" t="s">
        <v>3429</v>
      </c>
      <c r="D146" s="3316">
        <v>654.29999999999995</v>
      </c>
      <c r="E146" s="3317">
        <v>510.5</v>
      </c>
      <c r="F146" s="3360"/>
    </row>
    <row r="147" spans="1:6" ht="16.5">
      <c r="A147" s="3495"/>
      <c r="B147" s="3321">
        <v>47</v>
      </c>
      <c r="C147" s="3315" t="s">
        <v>3460</v>
      </c>
      <c r="D147" s="3316">
        <v>663.34</v>
      </c>
      <c r="E147" s="3317">
        <v>517.54999999999995</v>
      </c>
      <c r="F147" s="3360"/>
    </row>
    <row r="148" spans="1:6" ht="16.5">
      <c r="A148" s="3495"/>
      <c r="B148" s="3321">
        <v>47</v>
      </c>
      <c r="C148" s="3315" t="s">
        <v>3461</v>
      </c>
      <c r="D148" s="3316">
        <v>660.98</v>
      </c>
      <c r="E148" s="3317">
        <v>515.71</v>
      </c>
      <c r="F148" s="3360"/>
    </row>
    <row r="149" spans="1:6" ht="16.5">
      <c r="A149" s="3495"/>
      <c r="B149" s="3321" t="s">
        <v>3200</v>
      </c>
      <c r="C149" s="3315"/>
      <c r="D149" s="3316">
        <f>SUM(D141:D148)</f>
        <v>5670.9699999999993</v>
      </c>
      <c r="E149" s="3317"/>
      <c r="F149" s="3360"/>
    </row>
  </sheetData>
  <mergeCells count="17">
    <mergeCell ref="B103:C103"/>
    <mergeCell ref="A112:A149"/>
    <mergeCell ref="H3:H12"/>
    <mergeCell ref="H13:H22"/>
    <mergeCell ref="H23:H25"/>
    <mergeCell ref="H26:H35"/>
    <mergeCell ref="H36:H45"/>
    <mergeCell ref="H46:H47"/>
    <mergeCell ref="G3:G48"/>
    <mergeCell ref="H49:H51"/>
    <mergeCell ref="H52:H53"/>
    <mergeCell ref="G49:G54"/>
    <mergeCell ref="G55:G71"/>
    <mergeCell ref="H55:H68"/>
    <mergeCell ref="H69:H70"/>
    <mergeCell ref="A3:A95"/>
    <mergeCell ref="A97:A110"/>
  </mergeCells>
  <phoneticPr fontId="269"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M20"/>
  <sheetViews>
    <sheetView workbookViewId="0">
      <selection activeCell="H18" sqref="H18"/>
    </sheetView>
  </sheetViews>
  <sheetFormatPr defaultColWidth="8.875" defaultRowHeight="14.25"/>
  <cols>
    <col min="1" max="1" width="8.875" style="3225"/>
    <col min="2" max="2" width="10.125" style="3225" customWidth="1"/>
    <col min="3" max="3" width="12.375" style="3225" customWidth="1"/>
    <col min="4" max="4" width="14.375" style="3225" customWidth="1"/>
    <col min="5" max="7" width="12.125" style="3225" customWidth="1"/>
    <col min="8" max="10" width="12.375" style="3225" customWidth="1"/>
    <col min="11" max="11" width="13.625" style="3225" customWidth="1"/>
    <col min="12" max="12" width="13.125" style="3225" customWidth="1"/>
    <col min="13" max="13" width="12.625" style="3225" customWidth="1"/>
    <col min="14" max="16384" width="8.875" style="3225"/>
  </cols>
  <sheetData>
    <row r="1" spans="2:13" ht="57">
      <c r="B1" s="3307" t="s">
        <v>3194</v>
      </c>
      <c r="C1" s="3307" t="s">
        <v>3195</v>
      </c>
      <c r="D1" s="3307" t="s">
        <v>3196</v>
      </c>
      <c r="E1" s="3307" t="s">
        <v>3197</v>
      </c>
      <c r="F1" s="3307" t="s">
        <v>3331</v>
      </c>
      <c r="G1" s="3307" t="s">
        <v>3390</v>
      </c>
      <c r="H1" s="3307" t="s">
        <v>3198</v>
      </c>
      <c r="I1" s="3307" t="s">
        <v>3391</v>
      </c>
      <c r="J1" s="3307" t="s">
        <v>3392</v>
      </c>
      <c r="K1" s="3307" t="s">
        <v>3393</v>
      </c>
      <c r="L1" s="3227" t="s">
        <v>3199</v>
      </c>
      <c r="M1" s="3227" t="s">
        <v>3374</v>
      </c>
    </row>
    <row r="2" spans="2:13">
      <c r="B2" s="3514" t="s">
        <v>3389</v>
      </c>
      <c r="C2" s="3308" t="s">
        <v>3377</v>
      </c>
      <c r="D2" s="3307">
        <v>3036.71</v>
      </c>
      <c r="E2" s="3307">
        <v>2169.15</v>
      </c>
      <c r="F2" s="3307">
        <v>0.5</v>
      </c>
      <c r="G2" s="3307">
        <v>1</v>
      </c>
      <c r="H2" s="3307">
        <f>ROUND(H3*F2*G2,2)</f>
        <v>1.5</v>
      </c>
      <c r="I2" s="3307">
        <f>L2*L10</f>
        <v>116.38199999999999</v>
      </c>
      <c r="J2" s="3307">
        <f t="shared" ref="J2:J8" si="0">ROUND(I2*10000/D2/365,2)</f>
        <v>1.05</v>
      </c>
      <c r="K2" s="3307">
        <f t="shared" ref="K2:K8" si="1">ROUND(I2*10000/E2/365,2)</f>
        <v>1.47</v>
      </c>
      <c r="L2" s="3226">
        <f>ROUND(D2*H2*365/10000,2)</f>
        <v>166.26</v>
      </c>
      <c r="M2" s="3226"/>
    </row>
    <row r="3" spans="2:13">
      <c r="B3" s="3515"/>
      <c r="C3" s="3308" t="s">
        <v>3201</v>
      </c>
      <c r="D3" s="3307">
        <v>3488.54</v>
      </c>
      <c r="E3" s="3307">
        <v>1946.24</v>
      </c>
      <c r="F3" s="3307">
        <v>1</v>
      </c>
      <c r="G3" s="3307">
        <f>G2</f>
        <v>1</v>
      </c>
      <c r="H3" s="3311">
        <f>收益法倒推租金!D38</f>
        <v>3</v>
      </c>
      <c r="I3" s="3307">
        <f>L3*L10</f>
        <v>267.39999999999998</v>
      </c>
      <c r="J3" s="3307">
        <f t="shared" si="0"/>
        <v>2.1</v>
      </c>
      <c r="K3" s="3307">
        <f t="shared" si="1"/>
        <v>3.76</v>
      </c>
      <c r="L3" s="3226">
        <f t="shared" ref="L3:L7" si="2">ROUND(D3*H3*365/10000,2)</f>
        <v>382</v>
      </c>
      <c r="M3" s="3226"/>
    </row>
    <row r="4" spans="2:13">
      <c r="B4" s="3515"/>
      <c r="C4" s="3308" t="s">
        <v>3378</v>
      </c>
      <c r="D4" s="3307">
        <v>3691.49</v>
      </c>
      <c r="E4" s="3307">
        <v>2278.69</v>
      </c>
      <c r="F4" s="3307">
        <v>0.65</v>
      </c>
      <c r="G4" s="3307">
        <v>1</v>
      </c>
      <c r="H4" s="3307">
        <f>ROUND(H3*F4*G4,2)</f>
        <v>1.95</v>
      </c>
      <c r="I4" s="3307">
        <f>L4*L10</f>
        <v>183.91800000000001</v>
      </c>
      <c r="J4" s="3307">
        <f t="shared" si="0"/>
        <v>1.36</v>
      </c>
      <c r="K4" s="3307">
        <f t="shared" si="1"/>
        <v>2.21</v>
      </c>
      <c r="L4" s="3226">
        <f t="shared" si="2"/>
        <v>262.74</v>
      </c>
      <c r="M4" s="3226"/>
    </row>
    <row r="5" spans="2:13">
      <c r="B5" s="3515"/>
      <c r="C5" s="3308" t="s">
        <v>3379</v>
      </c>
      <c r="D5" s="3307">
        <v>3673.92</v>
      </c>
      <c r="E5" s="3307">
        <v>2234.08</v>
      </c>
      <c r="F5" s="3307">
        <v>0.6</v>
      </c>
      <c r="G5" s="3307">
        <f>G2</f>
        <v>1</v>
      </c>
      <c r="H5" s="3307">
        <f>ROUND(H3*F5*G5,2)</f>
        <v>1.8</v>
      </c>
      <c r="I5" s="3307">
        <f>L5*L10</f>
        <v>168.96599999999998</v>
      </c>
      <c r="J5" s="3307">
        <f t="shared" si="0"/>
        <v>1.26</v>
      </c>
      <c r="K5" s="3307">
        <f t="shared" si="1"/>
        <v>2.0699999999999998</v>
      </c>
      <c r="L5" s="3226">
        <f t="shared" si="2"/>
        <v>241.38</v>
      </c>
      <c r="M5" s="3226"/>
    </row>
    <row r="6" spans="2:13">
      <c r="B6" s="3515"/>
      <c r="C6" s="3308" t="s">
        <v>3380</v>
      </c>
      <c r="D6" s="3307">
        <v>3668.82</v>
      </c>
      <c r="E6" s="3307">
        <v>1982.59</v>
      </c>
      <c r="F6" s="3307">
        <v>0.5</v>
      </c>
      <c r="G6" s="3307">
        <f>G2</f>
        <v>1</v>
      </c>
      <c r="H6" s="3307">
        <f>ROUND(H3*F6*G6,2)</f>
        <v>1.5</v>
      </c>
      <c r="I6" s="3307">
        <f>L6*L10</f>
        <v>140.60899999999998</v>
      </c>
      <c r="J6" s="3307">
        <f t="shared" si="0"/>
        <v>1.05</v>
      </c>
      <c r="K6" s="3307">
        <f t="shared" si="1"/>
        <v>1.94</v>
      </c>
      <c r="L6" s="3226">
        <f t="shared" si="2"/>
        <v>200.87</v>
      </c>
      <c r="M6" s="3226"/>
    </row>
    <row r="7" spans="2:13">
      <c r="B7" s="3516"/>
      <c r="C7" s="3308" t="s">
        <v>3381</v>
      </c>
      <c r="D7" s="3307">
        <v>2833.95</v>
      </c>
      <c r="E7" s="3307">
        <v>1774.03</v>
      </c>
      <c r="F7" s="3307">
        <v>0.4</v>
      </c>
      <c r="G7" s="3307">
        <f>G2</f>
        <v>1</v>
      </c>
      <c r="H7" s="3307">
        <f>ROUND(H3*F7*G7,2)</f>
        <v>1.2</v>
      </c>
      <c r="I7" s="3307">
        <f>L7*L10</f>
        <v>86.890999999999991</v>
      </c>
      <c r="J7" s="3307">
        <f t="shared" si="0"/>
        <v>0.84</v>
      </c>
      <c r="K7" s="3307">
        <f t="shared" si="1"/>
        <v>1.34</v>
      </c>
      <c r="L7" s="3226">
        <f t="shared" si="2"/>
        <v>124.13</v>
      </c>
      <c r="M7" s="3226"/>
    </row>
    <row r="8" spans="2:13">
      <c r="B8" s="3517" t="s">
        <v>3200</v>
      </c>
      <c r="C8" s="3518"/>
      <c r="D8" s="3307">
        <v>20393.43</v>
      </c>
      <c r="E8" s="3307">
        <v>12384.79</v>
      </c>
      <c r="F8" s="3307" t="s">
        <v>3382</v>
      </c>
      <c r="G8" s="3307"/>
      <c r="H8" s="3307" t="s">
        <v>3382</v>
      </c>
      <c r="I8" s="3309">
        <f>L8*L10</f>
        <v>964.16600000000005</v>
      </c>
      <c r="J8" s="3309">
        <f t="shared" si="0"/>
        <v>1.3</v>
      </c>
      <c r="K8" s="3309">
        <f t="shared" si="1"/>
        <v>2.13</v>
      </c>
      <c r="L8" s="3226">
        <f>SUM(L2:L7)</f>
        <v>1377.38</v>
      </c>
      <c r="M8" s="3226">
        <f>ROUND(L8*10000/D8/365,2)</f>
        <v>1.85</v>
      </c>
    </row>
    <row r="9" spans="2:13">
      <c r="H9" s="3303" t="s">
        <v>3373</v>
      </c>
      <c r="I9" s="3303"/>
      <c r="J9" s="3303"/>
      <c r="K9" s="3303"/>
      <c r="L9" s="3304">
        <f>L8*L10</f>
        <v>964.16600000000005</v>
      </c>
      <c r="M9" s="3304">
        <f>ROUND(L9*10000/D8/365,2)</f>
        <v>1.3</v>
      </c>
    </row>
    <row r="10" spans="2:13">
      <c r="H10" s="3225">
        <f>(H2*D2+H3*D3+H4*D4+H5*D5+H6*D6+H7*D7)/D8</f>
        <v>1.8504055717944454</v>
      </c>
      <c r="L10" s="3225">
        <v>0.7</v>
      </c>
      <c r="M10" s="3306" t="s">
        <v>3376</v>
      </c>
    </row>
    <row r="16" spans="2:13">
      <c r="J16" s="3306">
        <v>1.5019</v>
      </c>
      <c r="K16" s="3306"/>
      <c r="L16" s="3225">
        <v>1</v>
      </c>
      <c r="M16" s="3306" t="s">
        <v>3384</v>
      </c>
    </row>
    <row r="17" spans="10:13">
      <c r="J17" s="3225">
        <v>1.1838</v>
      </c>
      <c r="L17" s="3225">
        <f>ROUND(L16/J16*J17,2)</f>
        <v>0.79</v>
      </c>
      <c r="M17" s="3306" t="s">
        <v>3385</v>
      </c>
    </row>
    <row r="18" spans="10:13">
      <c r="J18" s="3225">
        <v>1.0004999999999999</v>
      </c>
      <c r="L18" s="3225">
        <f>ROUND(L17/J17*J18,2)</f>
        <v>0.67</v>
      </c>
      <c r="M18" s="3306" t="s">
        <v>3386</v>
      </c>
    </row>
    <row r="19" spans="10:13">
      <c r="J19" s="3225">
        <v>0.88239999999999996</v>
      </c>
      <c r="L19" s="3225">
        <f>ROUND(L18/J18*J19,2)</f>
        <v>0.59</v>
      </c>
      <c r="M19" s="3306" t="s">
        <v>3387</v>
      </c>
    </row>
    <row r="20" spans="10:13">
      <c r="J20" s="3225">
        <v>0.84799999999999998</v>
      </c>
      <c r="L20" s="3225">
        <f>ROUND(L19/J19*J20,2)</f>
        <v>0.56999999999999995</v>
      </c>
      <c r="M20" s="3306" t="s">
        <v>3388</v>
      </c>
    </row>
  </sheetData>
  <mergeCells count="2">
    <mergeCell ref="B2:B7"/>
    <mergeCell ref="B8:C8"/>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SheetLayoutView="80" zoomScalePageLayoutView="80" workbookViewId="0">
      <selection activeCell="C4" sqref="C4"/>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9" t="s">
        <v>1888</v>
      </c>
      <c r="B1" s="1899"/>
      <c r="C1" s="1900" t="s">
        <v>3508</v>
      </c>
      <c r="D1" s="1899"/>
      <c r="E1" s="1899"/>
      <c r="F1" s="1901" t="s">
        <v>1889</v>
      </c>
      <c r="G1" s="1713" t="s">
        <v>3169</v>
      </c>
      <c r="H1" s="1902" t="str">
        <f>IF(G1="现房","——","估价对象范围")</f>
        <v>——</v>
      </c>
      <c r="I1" s="1903" t="s">
        <v>3170</v>
      </c>
    </row>
    <row r="2" spans="1:12" ht="21.75" customHeight="1" thickBot="1">
      <c r="A2" s="3553" t="str">
        <f>项目基本情况!S2</f>
        <v>北京市房地产</v>
      </c>
      <c r="B2" s="3554"/>
      <c r="C2" s="3554"/>
      <c r="D2" s="3554"/>
      <c r="E2" s="3554"/>
      <c r="F2" s="3554"/>
      <c r="G2" s="3554"/>
      <c r="H2" s="3554"/>
      <c r="I2" s="3555"/>
    </row>
    <row r="3" spans="1:12" ht="12.75">
      <c r="A3" s="3557" t="s">
        <v>1890</v>
      </c>
      <c r="B3" s="3558"/>
      <c r="C3" s="3558"/>
      <c r="D3" s="3558"/>
      <c r="E3" s="3558"/>
      <c r="F3" s="3558"/>
      <c r="G3" s="3558"/>
      <c r="H3" s="3558"/>
      <c r="I3" s="3558"/>
    </row>
    <row r="4" spans="1:12" ht="14.25">
      <c r="A4" s="1906" t="s">
        <v>1891</v>
      </c>
      <c r="B4" s="1907" t="s">
        <v>1892</v>
      </c>
      <c r="C4" s="1908" t="s">
        <v>3168</v>
      </c>
      <c r="D4" s="1908" t="s">
        <v>3139</v>
      </c>
      <c r="E4" s="3559" t="s">
        <v>1893</v>
      </c>
      <c r="F4" s="3560"/>
      <c r="G4" s="3560"/>
      <c r="H4" s="3560"/>
      <c r="I4" s="3561"/>
      <c r="K4" s="150" t="str">
        <f>IF(ISNUMBER(FIND("比较法",结果表1层商业!C4)),"比较法",IF(ISNUMBER(FIND("成本法",结果表1层商业!C4)),"成本法",IF(ISNUMBER(FIND("假设开发法",结果表1层商业!C4)),"假设开发法",IF(ISNUMBER(FIND("收益法",结果表1层商业!C4)),"收益法","基准地价系数修正法"))))</f>
        <v>比较法</v>
      </c>
      <c r="L4" s="150"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2.75">
      <c r="A5" s="3533" t="s">
        <v>1894</v>
      </c>
      <c r="B5" s="3520">
        <v>25</v>
      </c>
      <c r="C5" s="3536">
        <v>70</v>
      </c>
      <c r="D5" s="3556">
        <f>100-C5</f>
        <v>30</v>
      </c>
      <c r="E5" s="136" t="s">
        <v>1895</v>
      </c>
      <c r="F5" s="1909"/>
      <c r="G5" s="1909"/>
      <c r="H5" s="1909"/>
      <c r="I5" s="1524"/>
    </row>
    <row r="6" spans="1:12" ht="12.75">
      <c r="A6" s="3533"/>
      <c r="B6" s="3520"/>
      <c r="C6" s="3537"/>
      <c r="D6" s="3556"/>
      <c r="E6" s="136" t="s">
        <v>1896</v>
      </c>
      <c r="F6" s="1909"/>
      <c r="G6" s="1909"/>
      <c r="H6" s="1909"/>
      <c r="I6" s="1524"/>
    </row>
    <row r="7" spans="1:12" ht="12.75">
      <c r="A7" s="3533"/>
      <c r="B7" s="3520"/>
      <c r="C7" s="3538"/>
      <c r="D7" s="3556"/>
      <c r="E7" s="136" t="s">
        <v>1897</v>
      </c>
      <c r="F7" s="1909"/>
      <c r="G7" s="1909"/>
      <c r="H7" s="1909"/>
      <c r="I7" s="1524"/>
    </row>
    <row r="8" spans="1:12" ht="12.75">
      <c r="A8" s="3533" t="s">
        <v>1898</v>
      </c>
      <c r="B8" s="3520">
        <v>15</v>
      </c>
      <c r="C8" s="3536"/>
      <c r="D8" s="3556"/>
      <c r="E8" s="136" t="s">
        <v>1899</v>
      </c>
      <c r="F8" s="1909"/>
      <c r="G8" s="1909"/>
      <c r="H8" s="1909"/>
      <c r="I8" s="1524"/>
    </row>
    <row r="9" spans="1:12" ht="12.75">
      <c r="A9" s="3533"/>
      <c r="B9" s="3520"/>
      <c r="C9" s="3538"/>
      <c r="D9" s="3556"/>
      <c r="E9" s="136" t="s">
        <v>1900</v>
      </c>
      <c r="F9" s="1909"/>
      <c r="G9" s="1909"/>
      <c r="H9" s="1909"/>
      <c r="I9" s="1524"/>
    </row>
    <row r="10" spans="1:12" ht="12.75">
      <c r="A10" s="3533" t="s">
        <v>1901</v>
      </c>
      <c r="B10" s="3520">
        <v>15</v>
      </c>
      <c r="C10" s="3536"/>
      <c r="D10" s="3556"/>
      <c r="E10" s="136" t="s">
        <v>1902</v>
      </c>
      <c r="F10" s="1909"/>
      <c r="G10" s="1909"/>
      <c r="H10" s="1909"/>
      <c r="I10" s="1524"/>
    </row>
    <row r="11" spans="1:12" ht="12.75">
      <c r="A11" s="3533"/>
      <c r="B11" s="3520"/>
      <c r="C11" s="3538"/>
      <c r="D11" s="3556"/>
      <c r="E11" s="136" t="s">
        <v>1903</v>
      </c>
      <c r="F11" s="1909"/>
      <c r="G11" s="1909"/>
      <c r="H11" s="1909"/>
      <c r="I11" s="1524"/>
    </row>
    <row r="12" spans="1:12" ht="12.75">
      <c r="A12" s="3533" t="s">
        <v>1904</v>
      </c>
      <c r="B12" s="3520">
        <v>15</v>
      </c>
      <c r="C12" s="3536"/>
      <c r="D12" s="3556"/>
      <c r="E12" s="136" t="s">
        <v>1905</v>
      </c>
      <c r="F12" s="1909"/>
      <c r="G12" s="1909"/>
      <c r="H12" s="1909"/>
      <c r="I12" s="1524"/>
    </row>
    <row r="13" spans="1:12" ht="12.75">
      <c r="A13" s="3533"/>
      <c r="B13" s="3520"/>
      <c r="C13" s="3538"/>
      <c r="D13" s="3556"/>
      <c r="E13" s="136" t="s">
        <v>1906</v>
      </c>
      <c r="F13" s="1909"/>
      <c r="G13" s="1909"/>
      <c r="H13" s="1909"/>
      <c r="I13" s="1524"/>
    </row>
    <row r="14" spans="1:12" ht="12.75">
      <c r="A14" s="3533" t="s">
        <v>1907</v>
      </c>
      <c r="B14" s="3520">
        <v>30</v>
      </c>
      <c r="C14" s="3536"/>
      <c r="D14" s="3556"/>
      <c r="E14" s="136" t="s">
        <v>1908</v>
      </c>
      <c r="F14" s="1909"/>
      <c r="G14" s="1909"/>
      <c r="H14" s="1909"/>
      <c r="I14" s="1524"/>
    </row>
    <row r="15" spans="1:12" ht="12.75">
      <c r="A15" s="3533"/>
      <c r="B15" s="3520"/>
      <c r="C15" s="3537"/>
      <c r="D15" s="3556"/>
      <c r="E15" s="136" t="s">
        <v>1909</v>
      </c>
      <c r="F15" s="1909"/>
      <c r="G15" s="1909"/>
      <c r="H15" s="1909"/>
      <c r="I15" s="1524"/>
    </row>
    <row r="16" spans="1:12" ht="12.75">
      <c r="A16" s="3533"/>
      <c r="B16" s="3520"/>
      <c r="C16" s="3538"/>
      <c r="D16" s="3556"/>
      <c r="E16" s="136" t="s">
        <v>1910</v>
      </c>
      <c r="F16" s="1909"/>
      <c r="G16" s="1909"/>
      <c r="H16" s="1909"/>
      <c r="I16" s="1524"/>
    </row>
    <row r="17" spans="1:36" ht="15">
      <c r="A17" s="1910" t="s">
        <v>1911</v>
      </c>
      <c r="B17" s="60"/>
      <c r="C17" s="137">
        <f>SUM(C5:C16)</f>
        <v>70</v>
      </c>
      <c r="D17" s="137">
        <f>SUM(D5:D16)</f>
        <v>30</v>
      </c>
      <c r="E17" s="134"/>
      <c r="F17" s="134"/>
      <c r="G17" s="134"/>
      <c r="H17" s="134"/>
      <c r="I17" s="134"/>
      <c r="K17" s="307"/>
      <c r="L17" s="307" t="s">
        <v>1912</v>
      </c>
      <c r="M17" s="307" t="s">
        <v>1913</v>
      </c>
    </row>
    <row r="18" spans="1:36" ht="32.1" customHeight="1" thickBot="1">
      <c r="A18" s="1911" t="s">
        <v>1914</v>
      </c>
      <c r="B18" s="1912"/>
      <c r="C18" s="138">
        <f>ROUND(C17/SUM(C17:D17),2)</f>
        <v>0.7</v>
      </c>
      <c r="D18" s="138">
        <f>1-C18</f>
        <v>0.30000000000000004</v>
      </c>
      <c r="E18" s="3543" t="s">
        <v>2809</v>
      </c>
      <c r="F18" s="3544"/>
      <c r="G18" s="3544"/>
      <c r="H18" s="3544"/>
      <c r="I18" s="3544"/>
      <c r="K18" s="307" t="s">
        <v>1915</v>
      </c>
      <c r="L18" s="307">
        <f>IF(C1="",'数据-汇总表'!E3,SUMIF(项目类型,C1,'数据-汇总表'!E17:E26)+SUMIF(项目类型,C1,'数据-汇总表'!I17:I26))</f>
        <v>683.55</v>
      </c>
      <c r="M18" s="307">
        <f>IF(C1="",'数据-汇总表'!E3,SUMIF(项目类型,C1,'数据-汇总表'!E17:E26))</f>
        <v>683.55</v>
      </c>
    </row>
    <row r="19" spans="1:36" ht="15">
      <c r="A19" s="1913" t="s">
        <v>1916</v>
      </c>
      <c r="B19" s="1914" t="s">
        <v>1917</v>
      </c>
      <c r="C19" s="139" t="e">
        <f ca="1">SUMIF(INDIRECT("'"&amp;C4&amp;"'"&amp;"!A:A"),结果表1层商业!B19,INDIRECT("'"&amp;C4&amp;"'"&amp;"!B:B"))</f>
        <v>#DIV/0!</v>
      </c>
      <c r="D19" s="140" t="e">
        <f ca="1">SUMIF(INDIRECT("'"&amp;D4&amp;"'"&amp;"!A:A"),结果表1层商业!B19,INDIRECT("'"&amp;D4&amp;"'"&amp;"!B:B"))</f>
        <v>#N/A</v>
      </c>
      <c r="E19" s="1913" t="s">
        <v>1918</v>
      </c>
      <c r="F19" s="1914" t="s">
        <v>1917</v>
      </c>
      <c r="G19" s="141" t="e">
        <f ca="1">ROUND(C19*$C$18+D19*$D$18,0)</f>
        <v>#DIV/0!</v>
      </c>
      <c r="H19" s="1915" t="s">
        <v>1919</v>
      </c>
      <c r="I19" s="134"/>
      <c r="K19" s="307" t="s">
        <v>1920</v>
      </c>
      <c r="L19" s="307">
        <f>IF(C1="",'数据-汇总表'!D3,SUMIF(项目类型,C1,'数据-汇总表'!D17:D26)+SUMIF(项目类型,C1,'数据-汇总表'!H17:H27))</f>
        <v>273.42</v>
      </c>
      <c r="M19" s="307">
        <f>IF(C1="",'数据-汇总表'!D3,SUMIF(项目类型,C1,'数据-汇总表'!D17:D26))</f>
        <v>273.42</v>
      </c>
    </row>
    <row r="20" spans="1:36" ht="15">
      <c r="A20" s="1916"/>
      <c r="B20" s="1155" t="s">
        <v>1921</v>
      </c>
      <c r="C20" s="142" t="e">
        <f ca="1">SUMIF(INDIRECT("'"&amp;C4&amp;"'"&amp;"!A:A"),结果表1层商业!B20,INDIRECT("'"&amp;C4&amp;"'"&amp;"!B:B"))</f>
        <v>#DIV/0!</v>
      </c>
      <c r="D20" s="143">
        <f ca="1">SUMIF(INDIRECT("'"&amp;D4&amp;"'"&amp;"!A:A"),结果表1层商业!B20,INDIRECT("'"&amp;D4&amp;"'"&amp;"!B:B"))</f>
        <v>0</v>
      </c>
      <c r="E20" s="1916"/>
      <c r="F20" s="1155" t="s">
        <v>1921</v>
      </c>
      <c r="G20" s="3223" t="e">
        <f ca="1">ROUND(C20*$C$18+D20*$D$18,0)</f>
        <v>#DIV/0!</v>
      </c>
      <c r="H20" s="915" t="s">
        <v>1922</v>
      </c>
      <c r="I20" s="1900" t="e">
        <f ca="1">G20*43/10000</f>
        <v>#DIV/0!</v>
      </c>
      <c r="J20" s="3224" t="s">
        <v>3174</v>
      </c>
    </row>
    <row r="21" spans="1:36" ht="15" customHeight="1" thickBot="1">
      <c r="A21" s="935"/>
      <c r="B21" s="1917" t="s">
        <v>1923</v>
      </c>
      <c r="C21" s="726" t="e">
        <f ca="1">ROUND(C19*10000/L19,0)</f>
        <v>#DIV/0!</v>
      </c>
      <c r="D21" s="727" t="e">
        <f ca="1">ROUND(D19*10000/L19,0)</f>
        <v>#N/A</v>
      </c>
      <c r="E21" s="935"/>
      <c r="F21" s="1917" t="s">
        <v>1923</v>
      </c>
      <c r="G21" s="144" t="e">
        <f ca="1">ROUND(G19*10000/L19,0)</f>
        <v>#DIV/0!</v>
      </c>
      <c r="H21" s="1918" t="s">
        <v>1922</v>
      </c>
      <c r="I21" s="134"/>
    </row>
    <row r="22" spans="1:36" ht="15" thickBot="1">
      <c r="A22" s="1840" t="s">
        <v>1924</v>
      </c>
      <c r="B22" s="1919"/>
      <c r="C22" s="1920"/>
      <c r="D22" s="728" t="e">
        <f ca="1">IF(C19&lt;D19,D19/C19-1,C19/D19-1)</f>
        <v>#DIV/0!</v>
      </c>
      <c r="E22" s="134"/>
      <c r="F22" s="134"/>
      <c r="G22" s="134"/>
      <c r="H22" s="134"/>
      <c r="I22" s="134"/>
    </row>
    <row r="23" spans="1:36" ht="13.5" thickBot="1">
      <c r="A23" s="1899"/>
      <c r="B23" s="1899"/>
      <c r="C23" s="1899"/>
      <c r="D23" s="1899"/>
      <c r="E23" s="134"/>
      <c r="F23" s="134"/>
      <c r="G23" s="134"/>
      <c r="H23" s="134"/>
      <c r="I23" s="134"/>
    </row>
    <row r="24" spans="1:36" ht="14.25">
      <c r="A24" s="3527" t="s">
        <v>1925</v>
      </c>
      <c r="B24" s="1914" t="s">
        <v>1917</v>
      </c>
      <c r="C24" s="141">
        <f>IF(B30=0,0,D30)</f>
        <v>0</v>
      </c>
      <c r="D24" s="1921"/>
      <c r="E24" s="134"/>
      <c r="F24" s="134"/>
      <c r="G24" s="134"/>
      <c r="H24" s="134"/>
      <c r="I24" s="134"/>
    </row>
    <row r="25" spans="1:36" ht="14.25">
      <c r="A25" s="3528"/>
      <c r="B25" s="1155" t="s">
        <v>1921</v>
      </c>
      <c r="C25" s="145">
        <f>IF(B30=0,0,C30)</f>
        <v>0</v>
      </c>
      <c r="D25" s="1922"/>
      <c r="E25" s="134"/>
      <c r="F25" s="134"/>
      <c r="G25" s="134"/>
      <c r="H25" s="134"/>
      <c r="I25" s="134"/>
    </row>
    <row r="26" spans="1:36" ht="13.5" customHeight="1">
      <c r="A26" s="1923" t="s">
        <v>1926</v>
      </c>
      <c r="B26" s="146" t="s">
        <v>1927</v>
      </c>
      <c r="C26" s="146" t="s">
        <v>1928</v>
      </c>
      <c r="D26" s="147" t="s">
        <v>1929</v>
      </c>
      <c r="E26" s="134"/>
      <c r="F26" s="134"/>
      <c r="G26" s="134"/>
      <c r="H26" s="134"/>
      <c r="I26" s="134"/>
    </row>
    <row r="27" spans="1:36" ht="14.25">
      <c r="A27" s="1923"/>
      <c r="B27" s="146">
        <v>0</v>
      </c>
      <c r="C27" s="146">
        <v>0</v>
      </c>
      <c r="D27" s="147">
        <f>ROUND(C27*B27/10000,0)</f>
        <v>0</v>
      </c>
      <c r="E27" s="134"/>
      <c r="F27" s="134"/>
      <c r="G27" s="134"/>
      <c r="H27" s="134"/>
      <c r="I27" s="134"/>
    </row>
    <row r="28" spans="1:36" ht="14.25">
      <c r="A28" s="1923"/>
      <c r="B28" s="146"/>
      <c r="C28" s="146"/>
      <c r="D28" s="147"/>
      <c r="E28" s="134"/>
      <c r="F28" s="134"/>
      <c r="G28" s="134"/>
      <c r="H28" s="134"/>
      <c r="I28" s="134"/>
    </row>
    <row r="29" spans="1:36" ht="14.25">
      <c r="A29" s="1923"/>
      <c r="B29" s="146"/>
      <c r="C29" s="146"/>
      <c r="D29" s="147"/>
      <c r="E29" s="134"/>
      <c r="F29" s="134"/>
      <c r="G29" s="134"/>
      <c r="H29" s="134"/>
      <c r="I29" s="134"/>
    </row>
    <row r="30" spans="1:36" ht="15" thickBot="1">
      <c r="A30" s="146" t="s">
        <v>1930</v>
      </c>
      <c r="B30" s="146"/>
      <c r="C30" s="146"/>
      <c r="D30" s="146"/>
      <c r="E30" s="2487" t="s">
        <v>2810</v>
      </c>
      <c r="F30" s="134"/>
      <c r="G30" s="134"/>
      <c r="H30" s="134"/>
      <c r="I30" s="134"/>
    </row>
    <row r="31" spans="1:36" s="2493" customFormat="1" ht="26.45" customHeight="1" thickTop="1" thickBot="1">
      <c r="A31" s="2488"/>
      <c r="B31" s="2489"/>
      <c r="C31" s="2489"/>
      <c r="D31" s="2489"/>
      <c r="E31" s="2489"/>
      <c r="F31" s="2489"/>
      <c r="G31" s="2489"/>
      <c r="H31" s="2489"/>
      <c r="I31" s="2490" t="s">
        <v>2811</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8" t="e">
        <f ca="1">IF(D32="总价",G19-C24,G20-C25)</f>
        <v>#DIV/0!</v>
      </c>
      <c r="D32" s="1927"/>
      <c r="E32" s="134"/>
      <c r="F32" s="134"/>
      <c r="G32" s="134"/>
      <c r="H32" s="134"/>
      <c r="I32" s="134"/>
    </row>
    <row r="33" spans="1:15" ht="15">
      <c r="A33" s="892" t="s">
        <v>1932</v>
      </c>
      <c r="B33" s="1928"/>
      <c r="C33" s="1929"/>
      <c r="D33" s="1930"/>
      <c r="E33" s="1931" t="s">
        <v>1933</v>
      </c>
      <c r="F33" s="1932" t="str">
        <f>IF(D32="楼面单价","取值（单价）","取值（总价）")</f>
        <v>取值（总价）</v>
      </c>
      <c r="G33" s="134"/>
      <c r="H33" s="134"/>
      <c r="I33" s="134"/>
    </row>
    <row r="34" spans="1:15" ht="15">
      <c r="A34" s="1933"/>
      <c r="B34" s="1934" t="s">
        <v>1934</v>
      </c>
      <c r="C34" s="152" t="e">
        <f ca="1">IF(C33="自定义",F34,C32-C35)</f>
        <v>#DIV/0!</v>
      </c>
      <c r="D34" s="968" t="e">
        <f ca="1">IF(C33="自定义",ROUND(C34/C32,3),IF(C33="收益比率",SUMIF(INDIRECT("'"&amp;D33&amp;"'"&amp;"!b:b"),"土地收益比率",INDIRECT("'"&amp;D33&amp;"'"&amp;"!c:c")),SUMIF(INDIRECT("'"&amp;D33&amp;"'"&amp;"!b:b"),"土地成本比率",INDIRECT("'"&amp;D33&amp;"'"&amp;"!c:c"))))</f>
        <v>#REF!</v>
      </c>
      <c r="E34" s="1935" t="s">
        <v>1935</v>
      </c>
      <c r="F34" s="1467"/>
      <c r="G34" s="134"/>
      <c r="H34" s="134"/>
      <c r="I34" s="134"/>
    </row>
    <row r="35" spans="1:15" ht="15.75" thickBot="1">
      <c r="A35" s="1936"/>
      <c r="B35" s="1937" t="s">
        <v>1936</v>
      </c>
      <c r="C35" s="1301" t="e">
        <f ca="1">IF(C33="自定义",F35,ROUND(C32*D35,0))</f>
        <v>#DIV/0!</v>
      </c>
      <c r="D35" s="1302" t="e">
        <f ca="1">IF(C33="自定义",ROUND(C35/C32,3),IF(C33="收益比率",SUMIF(INDIRECT("'"&amp;D33&amp;"'"&amp;"!b:b"),"建筑物收益比率",INDIRECT("'"&amp;D33&amp;"'"&amp;"!c:c")),SUMIF(INDIRECT("'"&amp;D33&amp;"'"&amp;"!b:b"),"建筑物成本比率",INDIRECT("'"&amp;D33&amp;"'"&amp;"!c:c"))))</f>
        <v>#REF!</v>
      </c>
      <c r="E35" s="1938" t="s">
        <v>1937</v>
      </c>
      <c r="F35" s="158"/>
      <c r="G35" s="134"/>
      <c r="H35" s="134"/>
      <c r="I35" s="134"/>
    </row>
    <row r="36" spans="1:15" ht="15.75" thickBot="1">
      <c r="A36" s="3547" t="s">
        <v>1938</v>
      </c>
      <c r="B36" s="1939" t="s">
        <v>1939</v>
      </c>
      <c r="C36" s="149"/>
      <c r="D36" s="1940"/>
      <c r="E36" s="1941"/>
      <c r="F36" s="1942"/>
      <c r="G36" s="134"/>
      <c r="H36" s="134"/>
      <c r="I36" s="134"/>
    </row>
    <row r="37" spans="1:15" ht="15.75" thickBot="1">
      <c r="A37" s="3548"/>
      <c r="B37" s="1826" t="s">
        <v>1940</v>
      </c>
      <c r="C37" s="151"/>
      <c r="D37" s="1270"/>
      <c r="E37" s="1270"/>
      <c r="F37" s="1942"/>
      <c r="G37" s="134"/>
      <c r="H37" s="134"/>
      <c r="I37" s="134"/>
    </row>
    <row r="38" spans="1:15" ht="15.75" thickBot="1">
      <c r="A38" s="3549"/>
      <c r="B38" s="1943" t="s">
        <v>1941</v>
      </c>
      <c r="C38" s="681"/>
      <c r="D38" s="1944" t="s">
        <v>1942</v>
      </c>
      <c r="E38" s="1270"/>
      <c r="F38" s="1942"/>
      <c r="G38" s="134"/>
      <c r="H38" s="134"/>
      <c r="I38" s="134"/>
    </row>
    <row r="39" spans="1:15" ht="15">
      <c r="A39" s="1916" t="s">
        <v>1943</v>
      </c>
      <c r="B39" s="1945" t="s">
        <v>1944</v>
      </c>
      <c r="C39" s="1946" t="s">
        <v>1945</v>
      </c>
      <c r="D39" s="1946" t="s">
        <v>1946</v>
      </c>
      <c r="E39" s="1947" t="s">
        <v>1947</v>
      </c>
      <c r="F39" s="1942"/>
      <c r="G39" s="134"/>
      <c r="H39" s="134"/>
      <c r="I39" s="134"/>
    </row>
    <row r="40" spans="1:15" ht="14.25">
      <c r="A40" s="1948" t="s">
        <v>1948</v>
      </c>
      <c r="B40" s="153"/>
      <c r="C40" s="154"/>
      <c r="D40" s="154"/>
      <c r="E40" s="155"/>
      <c r="F40" s="1942"/>
      <c r="G40" s="134"/>
      <c r="H40" s="134"/>
      <c r="I40" s="134"/>
    </row>
    <row r="41" spans="1:15" ht="14.25">
      <c r="A41" s="1948" t="s">
        <v>1949</v>
      </c>
      <c r="B41" s="153"/>
      <c r="C41" s="154"/>
      <c r="D41" s="154"/>
      <c r="E41" s="155"/>
      <c r="F41" s="1942"/>
      <c r="G41" s="134"/>
      <c r="H41" s="134"/>
      <c r="I41" s="134"/>
    </row>
    <row r="42" spans="1:15" ht="15" thickBot="1">
      <c r="A42" s="1949"/>
      <c r="B42" s="156"/>
      <c r="C42" s="157"/>
      <c r="D42" s="157"/>
      <c r="E42" s="158"/>
      <c r="F42" s="1942"/>
      <c r="G42" s="134"/>
      <c r="H42" s="134"/>
      <c r="I42" s="134"/>
    </row>
    <row r="43" spans="1:15" ht="12.75">
      <c r="A43" s="1729"/>
      <c r="B43" s="1729"/>
      <c r="C43" s="1729"/>
      <c r="D43" s="1729"/>
      <c r="E43" s="1729"/>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524" t="s">
        <v>1952</v>
      </c>
      <c r="B45" s="3525"/>
      <c r="C45" s="3526"/>
      <c r="D45" s="159" t="e">
        <f ca="1">ROUND(H101*F45,0)</f>
        <v>#REF!</v>
      </c>
      <c r="E45" s="160" t="s">
        <v>1953</v>
      </c>
      <c r="F45" s="161">
        <v>1</v>
      </c>
      <c r="G45" s="162" t="s">
        <v>1954</v>
      </c>
      <c r="H45" s="134"/>
      <c r="I45" s="134"/>
      <c r="J45" s="3605" t="s">
        <v>1955</v>
      </c>
      <c r="K45" s="3605"/>
      <c r="L45" s="3605"/>
      <c r="M45" s="3605"/>
      <c r="N45" s="3605"/>
      <c r="O45" s="3605"/>
    </row>
    <row r="46" spans="1:15" ht="14.25" customHeight="1">
      <c r="A46" s="3521" t="s">
        <v>1956</v>
      </c>
      <c r="B46" s="3522"/>
      <c r="C46" s="3522"/>
      <c r="D46" s="3522"/>
      <c r="E46" s="3522"/>
      <c r="F46" s="3522"/>
      <c r="G46" s="3523"/>
      <c r="H46" s="1958"/>
      <c r="I46" s="163"/>
      <c r="J46" s="2715">
        <v>1</v>
      </c>
      <c r="K46" s="3586" t="s">
        <v>1957</v>
      </c>
      <c r="L46" s="3586"/>
      <c r="M46" s="3606"/>
      <c r="N46" s="3606"/>
      <c r="O46" s="3606"/>
    </row>
    <row r="47" spans="1:15" ht="12" customHeight="1">
      <c r="A47" s="164" t="s">
        <v>1958</v>
      </c>
      <c r="B47" s="165"/>
      <c r="C47" s="166"/>
      <c r="D47" s="1216" t="s">
        <v>1959</v>
      </c>
      <c r="E47" s="307" t="s">
        <v>1960</v>
      </c>
      <c r="F47" s="167" t="s">
        <v>1961</v>
      </c>
      <c r="G47" s="2738" t="s">
        <v>1962</v>
      </c>
      <c r="H47" s="2739"/>
      <c r="I47" s="163"/>
      <c r="J47" s="2715">
        <v>2</v>
      </c>
      <c r="K47" s="3586" t="s">
        <v>1963</v>
      </c>
      <c r="L47" s="3586"/>
      <c r="M47" s="3607">
        <f>'数据-取费表'!B2</f>
        <v>44762</v>
      </c>
      <c r="N47" s="3607"/>
      <c r="O47" s="3607"/>
    </row>
    <row r="48" spans="1:15" ht="25.5">
      <c r="A48" s="3552" t="s">
        <v>1964</v>
      </c>
      <c r="B48" s="3535"/>
      <c r="C48" s="3535"/>
      <c r="D48" s="2513" t="b">
        <f>IF(H48="情况1",0,IF(H48="情况2",D52,IF(H48="情况3",D53,IF(H48="情况4",D54))))</f>
        <v>0</v>
      </c>
      <c r="E48" s="2523" t="str">
        <f>IF(H48="情况4","(销售额-原购置价)×税（费）率","销售额×税（费）率")</f>
        <v>销售额×税（费）率</v>
      </c>
      <c r="F48" s="2740">
        <f>IF(H48="情况1","免征",'数据-取费表'!B41)</f>
        <v>5.5000000000000007E-2</v>
      </c>
      <c r="G48" s="2741" t="s">
        <v>1965</v>
      </c>
      <c r="H48" s="2742"/>
      <c r="I48" s="1958"/>
      <c r="J48" s="2715">
        <v>3</v>
      </c>
      <c r="K48" s="3586" t="s">
        <v>1966</v>
      </c>
      <c r="L48" s="3586"/>
      <c r="M48" s="3608" t="e">
        <f ca="1">H101</f>
        <v>#REF!</v>
      </c>
      <c r="N48" s="3608"/>
      <c r="O48" s="3608"/>
    </row>
    <row r="49" spans="1:35" ht="25.5" customHeight="1">
      <c r="A49" s="2522" t="s">
        <v>1967</v>
      </c>
      <c r="B49" s="3519" t="s">
        <v>1968</v>
      </c>
      <c r="C49" s="3519"/>
      <c r="D49" s="1742">
        <v>0</v>
      </c>
      <c r="E49" s="329" t="s">
        <v>1969</v>
      </c>
      <c r="F49" s="2616" t="s">
        <v>34</v>
      </c>
      <c r="G49" s="3592"/>
      <c r="H49" s="2494" t="s">
        <v>2812</v>
      </c>
      <c r="I49" s="2495"/>
      <c r="J49" s="2715">
        <v>4</v>
      </c>
      <c r="K49" s="3586" t="str">
        <f>IF(项目基本情况!E8="房地产抵押价值","房地产抵押价值","抵押担保权已注销时的房地产抵押价值")</f>
        <v>抵押担保权已注销时的房地产抵押价值</v>
      </c>
      <c r="L49" s="3586"/>
      <c r="M49" s="3608" t="str">
        <f>IF(项目基本情况!E8="房地产抵押价值",H107,H109)</f>
        <v>——</v>
      </c>
      <c r="N49" s="3608"/>
      <c r="O49" s="3608"/>
    </row>
    <row r="50" spans="1:35" ht="25.5" customHeight="1">
      <c r="A50" s="2743"/>
      <c r="B50" s="3519" t="s">
        <v>1970</v>
      </c>
      <c r="C50" s="3519"/>
      <c r="D50" s="2744"/>
      <c r="E50" s="337"/>
      <c r="F50" s="2616"/>
      <c r="G50" s="3593"/>
      <c r="H50" s="2496" t="s">
        <v>2813</v>
      </c>
      <c r="I50" s="2495"/>
      <c r="J50" s="3605" t="s">
        <v>1971</v>
      </c>
      <c r="K50" s="3605"/>
      <c r="L50" s="3605"/>
      <c r="M50" s="3605"/>
      <c r="N50" s="3605"/>
      <c r="O50" s="3605"/>
    </row>
    <row r="51" spans="1:35" ht="20.45" customHeight="1">
      <c r="A51" s="2745"/>
      <c r="B51" s="3519" t="s">
        <v>1972</v>
      </c>
      <c r="C51" s="3519"/>
      <c r="D51" s="1216"/>
      <c r="E51" s="332"/>
      <c r="F51" s="2616"/>
      <c r="G51" s="3594"/>
      <c r="H51" s="2496" t="s">
        <v>2814</v>
      </c>
      <c r="I51" s="2495"/>
      <c r="J51" s="2716" t="s">
        <v>1973</v>
      </c>
      <c r="K51" s="3586" t="s">
        <v>1974</v>
      </c>
      <c r="L51" s="3586"/>
      <c r="M51" s="2716" t="s">
        <v>1975</v>
      </c>
      <c r="N51" s="2716" t="s">
        <v>1976</v>
      </c>
      <c r="O51" s="2716" t="s">
        <v>1977</v>
      </c>
    </row>
    <row r="52" spans="1:35" ht="24" customHeight="1">
      <c r="A52" s="2524" t="s">
        <v>1978</v>
      </c>
      <c r="B52" s="3519" t="s">
        <v>1979</v>
      </c>
      <c r="C52" s="3519"/>
      <c r="D52" s="1216" t="e">
        <f ca="1">ROUND(D45*'数据-取费表'!B41/(1+'数据-取费表'!C42),0)</f>
        <v>#REF!</v>
      </c>
      <c r="E52" s="2523" t="s">
        <v>1980</v>
      </c>
      <c r="F52" s="2746">
        <f>'数据-取费表'!B41</f>
        <v>5.5000000000000007E-2</v>
      </c>
      <c r="G52" s="2747"/>
      <c r="H52" s="2736"/>
      <c r="I52" s="1959"/>
      <c r="J52" s="2715">
        <v>1</v>
      </c>
      <c r="K52" s="3587" t="s">
        <v>1981</v>
      </c>
      <c r="L52" s="3587"/>
      <c r="M52" s="2717" t="b">
        <f>D48</f>
        <v>0</v>
      </c>
      <c r="N52" s="2715" t="str">
        <f>E48</f>
        <v>销售额×税（费）率</v>
      </c>
      <c r="O52" s="2718">
        <f>F48</f>
        <v>5.5000000000000007E-2</v>
      </c>
    </row>
    <row r="53" spans="1:35" ht="12" customHeight="1">
      <c r="A53" s="2524" t="s">
        <v>1982</v>
      </c>
      <c r="B53" s="3545" t="s">
        <v>2973</v>
      </c>
      <c r="C53" s="3546"/>
      <c r="D53" s="1216" t="e">
        <f ca="1">ROUND(D45*'数据-取费表'!B41/(1+'数据-取费表'!C42),0)</f>
        <v>#REF!</v>
      </c>
      <c r="E53" s="2523" t="s">
        <v>1980</v>
      </c>
      <c r="F53" s="2746">
        <f>'数据-取费表'!B41</f>
        <v>5.5000000000000007E-2</v>
      </c>
      <c r="G53" s="2747"/>
      <c r="H53" s="2736"/>
      <c r="I53" s="1959"/>
      <c r="J53" s="2715">
        <v>2</v>
      </c>
      <c r="K53" s="3587" t="s">
        <v>1983</v>
      </c>
      <c r="L53" s="3587"/>
      <c r="M53" s="2717" t="e">
        <f t="shared" ref="M53:O54" ca="1" si="0">D55</f>
        <v>#REF!</v>
      </c>
      <c r="N53" s="2715" t="str">
        <f t="shared" si="0"/>
        <v>销售额×税（费）率</v>
      </c>
      <c r="O53" s="2718" t="str">
        <f t="shared" si="0"/>
        <v>免征</v>
      </c>
    </row>
    <row r="54" spans="1:35" ht="12" customHeight="1">
      <c r="A54" s="2524" t="s">
        <v>1984</v>
      </c>
      <c r="B54" s="3545" t="s">
        <v>2974</v>
      </c>
      <c r="C54" s="3546"/>
      <c r="D54" s="1216" t="e">
        <f ca="1">C68</f>
        <v>#REF!</v>
      </c>
      <c r="E54" s="332" t="s">
        <v>1985</v>
      </c>
      <c r="F54" s="2746">
        <f>'数据-取费表'!B41</f>
        <v>5.5000000000000007E-2</v>
      </c>
      <c r="G54" s="2747"/>
      <c r="H54" s="2748"/>
      <c r="I54" s="1959"/>
      <c r="J54" s="2715">
        <v>3</v>
      </c>
      <c r="K54" s="3587" t="s">
        <v>1986</v>
      </c>
      <c r="L54" s="3587"/>
      <c r="M54" s="2717" t="e">
        <f t="shared" ca="1" si="0"/>
        <v>#REF!</v>
      </c>
      <c r="N54" s="2715" t="str">
        <f t="shared" si="0"/>
        <v>增值额×税（费）率</v>
      </c>
      <c r="O54" s="2719" t="str">
        <f t="shared" si="0"/>
        <v>免征</v>
      </c>
    </row>
    <row r="55" spans="1:35" ht="24" customHeight="1">
      <c r="A55" s="3534" t="s">
        <v>1987</v>
      </c>
      <c r="B55" s="3535"/>
      <c r="C55" s="3535"/>
      <c r="D55" s="2513" t="e">
        <f ca="1">IF(H55="个人住宅",0,ROUND(D45*I55,0))</f>
        <v>#REF!</v>
      </c>
      <c r="E55" s="2523" t="s">
        <v>1988</v>
      </c>
      <c r="F55" s="2746" t="str">
        <f>IF(H55="正常",I55,"免征")</f>
        <v>免征</v>
      </c>
      <c r="G55" s="2747"/>
      <c r="H55" s="2742"/>
      <c r="I55" s="169">
        <f>'数据-取费表'!B49</f>
        <v>5.0000000000000001E-4</v>
      </c>
      <c r="J55" s="2715">
        <f>IF(H59="非个人房产","",4)</f>
        <v>4</v>
      </c>
      <c r="K55" s="3587" t="str">
        <f>IF(H59="非个人房产","——","个人所得税")</f>
        <v>个人所得税</v>
      </c>
      <c r="L55" s="3587"/>
      <c r="M55" s="2720" t="e">
        <f ca="1">D59</f>
        <v>#REF!</v>
      </c>
      <c r="N55" s="2194" t="str">
        <f>E59</f>
        <v>差额计税</v>
      </c>
      <c r="O55" s="2721">
        <f>F59</f>
        <v>0.01</v>
      </c>
    </row>
    <row r="56" spans="1:35" ht="24.75">
      <c r="A56" s="3534" t="s">
        <v>1989</v>
      </c>
      <c r="B56" s="3535"/>
      <c r="C56" s="3535"/>
      <c r="D56" s="2513" t="e">
        <f ca="1">IF(H56="个人住宅",D57,D58)</f>
        <v>#REF!</v>
      </c>
      <c r="E56" s="2523" t="s">
        <v>1990</v>
      </c>
      <c r="F56" s="2746" t="str">
        <f>IF(H56="正常",F58,"免征")</f>
        <v>免征</v>
      </c>
      <c r="G56" s="2749" t="s">
        <v>1991</v>
      </c>
      <c r="H56" s="2750"/>
      <c r="I56" s="1960"/>
      <c r="J56" s="2715" t="str">
        <f>IF(项目基本情况!K6="上海银行",IF(J55="",4,J55+1),"")</f>
        <v/>
      </c>
      <c r="K56" s="3610" t="str">
        <f>IF(项目基本情况!K6="上海银行","其他处置费用","")</f>
        <v/>
      </c>
      <c r="L56" s="3611"/>
      <c r="M56" s="2717" t="str">
        <f>IF(项目基本情况!K6="上海银行",M69,"")</f>
        <v/>
      </c>
      <c r="N56" s="3610" t="str">
        <f>IF(项目基本情况!K6="上海银行","包含处置中涉及的律师、诉讼、拍卖、评估等费用","")</f>
        <v/>
      </c>
      <c r="O56" s="3613"/>
    </row>
    <row r="57" spans="1:35" ht="12.75">
      <c r="A57" s="2524" t="s">
        <v>1967</v>
      </c>
      <c r="B57" s="3545" t="s">
        <v>1992</v>
      </c>
      <c r="C57" s="3546"/>
      <c r="D57" s="1742">
        <v>0</v>
      </c>
      <c r="E57" s="329" t="s">
        <v>1969</v>
      </c>
      <c r="F57" s="307"/>
      <c r="G57" s="2747"/>
      <c r="H57" s="2751"/>
      <c r="I57" s="1960"/>
      <c r="J57" s="3587">
        <f>IF(AND(J55="",J56=""),4,IF(项目基本情况!K6="上海银行",结果表1层商业!J56+1,结果表1层商业!J55+1))</f>
        <v>5</v>
      </c>
      <c r="K57" s="3587" t="s">
        <v>1993</v>
      </c>
      <c r="L57" s="2722" t="s">
        <v>1994</v>
      </c>
      <c r="M57" s="2723"/>
      <c r="N57" s="2724">
        <f ca="1">SUMIF(M52:M56,"&lt;9e307")</f>
        <v>0</v>
      </c>
      <c r="O57" s="2725"/>
      <c r="P57" s="2885" t="e">
        <f ca="1">N57/M49</f>
        <v>#VALUE!</v>
      </c>
    </row>
    <row r="58" spans="1:35" ht="24.75">
      <c r="A58" s="2524" t="s">
        <v>1978</v>
      </c>
      <c r="B58" s="3545" t="s">
        <v>1995</v>
      </c>
      <c r="C58" s="3519"/>
      <c r="D58" s="2513" t="e">
        <f ca="1">IF(H58="转让取得",C81,C97)</f>
        <v>#REF!</v>
      </c>
      <c r="E58" s="2523" t="s">
        <v>1990</v>
      </c>
      <c r="F58" s="307" t="s">
        <v>34</v>
      </c>
      <c r="G58" s="2747"/>
      <c r="H58" s="2750"/>
      <c r="I58" s="1960"/>
      <c r="J58" s="3587"/>
      <c r="K58" s="3587"/>
      <c r="L58" s="2722" t="s">
        <v>1996</v>
      </c>
      <c r="M58" s="2726"/>
      <c r="N58" s="2727" t="str">
        <f ca="1">NUMBERSTRING(INT(N57*10000),2)&amp;"元整"</f>
        <v>零元整</v>
      </c>
      <c r="O58" s="2728"/>
    </row>
    <row r="59" spans="1:35" ht="24.75" thickBot="1">
      <c r="A59" s="3590" t="s">
        <v>1997</v>
      </c>
      <c r="B59" s="3591"/>
      <c r="C59" s="3591"/>
      <c r="D59" s="2752" t="e">
        <f ca="1">IF(H59="非个人房产","——",IF(H59="个人住宅（满五唯一有凭证）",0,IF(H59="个人其他（无凭证）",ROUND(D45*F59,0),ROUND(C67*F59,0))))</f>
        <v>#REF!</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2815</v>
      </c>
      <c r="J59" s="3588">
        <f>J57+1</f>
        <v>6</v>
      </c>
      <c r="K59" s="3587" t="s">
        <v>1998</v>
      </c>
      <c r="L59" s="2715" t="s">
        <v>1994</v>
      </c>
      <c r="M59" s="2729"/>
      <c r="N59" s="2730" t="e">
        <f ca="1">M49-N57</f>
        <v>#VALUE!</v>
      </c>
      <c r="O59" s="2731"/>
    </row>
    <row r="60" spans="1:35" ht="12" customHeight="1">
      <c r="A60" s="1961"/>
      <c r="B60" s="1899"/>
      <c r="C60" s="1899"/>
      <c r="D60" s="1899"/>
      <c r="E60" s="1730"/>
      <c r="F60" s="1960"/>
      <c r="G60" s="1960"/>
      <c r="H60" s="1962"/>
      <c r="I60" s="134"/>
      <c r="J60" s="3589"/>
      <c r="K60" s="3587"/>
      <c r="L60" s="2722" t="s">
        <v>1996</v>
      </c>
      <c r="M60" s="2726"/>
      <c r="N60" s="2727" t="e">
        <f ca="1">NUMBERSTRING(INT(N59*10000),2)&amp;"元整"</f>
        <v>#VALUE!</v>
      </c>
      <c r="O60" s="2728"/>
    </row>
    <row r="61" spans="1:35" ht="13.5" thickBot="1">
      <c r="A61" s="3532" t="s">
        <v>1999</v>
      </c>
      <c r="B61" s="3532"/>
      <c r="C61" s="3532"/>
      <c r="D61" s="3532"/>
      <c r="E61" s="3532"/>
      <c r="F61" s="1960"/>
      <c r="G61" s="1960"/>
      <c r="H61" s="1962"/>
      <c r="I61" s="134"/>
      <c r="J61" s="2715">
        <f>J59+1</f>
        <v>7</v>
      </c>
      <c r="K61" s="3587" t="s">
        <v>2000</v>
      </c>
      <c r="L61" s="3587"/>
      <c r="M61" s="2732"/>
      <c r="N61" s="2733" t="e">
        <f ca="1">ROUND(N59*10000/'数据-汇总表'!E3,0)</f>
        <v>#VALUE!</v>
      </c>
      <c r="O61" s="2734"/>
    </row>
    <row r="62" spans="1:35" ht="12.75">
      <c r="A62" s="3550" t="s">
        <v>2001</v>
      </c>
      <c r="B62" s="3551"/>
      <c r="C62" s="2175"/>
      <c r="D62" s="2175" t="s">
        <v>2002</v>
      </c>
      <c r="E62" s="170" t="s">
        <v>2003</v>
      </c>
      <c r="F62" s="1960"/>
      <c r="G62" s="1960"/>
      <c r="H62" s="1962"/>
      <c r="I62" s="134"/>
    </row>
    <row r="63" spans="1:35" ht="12.75">
      <c r="A63" s="177" t="s">
        <v>775</v>
      </c>
      <c r="B63" s="171" t="s">
        <v>2004</v>
      </c>
      <c r="C63" s="2756" t="e">
        <f ca="1">ROUND((C64+C65)/(1+'数据-取费表'!C42),0)</f>
        <v>#REF!</v>
      </c>
      <c r="D63" s="171"/>
      <c r="E63" s="172"/>
      <c r="F63" s="1960"/>
      <c r="G63" s="1960"/>
      <c r="H63" s="1962"/>
      <c r="I63" s="134"/>
      <c r="J63" s="3612" t="s">
        <v>2005</v>
      </c>
      <c r="K63" s="1469" t="s">
        <v>2006</v>
      </c>
      <c r="L63" s="1469" t="e">
        <f>IF(M49&gt;10000,M49*0.5%,IF(AND(M49&gt;1000,M49&lt;=10000),M49*1%,IF(AND(M49&gt;100,M49&lt;=1000),M49*3%,IF(AND(M49&gt;10,M49&lt;=100),M49*5%,M49*8%))))</f>
        <v>#VALUE!</v>
      </c>
      <c r="M63" s="307" t="e">
        <f>ROUND(L63,1)</f>
        <v>#VALUE!</v>
      </c>
      <c r="N63" s="2735"/>
      <c r="Z63" s="1904"/>
      <c r="AI63" s="1905"/>
    </row>
    <row r="64" spans="1:35" ht="14.25" customHeight="1">
      <c r="A64" s="173" t="s">
        <v>770</v>
      </c>
      <c r="B64" s="174" t="s">
        <v>2007</v>
      </c>
      <c r="C64" s="2757" t="e">
        <f ca="1">D45</f>
        <v>#REF!</v>
      </c>
      <c r="D64" s="174" t="s">
        <v>32</v>
      </c>
      <c r="E64" s="176"/>
      <c r="F64" s="1960"/>
      <c r="G64" s="1960"/>
      <c r="H64" s="1962"/>
      <c r="I64" s="134"/>
      <c r="J64" s="3612"/>
      <c r="K64" s="1469" t="s">
        <v>2008</v>
      </c>
      <c r="L64" s="146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6" t="s">
        <v>2009</v>
      </c>
      <c r="Z64" s="1904"/>
      <c r="AI64" s="1905"/>
    </row>
    <row r="65" spans="1:35" ht="14.25" customHeight="1">
      <c r="A65" s="173" t="s">
        <v>771</v>
      </c>
      <c r="B65" s="174" t="s">
        <v>2010</v>
      </c>
      <c r="C65" s="2758"/>
      <c r="D65" s="174"/>
      <c r="E65" s="176"/>
      <c r="F65" s="1960"/>
      <c r="G65" s="1960"/>
      <c r="H65" s="1962"/>
      <c r="I65" s="134"/>
      <c r="J65" s="3612"/>
      <c r="K65" s="1469" t="s">
        <v>2011</v>
      </c>
      <c r="L65" s="1469" t="e">
        <f>IF(M49&gt;1000,M49*0.1%,IF(AND(M49&gt;500,M49&lt;=1000),M49*0.5%,IF(AND(M49&gt;50,M49&lt;=500),M49*1%,IF(AND(M49&gt;1,M49&lt;=50),M49*1.5%))))</f>
        <v>#VALUE!</v>
      </c>
      <c r="M65" s="307" t="e">
        <f t="shared" si="1"/>
        <v>#VALUE!</v>
      </c>
      <c r="N65" s="2736" t="s">
        <v>2009</v>
      </c>
      <c r="Z65" s="1904"/>
      <c r="AI65" s="1905"/>
    </row>
    <row r="66" spans="1:35" ht="14.25" customHeight="1">
      <c r="A66" s="177" t="s">
        <v>772</v>
      </c>
      <c r="B66" s="178" t="s">
        <v>2012</v>
      </c>
      <c r="C66" s="2759"/>
      <c r="D66" s="178" t="s">
        <v>32</v>
      </c>
      <c r="E66" s="1476" t="s">
        <v>1277</v>
      </c>
      <c r="F66" s="1960"/>
      <c r="G66" s="1960"/>
      <c r="H66" s="1962"/>
      <c r="I66" s="134"/>
      <c r="J66" s="3612"/>
      <c r="K66" s="1469" t="s">
        <v>2013</v>
      </c>
      <c r="L66" s="1469" t="e">
        <f>M49*0.5%</f>
        <v>#VALUE!</v>
      </c>
      <c r="M66" s="307" t="e">
        <f>IF(L66&gt;0.5,0.5,ROUND(L66,0))</f>
        <v>#VALUE!</v>
      </c>
      <c r="N66" s="2736" t="s">
        <v>2014</v>
      </c>
      <c r="Z66" s="1904"/>
      <c r="AI66" s="1905"/>
    </row>
    <row r="67" spans="1:35" ht="14.25" customHeight="1">
      <c r="A67" s="177" t="s">
        <v>773</v>
      </c>
      <c r="B67" s="178" t="s">
        <v>2015</v>
      </c>
      <c r="C67" s="2760" t="e">
        <f ca="1">C63-C66</f>
        <v>#REF!</v>
      </c>
      <c r="D67" s="174" t="s">
        <v>32</v>
      </c>
      <c r="E67" s="176"/>
      <c r="F67" s="1960"/>
      <c r="G67" s="1960"/>
      <c r="H67" s="1962"/>
      <c r="I67" s="134"/>
      <c r="J67" s="3612"/>
      <c r="K67" s="1469" t="s">
        <v>2016</v>
      </c>
      <c r="L67" s="146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5"/>
      <c r="Z67" s="1904"/>
      <c r="AI67" s="1905"/>
    </row>
    <row r="68" spans="1:35" ht="14.25" customHeight="1" thickBot="1">
      <c r="A68" s="180" t="s">
        <v>774</v>
      </c>
      <c r="B68" s="181" t="s">
        <v>2017</v>
      </c>
      <c r="C68" s="2761" t="e">
        <f ca="1">IF(C67&lt;=0,0,ROUND(C67*D68,0))</f>
        <v>#REF!</v>
      </c>
      <c r="D68" s="2762">
        <f>'数据-取费表'!B41</f>
        <v>5.5000000000000007E-2</v>
      </c>
      <c r="E68" s="183"/>
      <c r="F68" s="1960"/>
      <c r="G68" s="1960"/>
      <c r="H68" s="1962"/>
      <c r="I68" s="134"/>
      <c r="J68" s="3612"/>
      <c r="K68" s="1469" t="s">
        <v>2018</v>
      </c>
      <c r="L68" s="1469" t="e">
        <f>IF(M49&gt;10000,M49*0.5%,IF(AND(M49&gt;5000,M49&lt;=10000),M49*1%,IF(AND(M49&gt;1000,M49&lt;=5000),M49*2%,IF(AND(M49&gt;200,M49&lt;=1000),M49*3%,M49*5%))))</f>
        <v>#VALUE!</v>
      </c>
      <c r="M68" s="307" t="e">
        <f>ROUND(L68,1)</f>
        <v>#VALUE!</v>
      </c>
      <c r="N68" s="2735"/>
      <c r="Z68" s="1904"/>
      <c r="AI68" s="1905"/>
    </row>
    <row r="69" spans="1:35" s="1924" customFormat="1" ht="16.5" customHeight="1">
      <c r="A69" s="1963"/>
      <c r="B69" s="1964"/>
      <c r="C69" s="1965"/>
      <c r="D69" s="1966"/>
      <c r="E69" s="1967"/>
      <c r="F69" s="1730"/>
      <c r="G69" s="1730"/>
      <c r="H69" s="1729"/>
      <c r="I69" s="1899"/>
      <c r="J69" s="3612"/>
      <c r="K69" s="1469" t="s">
        <v>2019</v>
      </c>
      <c r="L69" s="1469"/>
      <c r="M69" s="307" t="e">
        <f>ROUND(SUM(M63:M68),0)</f>
        <v>#VALUE!</v>
      </c>
      <c r="N69" s="2737"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571" t="s">
        <v>2020</v>
      </c>
      <c r="B70" s="3572"/>
      <c r="C70" s="3572"/>
      <c r="D70" s="3572"/>
      <c r="E70" s="3572"/>
      <c r="F70" s="3572"/>
      <c r="G70" s="3572"/>
      <c r="H70" s="3572"/>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550" t="s">
        <v>2001</v>
      </c>
      <c r="B71" s="3551"/>
      <c r="C71" s="2175"/>
      <c r="D71" s="2175" t="s">
        <v>2002</v>
      </c>
      <c r="E71" s="184" t="s">
        <v>2003</v>
      </c>
      <c r="F71" s="185"/>
      <c r="G71" s="185"/>
      <c r="H71" s="186"/>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7" t="s">
        <v>775</v>
      </c>
      <c r="B72" s="178" t="s">
        <v>2021</v>
      </c>
      <c r="C72" s="2760" t="e">
        <f ca="1">ROUND(D45/(1+'数据-取费表'!C42),0)</f>
        <v>#REF!</v>
      </c>
      <c r="D72" s="174" t="s">
        <v>32</v>
      </c>
      <c r="E72" s="2520"/>
      <c r="F72" s="2519"/>
      <c r="G72" s="2519"/>
      <c r="H72" s="187"/>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7" t="s">
        <v>772</v>
      </c>
      <c r="B73" s="167" t="s">
        <v>2022</v>
      </c>
      <c r="C73" s="2760" t="e">
        <f ca="1">C74+C78</f>
        <v>#REF!</v>
      </c>
      <c r="D73" s="174" t="s">
        <v>32</v>
      </c>
      <c r="E73" s="2520"/>
      <c r="F73" s="2519"/>
      <c r="G73" s="2519"/>
      <c r="H73" s="187"/>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3" t="s">
        <v>770</v>
      </c>
      <c r="B74" s="174" t="s">
        <v>2023</v>
      </c>
      <c r="C74" s="174">
        <f>ROUND(IF(G77="2016年5月1日后购买",C75/(1+'数据-取费表'!C42)+C76+C77,C75+C76+C77),0)</f>
        <v>0</v>
      </c>
      <c r="D74" s="174" t="s">
        <v>32</v>
      </c>
      <c r="E74" s="2520"/>
      <c r="F74" s="2519"/>
      <c r="G74" s="2519"/>
      <c r="H74" s="187"/>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3" t="s">
        <v>776</v>
      </c>
      <c r="B75" s="174" t="s">
        <v>2024</v>
      </c>
      <c r="C75" s="2763"/>
      <c r="D75" s="174" t="s">
        <v>32</v>
      </c>
      <c r="E75" s="189" t="s">
        <v>2025</v>
      </c>
      <c r="F75" s="2764"/>
      <c r="G75" s="189" t="s">
        <v>2026</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3" t="s">
        <v>777</v>
      </c>
      <c r="B76" s="190" t="s">
        <v>2027</v>
      </c>
      <c r="C76" s="174">
        <f>IF(F75="购房发票",ROUND(C75*H75*D76,0),0)</f>
        <v>0</v>
      </c>
      <c r="D76" s="2766">
        <v>0.05</v>
      </c>
      <c r="E76" s="3545" t="s">
        <v>2028</v>
      </c>
      <c r="F76" s="3519"/>
      <c r="G76" s="3519"/>
      <c r="H76" s="3570"/>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3" t="s">
        <v>778</v>
      </c>
      <c r="B77" s="174" t="s">
        <v>2029</v>
      </c>
      <c r="C77" s="174">
        <f>ROUND(IF(G77="个人住宅",0,IF(G77="2016年5月1日前购买",C75*D77,C75*D77/(1+'数据-取费表'!C42))),0)</f>
        <v>0</v>
      </c>
      <c r="D77" s="2767">
        <f>'数据-取费表'!B48+'数据-取费表'!B49</f>
        <v>3.0499999999999999E-2</v>
      </c>
      <c r="E77" s="2513" t="s">
        <v>2030</v>
      </c>
      <c r="F77" s="191"/>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3" t="s">
        <v>771</v>
      </c>
      <c r="B78" s="174" t="s">
        <v>2031</v>
      </c>
      <c r="C78" s="2768" t="e">
        <f ca="1">ROUND(D45*D78/(1+'数据-取费表'!C42),0)</f>
        <v>#REF!</v>
      </c>
      <c r="D78" s="2769">
        <f>'数据-取费表'!B43</f>
        <v>5.000000000000001E-3</v>
      </c>
      <c r="E78" s="3529" t="s">
        <v>2032</v>
      </c>
      <c r="F78" s="3530"/>
      <c r="G78" s="3530"/>
      <c r="H78" s="3539"/>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7" t="s">
        <v>779</v>
      </c>
      <c r="B79" s="178" t="s">
        <v>2033</v>
      </c>
      <c r="C79" s="2760" t="e">
        <f ca="1">C72-C73</f>
        <v>#REF!</v>
      </c>
      <c r="D79" s="174" t="s">
        <v>32</v>
      </c>
      <c r="E79" s="2520"/>
      <c r="F79" s="2519"/>
      <c r="G79" s="2519"/>
      <c r="H79" s="187"/>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7" t="s">
        <v>780</v>
      </c>
      <c r="B80" s="178" t="s">
        <v>2034</v>
      </c>
      <c r="C80" s="2770" t="e">
        <f ca="1">IF(C79&lt;=0,0,C79/C73)</f>
        <v>#REF!</v>
      </c>
      <c r="D80" s="174" t="s">
        <v>32</v>
      </c>
      <c r="E80" s="2513" t="e">
        <f ca="1">IF(C80&gt;=200%,"增值额超过扣除项目金额200%",IF(C80&gt;=100%,"增值额超过扣除项目金额100%，未超过200%",IF(C80&gt;=50%,"增值额超过扣除项目金额50%，未超过100%",IF(C80&lt;50%,"增值额未超过扣除项目金额50%"))))</f>
        <v>#REF!</v>
      </c>
      <c r="F80" s="2519"/>
      <c r="G80" s="2519"/>
      <c r="H80" s="187"/>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0" t="s">
        <v>781</v>
      </c>
      <c r="B81" s="181" t="s">
        <v>2035</v>
      </c>
      <c r="C81" s="2771" t="e">
        <f ca="1">ROUND(IF(C79&lt;=0,0,IF(C80&gt;=200%,C79*60%-C73*35%,IF(C80&gt;=100%,C79*50%-C73*15%,IF(C80&gt;=50%,C79*40%-C73*5%,IF(C80&lt;50%,C79*30%,0))))),0)</f>
        <v>#REF!</v>
      </c>
      <c r="D81" s="277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571" t="s">
        <v>2036</v>
      </c>
      <c r="B83" s="3572"/>
      <c r="C83" s="3572"/>
      <c r="D83" s="3572"/>
      <c r="E83" s="3572"/>
      <c r="F83" s="3572"/>
      <c r="G83" s="3572"/>
      <c r="H83" s="3572"/>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550" t="s">
        <v>2001</v>
      </c>
      <c r="B84" s="3551"/>
      <c r="C84" s="2175"/>
      <c r="D84" s="2175" t="s">
        <v>2002</v>
      </c>
      <c r="E84" s="184" t="s">
        <v>2003</v>
      </c>
      <c r="F84" s="185"/>
      <c r="G84" s="185"/>
      <c r="H84" s="196"/>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7" t="s">
        <v>775</v>
      </c>
      <c r="B85" s="178" t="s">
        <v>2021</v>
      </c>
      <c r="C85" s="2760" t="e">
        <f ca="1">ROUND(D45/(1+'数据-取费表'!C42),0)</f>
        <v>#REF!</v>
      </c>
      <c r="D85" s="174" t="s">
        <v>32</v>
      </c>
      <c r="E85" s="2520"/>
      <c r="F85" s="2519"/>
      <c r="G85" s="2519"/>
      <c r="H85" s="197"/>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7" t="s">
        <v>772</v>
      </c>
      <c r="B86" s="167" t="s">
        <v>2022</v>
      </c>
      <c r="C86" s="2760" t="e">
        <f ca="1">IF(H88="仅含出让金",C87+C90+C91+C92+C93+C94,C87+C91+C92+C93+C94)</f>
        <v>#REF!</v>
      </c>
      <c r="D86" s="2773"/>
      <c r="E86" s="2520"/>
      <c r="F86" s="2519"/>
      <c r="G86" s="2519"/>
      <c r="H86" s="197"/>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3" t="s">
        <v>770</v>
      </c>
      <c r="B87" s="174" t="s">
        <v>2037</v>
      </c>
      <c r="C87" s="2768">
        <f>C88+C89</f>
        <v>0</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3" t="s">
        <v>776</v>
      </c>
      <c r="B88" s="174" t="s">
        <v>2038</v>
      </c>
      <c r="C88" s="2774"/>
      <c r="D88" s="2769"/>
      <c r="E88" s="198" t="s">
        <v>2039</v>
      </c>
      <c r="F88" s="2516"/>
      <c r="G88" s="199" t="s">
        <v>2040</v>
      </c>
      <c r="H88" s="1976"/>
      <c r="I88" s="1973"/>
      <c r="J88" s="2713" t="s">
        <v>2970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3" t="s">
        <v>777</v>
      </c>
      <c r="B89" s="174" t="s">
        <v>2029</v>
      </c>
      <c r="C89" s="2768">
        <f>ROUND(C88*D89,0)</f>
        <v>0</v>
      </c>
      <c r="D89" s="2769">
        <f>'数据-取费表'!B48+'数据-取费表'!B49</f>
        <v>3.0499999999999999E-2</v>
      </c>
      <c r="E89" s="198"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3" t="s">
        <v>771</v>
      </c>
      <c r="B90" s="174" t="s">
        <v>2042</v>
      </c>
      <c r="C90" s="2774"/>
      <c r="D90" s="2769"/>
      <c r="E90" s="198" t="str">
        <f>IF(H88="-","土地取得成本中已包含该笔费用"," ")</f>
        <v xml:space="preserve"> </v>
      </c>
      <c r="F90" s="2516"/>
      <c r="G90" s="3614" t="s">
        <v>2807</v>
      </c>
      <c r="H90" s="3615"/>
      <c r="I90" s="1973"/>
      <c r="J90" s="2713" t="s">
        <v>2971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3" t="s">
        <v>2043</v>
      </c>
      <c r="B91" s="174" t="s">
        <v>2044</v>
      </c>
      <c r="C91" s="2768">
        <f>IF(H91="——",'成本法-仓储'!C33,I91)</f>
        <v>0</v>
      </c>
      <c r="D91" s="2769"/>
      <c r="E91" s="3529" t="s">
        <v>2045</v>
      </c>
      <c r="F91" s="3530"/>
      <c r="G91" s="3530"/>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3" t="s">
        <v>2046</v>
      </c>
      <c r="B92" s="174" t="s">
        <v>2047</v>
      </c>
      <c r="C92" s="2768">
        <f>ROUND((C87+C90+C91)*D92,0)</f>
        <v>0</v>
      </c>
      <c r="D92" s="2775"/>
      <c r="E92" s="3529" t="s">
        <v>2048</v>
      </c>
      <c r="F92" s="3530"/>
      <c r="G92" s="3530"/>
      <c r="H92" s="3539"/>
      <c r="I92" s="1973"/>
      <c r="J92" s="2714" t="s">
        <v>2972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3" t="s">
        <v>2049</v>
      </c>
      <c r="B93" s="174" t="s">
        <v>2031</v>
      </c>
      <c r="C93" s="2768" t="e">
        <f ca="1">ROUND(D45*D93/(1+'数据-取费表'!C42),0)</f>
        <v>#REF!</v>
      </c>
      <c r="D93" s="2769">
        <f>'数据-取费表'!B43</f>
        <v>5.000000000000001E-3</v>
      </c>
      <c r="E93" s="3529" t="s">
        <v>2032</v>
      </c>
      <c r="F93" s="3530"/>
      <c r="G93" s="3530"/>
      <c r="H93" s="3539"/>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3" t="s">
        <v>2050</v>
      </c>
      <c r="B94" s="174" t="s">
        <v>2051</v>
      </c>
      <c r="C94" s="2774">
        <f>ROUND((C87+C90+C91)*D94,0)</f>
        <v>0</v>
      </c>
      <c r="D94" s="2769">
        <v>0.2</v>
      </c>
      <c r="E94" s="3540" t="s">
        <v>2052</v>
      </c>
      <c r="F94" s="3541"/>
      <c r="G94" s="3541"/>
      <c r="H94" s="3542"/>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7" t="s">
        <v>779</v>
      </c>
      <c r="B95" s="178" t="s">
        <v>2033</v>
      </c>
      <c r="C95" s="2760" t="e">
        <f ca="1">ROUND(C85-C86,0)</f>
        <v>#REF!</v>
      </c>
      <c r="D95" s="174" t="s">
        <v>32</v>
      </c>
      <c r="E95" s="2520"/>
      <c r="F95" s="2519"/>
      <c r="G95" s="2519"/>
      <c r="H95" s="197"/>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7" t="s">
        <v>780</v>
      </c>
      <c r="B96" s="178" t="s">
        <v>2034</v>
      </c>
      <c r="C96" s="2770" t="e">
        <f ca="1">IF(C95&lt;=0,0,C95/C86)</f>
        <v>#REF!</v>
      </c>
      <c r="D96" s="174" t="s">
        <v>32</v>
      </c>
      <c r="E96" s="2513" t="e">
        <f ca="1">IF(C96&gt;=200%,"增值额超过扣除项目金额200%",IF(C96&gt;=100%,"增值额超过扣除项目金额100%，未超过200%",IF(C96&gt;=50%,"增值额超过扣除项目金额50%，未超过100%",IF(C96&lt;50%,"增值额未超过扣除项目金额50%"))))</f>
        <v>#REF!</v>
      </c>
      <c r="F96" s="2519"/>
      <c r="G96" s="2519"/>
      <c r="H96" s="197"/>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0" t="s">
        <v>781</v>
      </c>
      <c r="B97" s="181" t="s">
        <v>2035</v>
      </c>
      <c r="C97" s="2771" t="e">
        <f ca="1">ROUND(IF(C95&lt;=0,0,IF(C96&gt;=200%,C95*60%-C86*35%,IF(C96&gt;=100%,C95*50%-C86*15%,IF(C96&gt;=50%,C95*40%-C86*5%,IF(C96&lt;50%,C95*30%,0))))),0)</f>
        <v>#REF!</v>
      </c>
      <c r="D97" s="277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2053</v>
      </c>
      <c r="B99" s="1899"/>
      <c r="C99" s="1899"/>
      <c r="D99" s="1899"/>
      <c r="E99" s="1730"/>
      <c r="F99" s="1730"/>
      <c r="G99" s="1730"/>
      <c r="H99" s="1729"/>
      <c r="I99" s="134"/>
    </row>
    <row r="100" spans="1:35" ht="18.75" customHeight="1">
      <c r="A100" s="3476" t="s">
        <v>2054</v>
      </c>
      <c r="B100" s="3477"/>
      <c r="C100" s="3477"/>
      <c r="D100" s="3531"/>
      <c r="E100" s="3477" t="s">
        <v>2055</v>
      </c>
      <c r="F100" s="3477"/>
      <c r="G100" s="3477"/>
      <c r="H100" s="3531"/>
      <c r="I100" s="134"/>
    </row>
    <row r="101" spans="1:35" ht="18.75" customHeight="1">
      <c r="A101" s="3595" t="s">
        <v>2056</v>
      </c>
      <c r="B101" s="3596"/>
      <c r="C101" s="2777" t="str">
        <f>C4</f>
        <v>比较法-车位</v>
      </c>
      <c r="D101" s="2778" t="str">
        <f>D4</f>
        <v>收益法-车位</v>
      </c>
      <c r="E101" s="3609" t="s">
        <v>2057</v>
      </c>
      <c r="F101" s="3563"/>
      <c r="G101" s="1979" t="s">
        <v>2058</v>
      </c>
      <c r="H101" s="2787" t="e">
        <f ca="1">H118</f>
        <v>#REF!</v>
      </c>
      <c r="I101" s="134"/>
    </row>
    <row r="102" spans="1:35" ht="18.75" customHeight="1">
      <c r="A102" s="3565" t="s">
        <v>2059</v>
      </c>
      <c r="B102" s="2776" t="s">
        <v>2058</v>
      </c>
      <c r="C102" s="2777" t="e">
        <f ca="1">C19</f>
        <v>#DIV/0!</v>
      </c>
      <c r="D102" s="2778" t="e">
        <f ca="1">D19</f>
        <v>#N/A</v>
      </c>
      <c r="E102" s="3609"/>
      <c r="F102" s="3563"/>
      <c r="G102" s="1979" t="s">
        <v>2060</v>
      </c>
      <c r="H102" s="2747" t="e">
        <f ca="1">I118</f>
        <v>#REF!</v>
      </c>
      <c r="I102" s="134"/>
    </row>
    <row r="103" spans="1:35" ht="42.75" customHeight="1">
      <c r="A103" s="3565"/>
      <c r="B103" s="2776" t="s">
        <v>2060</v>
      </c>
      <c r="C103" s="2779" t="e">
        <f ca="1">C20</f>
        <v>#DIV/0!</v>
      </c>
      <c r="D103" s="2780">
        <f ca="1">D20</f>
        <v>0</v>
      </c>
      <c r="E103" s="3603" t="s">
        <v>2061</v>
      </c>
      <c r="F103" s="3604"/>
      <c r="G103" s="1980" t="s">
        <v>2062</v>
      </c>
      <c r="H103" s="2787">
        <f>IF(D36="正常操作",H104+H105+H106,H105+H106)</f>
        <v>0</v>
      </c>
      <c r="I103" s="134"/>
    </row>
    <row r="104" spans="1:35" ht="18.75" customHeight="1">
      <c r="A104" s="3565" t="s">
        <v>2063</v>
      </c>
      <c r="B104" s="2781" t="s">
        <v>2058</v>
      </c>
      <c r="C104" s="2782" t="e">
        <f ca="1">H118</f>
        <v>#REF!</v>
      </c>
      <c r="D104" s="2783"/>
      <c r="E104" s="1826" t="s">
        <v>2064</v>
      </c>
      <c r="F104" s="1818"/>
      <c r="G104" s="1980" t="s">
        <v>2062</v>
      </c>
      <c r="H104" s="2788">
        <f>IF(D36="同一抵押权人同一抵押物续贷",C36&amp;"（续贷，未扣减，详见特别提示）",C36)</f>
        <v>0</v>
      </c>
      <c r="I104" s="134"/>
    </row>
    <row r="105" spans="1:35" ht="18.75" customHeight="1" thickBot="1">
      <c r="A105" s="3566"/>
      <c r="B105" s="2784" t="s">
        <v>2060</v>
      </c>
      <c r="C105" s="2785" t="e">
        <f ca="1">I118</f>
        <v>#REF!</v>
      </c>
      <c r="D105" s="2786"/>
      <c r="E105" s="1826" t="s">
        <v>2065</v>
      </c>
      <c r="F105" s="1818"/>
      <c r="G105" s="1980" t="s">
        <v>2062</v>
      </c>
      <c r="H105" s="2789">
        <f>C37</f>
        <v>0</v>
      </c>
      <c r="I105" s="134"/>
    </row>
    <row r="106" spans="1:35" ht="18.75" customHeight="1">
      <c r="A106" s="1899" t="s">
        <v>2066</v>
      </c>
      <c r="B106" s="1899"/>
      <c r="C106" s="1899"/>
      <c r="D106" s="1899"/>
      <c r="E106" s="1981" t="s">
        <v>2067</v>
      </c>
      <c r="F106" s="1818"/>
      <c r="G106" s="1980" t="s">
        <v>2062</v>
      </c>
      <c r="H106" s="2789">
        <f>C38</f>
        <v>0</v>
      </c>
      <c r="I106" s="134"/>
    </row>
    <row r="107" spans="1:35" ht="18.75" customHeight="1">
      <c r="A107" s="134"/>
      <c r="B107" s="134"/>
      <c r="C107" s="134"/>
      <c r="D107" s="134"/>
      <c r="E107" s="3562" t="str">
        <f>IF(项目基本情况!E8="已注销","——","3.房地产抵押价值")</f>
        <v>3.房地产抵押价值</v>
      </c>
      <c r="F107" s="3563"/>
      <c r="G107" s="1979" t="s">
        <v>2058</v>
      </c>
      <c r="H107" s="2787" t="e">
        <f ca="1">IF(E107="——","——",H101-H103)</f>
        <v>#REF!</v>
      </c>
      <c r="I107" s="134"/>
    </row>
    <row r="108" spans="1:35" ht="18.75" customHeight="1">
      <c r="A108" s="134"/>
      <c r="B108" s="134"/>
      <c r="C108" s="134"/>
      <c r="D108" s="134"/>
      <c r="E108" s="3562"/>
      <c r="F108" s="3563"/>
      <c r="G108" s="1979" t="s">
        <v>2060</v>
      </c>
      <c r="H108" s="2747" t="e">
        <f ca="1">ROUND(H107*10000/'数据-汇总表'!E3,0)</f>
        <v>#REF!</v>
      </c>
      <c r="I108" s="134"/>
    </row>
    <row r="109" spans="1:35" ht="18.75" customHeight="1">
      <c r="A109" s="134"/>
      <c r="B109" s="134"/>
      <c r="C109" s="134"/>
      <c r="D109" s="134"/>
      <c r="E109" s="3562" t="str">
        <f>IF(项目基本情况!E8="已注销及未注销","4.抵押担保权已注销时的房地产抵押价值",IF(项目基本情况!E8="已注销","3.抵押担保权已注销时的房地产抵押价值","——"))</f>
        <v>——</v>
      </c>
      <c r="F109" s="3563"/>
      <c r="G109" s="1979" t="s">
        <v>2058</v>
      </c>
      <c r="H109" s="2790" t="str">
        <f>IF(E109="——","——",H101-H105-H106)</f>
        <v>——</v>
      </c>
      <c r="I109" s="134"/>
    </row>
    <row r="110" spans="1:35" ht="18.75" customHeight="1">
      <c r="A110" s="134"/>
      <c r="B110" s="134"/>
      <c r="C110" s="134"/>
      <c r="D110" s="134"/>
      <c r="E110" s="3562"/>
      <c r="F110" s="3563"/>
      <c r="G110" s="1979" t="s">
        <v>2060</v>
      </c>
      <c r="H110" s="2747" t="str">
        <f>IF(H109="——","——",ROUND(H109*10000/'数据-汇总表'!E3,0))</f>
        <v>——</v>
      </c>
      <c r="I110" s="134"/>
    </row>
    <row r="111" spans="1:35" ht="18.75" customHeight="1">
      <c r="A111" s="134"/>
      <c r="B111" s="134"/>
      <c r="C111" s="134"/>
      <c r="D111" s="134"/>
      <c r="E111" s="3597" t="str">
        <f>IF(项目基本情况!E9="抵押净值",IF(OR(项目基本情况!E8="已注销",项目基本情况!E8="房地产抵押价值"),"4.抵押净值","5.抵押净值"),"——")</f>
        <v>——</v>
      </c>
      <c r="F111" s="3564"/>
      <c r="G111" s="1979" t="s">
        <v>2058</v>
      </c>
      <c r="H111" s="2787" t="str">
        <f>IF(E111="——","——",N59)</f>
        <v>——</v>
      </c>
      <c r="I111" s="134"/>
    </row>
    <row r="112" spans="1:35" ht="18.75" customHeight="1" thickBot="1">
      <c r="A112" s="134"/>
      <c r="B112" s="134"/>
      <c r="C112" s="134"/>
      <c r="D112" s="134"/>
      <c r="E112" s="3598"/>
      <c r="F112" s="3599"/>
      <c r="G112" s="1982" t="s">
        <v>2060</v>
      </c>
      <c r="H112" s="2791" t="str">
        <f>IF(E111="——","——",N61)</f>
        <v>——</v>
      </c>
      <c r="I112" s="134"/>
    </row>
    <row r="113" spans="1:27" ht="18.75" customHeight="1">
      <c r="A113" s="134"/>
      <c r="B113" s="134"/>
      <c r="C113" s="134"/>
      <c r="D113" s="134"/>
      <c r="E113" s="3567" t="s">
        <v>2066</v>
      </c>
      <c r="F113" s="3567"/>
      <c r="G113" s="3567"/>
      <c r="H113" s="3567"/>
      <c r="I113" s="134"/>
    </row>
    <row r="114" spans="1:27" ht="3.75" customHeight="1">
      <c r="A114" s="1899"/>
      <c r="B114" s="1899"/>
      <c r="C114" s="1899"/>
      <c r="D114" s="1899"/>
      <c r="E114" s="1961"/>
      <c r="F114" s="1961"/>
      <c r="G114" s="1961"/>
      <c r="H114" s="1961"/>
      <c r="I114" s="1899"/>
    </row>
    <row r="115" spans="1:27" ht="18.75" customHeight="1">
      <c r="A115" s="3580" t="s">
        <v>2068</v>
      </c>
      <c r="B115" s="3581"/>
      <c r="C115" s="3581"/>
      <c r="D115" s="3581"/>
      <c r="E115" s="3581"/>
      <c r="F115" s="3581"/>
      <c r="G115" s="3581"/>
      <c r="H115" s="3581"/>
      <c r="I115" s="3582"/>
    </row>
    <row r="116" spans="1:27" ht="27" customHeight="1">
      <c r="A116" s="3533" t="s">
        <v>2069</v>
      </c>
      <c r="B116" s="3568" t="s">
        <v>2070</v>
      </c>
      <c r="C116" s="3568" t="s">
        <v>2071</v>
      </c>
      <c r="D116" s="3584" t="s">
        <v>2072</v>
      </c>
      <c r="E116" s="3585"/>
      <c r="F116" s="3576" t="s">
        <v>2073</v>
      </c>
      <c r="G116" s="3576"/>
      <c r="H116" s="3533" t="s">
        <v>2074</v>
      </c>
      <c r="I116" s="3533"/>
    </row>
    <row r="117" spans="1:27" ht="18.75" customHeight="1">
      <c r="A117" s="3533"/>
      <c r="B117" s="3569"/>
      <c r="C117" s="3569"/>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683.55</v>
      </c>
      <c r="C118" s="2518">
        <f>M19</f>
        <v>273.42</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spans="1:27" ht="18.75" customHeight="1">
      <c r="A119" s="3533" t="s">
        <v>2078</v>
      </c>
      <c r="B119" s="3533"/>
      <c r="C119" s="3533"/>
      <c r="D119" s="3573" t="e">
        <f ca="1">NUMBERSTRING(INT(D118*10000),2)&amp;"元整"</f>
        <v>#REF!</v>
      </c>
      <c r="E119" s="3575"/>
      <c r="F119" s="3573" t="e">
        <f ca="1">NUMBERSTRING(INT(F118*10000),2)&amp;"元整"</f>
        <v>#REF!</v>
      </c>
      <c r="G119" s="3575"/>
      <c r="H119" s="3573" t="e">
        <f ca="1">NUMBERSTRING(INT(H118*10000),2)&amp;"元整"</f>
        <v>#REF!</v>
      </c>
      <c r="I119" s="3575"/>
    </row>
    <row r="120" spans="1:27" ht="18.75" customHeight="1">
      <c r="A120" s="3600" t="str">
        <f>IF(项目基本情况!B9="房地产市场价值","",MID(E103,3,LEN(E103)-2))</f>
        <v/>
      </c>
      <c r="B120" s="3601"/>
      <c r="C120" s="3602"/>
      <c r="D120" s="3600">
        <f>H103</f>
        <v>0</v>
      </c>
      <c r="E120" s="3601"/>
      <c r="F120" s="3601"/>
      <c r="G120" s="3601"/>
      <c r="H120" s="3601"/>
      <c r="I120" s="3602"/>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577" t="s">
        <v>2078</v>
      </c>
      <c r="B121" s="3578"/>
      <c r="C121" s="3579"/>
      <c r="D121" s="3573" t="str">
        <f>IF(D120=0,"零元整",NUMBERSTRING(INT(D120*10000),2)&amp;"元整")</f>
        <v>零元整</v>
      </c>
      <c r="E121" s="3574"/>
      <c r="F121" s="3574"/>
      <c r="G121" s="3574"/>
      <c r="H121" s="3574"/>
      <c r="I121" s="3575"/>
      <c r="AA121" s="732"/>
    </row>
    <row r="122" spans="1:27" ht="18.75" customHeight="1">
      <c r="A122" s="3564" t="str">
        <f>IF(项目基本情况!B9="房地产市场价值","",MID(E107,3,LEN(E107)-2))</f>
        <v/>
      </c>
      <c r="B122" s="3564"/>
      <c r="C122" s="3564"/>
      <c r="D122" s="3600" t="e">
        <f ca="1">H107</f>
        <v>#REF!</v>
      </c>
      <c r="E122" s="3601"/>
      <c r="F122" s="3601"/>
      <c r="G122" s="3601"/>
      <c r="H122" s="3601"/>
      <c r="I122" s="3602"/>
      <c r="AA122" s="732"/>
    </row>
    <row r="123" spans="1:27" ht="18.75" customHeight="1">
      <c r="A123" s="3533" t="s">
        <v>2078</v>
      </c>
      <c r="B123" s="3533"/>
      <c r="C123" s="3533"/>
      <c r="D123" s="3573" t="e">
        <f ca="1">NUMBERSTRING(INT(D122*10000),2)&amp;"元整"</f>
        <v>#REF!</v>
      </c>
      <c r="E123" s="3574"/>
      <c r="F123" s="3574"/>
      <c r="G123" s="3574"/>
      <c r="H123" s="3574"/>
      <c r="I123" s="3575"/>
      <c r="AA123" s="732"/>
    </row>
    <row r="124" spans="1:27" ht="18.75" customHeight="1">
      <c r="A124" s="3564" t="str">
        <f>IF(项目基本情况!B9="房地产市场价值","",MID(E109,3,LEN(E109)-2))</f>
        <v/>
      </c>
      <c r="B124" s="3564"/>
      <c r="C124" s="3564"/>
      <c r="D124" s="3600" t="str">
        <f>H109</f>
        <v>——</v>
      </c>
      <c r="E124" s="3601"/>
      <c r="F124" s="3601"/>
      <c r="G124" s="3601"/>
      <c r="H124" s="3601"/>
      <c r="I124" s="3602"/>
      <c r="AA124" s="732"/>
    </row>
    <row r="125" spans="1:27" ht="18.75" customHeight="1">
      <c r="A125" s="3533" t="s">
        <v>2078</v>
      </c>
      <c r="B125" s="3533"/>
      <c r="C125" s="3533"/>
      <c r="D125" s="3573" t="e">
        <f>NUMBERSTRING(INT(D124*10000),2)&amp;"元整"</f>
        <v>#VALUE!</v>
      </c>
      <c r="E125" s="3574"/>
      <c r="F125" s="3574"/>
      <c r="G125" s="3574"/>
      <c r="H125" s="3574"/>
      <c r="I125" s="3575"/>
      <c r="AA125" s="732"/>
    </row>
    <row r="126" spans="1:27" ht="18.75" customHeight="1">
      <c r="A126" s="3564" t="str">
        <f>IF(项目基本情况!B9="房地产市场价值","",MID(E111,3,LEN(E111)-2))</f>
        <v/>
      </c>
      <c r="B126" s="3564"/>
      <c r="C126" s="3564"/>
      <c r="D126" s="3600" t="str">
        <f>H111</f>
        <v>——</v>
      </c>
      <c r="E126" s="3601"/>
      <c r="F126" s="3601"/>
      <c r="G126" s="3601"/>
      <c r="H126" s="3601"/>
      <c r="I126" s="3602"/>
      <c r="AA126" s="732"/>
    </row>
    <row r="127" spans="1:27" ht="18.75" customHeight="1">
      <c r="A127" s="3533" t="s">
        <v>2078</v>
      </c>
      <c r="B127" s="3533"/>
      <c r="C127" s="3533"/>
      <c r="D127" s="3573" t="e">
        <f>NUMBERSTRING(INT(D126*10000),2)&amp;"元整"</f>
        <v>#VALUE!</v>
      </c>
      <c r="E127" s="3574"/>
      <c r="F127" s="3574"/>
      <c r="G127" s="3574"/>
      <c r="H127" s="3574"/>
      <c r="I127" s="3575"/>
      <c r="AA127" s="732"/>
    </row>
    <row r="128" spans="1:27" ht="21.75" customHeight="1">
      <c r="A128" s="3583" t="s">
        <v>2079</v>
      </c>
      <c r="B128" s="3583"/>
      <c r="C128" s="3583"/>
      <c r="D128" s="3583"/>
      <c r="E128" s="3583"/>
      <c r="F128" s="3583"/>
      <c r="G128" s="3583"/>
      <c r="H128" s="3583"/>
      <c r="I128" s="3583"/>
      <c r="AA128" s="732"/>
    </row>
    <row r="129" spans="1:35" ht="21.75" customHeight="1">
      <c r="A129" s="1983" t="s">
        <v>2080</v>
      </c>
      <c r="B129" s="1984"/>
      <c r="C129" s="1985" t="s">
        <v>2081</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2082</v>
      </c>
      <c r="G135" s="2000"/>
      <c r="H135" s="2000"/>
      <c r="I135" s="2001" t="s">
        <v>2083</v>
      </c>
    </row>
    <row r="136" spans="1:35" ht="21.75" customHeight="1">
      <c r="A136" s="732"/>
      <c r="B136" s="2002"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2085</v>
      </c>
    </row>
    <row r="139" spans="1:35" ht="21.75" customHeight="1">
      <c r="A139" s="732"/>
      <c r="B139" s="2002" t="s">
        <v>2086</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2085</v>
      </c>
    </row>
    <row r="142" spans="1:35" ht="21.75" customHeight="1">
      <c r="A142" s="732"/>
      <c r="B142" s="2002"/>
      <c r="C142" s="2003"/>
      <c r="D142" s="2004"/>
      <c r="E142" s="2004"/>
      <c r="F142" s="1893"/>
      <c r="G142" s="732"/>
      <c r="H142" s="732"/>
      <c r="I142" s="732"/>
    </row>
    <row r="143" spans="1:35" s="135"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8" tint="0.39997558519241921"/>
    <pageSetUpPr fitToPage="1"/>
  </sheetPr>
  <dimension ref="A1:AC131"/>
  <sheetViews>
    <sheetView view="pageBreakPreview" topLeftCell="A18" zoomScale="80" zoomScaleNormal="70" zoomScaleSheetLayoutView="80" workbookViewId="0">
      <selection activeCell="D83" sqref="D83"/>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2404</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2088</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2090</v>
      </c>
      <c r="B3" s="565">
        <f>IF(C2="——",C49,ROUND(B2*10000/D3,0))</f>
        <v>3</v>
      </c>
      <c r="C3" s="359" t="s">
        <v>2405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0" t="s">
        <v>2409</v>
      </c>
      <c r="AC4" s="3632" t="s">
        <v>2410</v>
      </c>
    </row>
    <row r="5" spans="1:29" ht="15" customHeight="1">
      <c r="A5" s="363"/>
      <c r="B5" s="364"/>
      <c r="C5" s="3658" t="s">
        <v>3499</v>
      </c>
      <c r="D5" s="3659"/>
      <c r="E5" s="3653" t="s">
        <v>3510</v>
      </c>
      <c r="F5" s="3654"/>
      <c r="G5" s="3653" t="s">
        <v>3540</v>
      </c>
      <c r="H5" s="3654"/>
      <c r="I5" s="3813" t="s">
        <v>3539</v>
      </c>
      <c r="J5" s="3814"/>
      <c r="K5" s="566"/>
      <c r="L5" s="2910"/>
      <c r="M5" s="2911"/>
      <c r="N5" s="2911"/>
      <c r="O5" s="2911"/>
      <c r="P5" s="3641"/>
      <c r="Q5" s="3642"/>
      <c r="R5" s="3647"/>
      <c r="S5" s="3648"/>
      <c r="T5" s="3647"/>
      <c r="U5" s="3648"/>
      <c r="V5" s="3630"/>
      <c r="W5" s="3630"/>
      <c r="X5" s="1506"/>
      <c r="Y5" s="3647"/>
      <c r="Z5" s="3648"/>
      <c r="AA5" s="3633"/>
      <c r="AB5" s="3630"/>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0"/>
      <c r="AC6" s="3634"/>
    </row>
    <row r="7" spans="1:29" s="113" customFormat="1" ht="15.75" thickBot="1">
      <c r="A7" s="367" t="s">
        <v>2309</v>
      </c>
      <c r="B7" s="368"/>
      <c r="C7" s="369">
        <f>'数据-取费表'!B2</f>
        <v>44762</v>
      </c>
      <c r="D7" s="370">
        <v>100</v>
      </c>
      <c r="E7" s="371">
        <f>C7</f>
        <v>44762</v>
      </c>
      <c r="F7" s="372">
        <f>SUMIF(58:58,YEAR(E7)&amp;"-"&amp;MONTH(E7),59:59)</f>
        <v>100</v>
      </c>
      <c r="G7" s="371">
        <f>C7</f>
        <v>44762</v>
      </c>
      <c r="H7" s="370">
        <f>SUMIF(58:58,YEAR(G7)&amp;"-"&amp;MONTH(G7),59:59)</f>
        <v>100</v>
      </c>
      <c r="I7" s="371">
        <f>C7</f>
        <v>44762</v>
      </c>
      <c r="J7" s="370">
        <f>SUMIF(58:58,YEAR(I7)&amp;"-"&amp;MONTH(I7),59:59)</f>
        <v>100</v>
      </c>
      <c r="K7" s="567"/>
      <c r="L7" s="2912"/>
      <c r="M7" s="2913"/>
      <c r="N7" s="2913"/>
      <c r="O7" s="2913"/>
      <c r="P7" s="3655" t="s">
        <v>2310</v>
      </c>
      <c r="Q7" s="3657"/>
      <c r="R7" s="708" t="s">
        <v>17</v>
      </c>
      <c r="S7" s="709">
        <f t="shared" ref="S7:S15" si="0">F7</f>
        <v>100</v>
      </c>
      <c r="T7" s="708" t="s">
        <v>17</v>
      </c>
      <c r="U7" s="709">
        <f t="shared" ref="U7:U15" si="1">H7</f>
        <v>100</v>
      </c>
      <c r="V7" s="708" t="s">
        <v>17</v>
      </c>
      <c r="W7" s="709">
        <f t="shared" ref="W7:W15" si="2">J7</f>
        <v>100</v>
      </c>
      <c r="X7" s="710"/>
      <c r="Y7" s="3655" t="s">
        <v>2310</v>
      </c>
      <c r="Z7" s="3656"/>
      <c r="AA7" s="711">
        <f>D7/F7</f>
        <v>1</v>
      </c>
      <c r="AB7" s="711">
        <f>D7/H7</f>
        <v>1</v>
      </c>
      <c r="AC7" s="711">
        <f>D7/J7</f>
        <v>1</v>
      </c>
    </row>
    <row r="8" spans="1:29" s="113" customFormat="1" ht="15.75" thickBot="1">
      <c r="A8" s="367" t="s">
        <v>2311</v>
      </c>
      <c r="B8" s="368"/>
      <c r="C8" s="373" t="s">
        <v>2413</v>
      </c>
      <c r="D8" s="370">
        <v>100</v>
      </c>
      <c r="E8" s="373" t="s">
        <v>3338</v>
      </c>
      <c r="F8" s="372">
        <f>SUMIF(61:61,E8,62:62)-SUMIF(61:61,C8,62:62)+100</f>
        <v>115</v>
      </c>
      <c r="G8" s="373" t="s">
        <v>3338</v>
      </c>
      <c r="H8" s="370">
        <f>SUMIF(61:61,G8,62:62)-SUMIF(61:61,C8,62:62)+100</f>
        <v>115</v>
      </c>
      <c r="I8" s="373" t="s">
        <v>3338</v>
      </c>
      <c r="J8" s="370">
        <f>SUMIF(61:61,I8,62:62)-SUMIF(61:61,C8,62:62)+100</f>
        <v>115</v>
      </c>
      <c r="K8" s="567"/>
      <c r="L8" s="2912"/>
      <c r="M8" s="2913"/>
      <c r="N8" s="2913"/>
      <c r="O8" s="2913"/>
      <c r="P8" s="3655" t="s">
        <v>2313</v>
      </c>
      <c r="Q8" s="3656"/>
      <c r="R8" s="708" t="s">
        <v>17</v>
      </c>
      <c r="S8" s="709">
        <f t="shared" si="0"/>
        <v>115</v>
      </c>
      <c r="T8" s="708" t="s">
        <v>17</v>
      </c>
      <c r="U8" s="709">
        <f t="shared" si="1"/>
        <v>115</v>
      </c>
      <c r="V8" s="708" t="s">
        <v>17</v>
      </c>
      <c r="W8" s="709">
        <f t="shared" si="2"/>
        <v>115</v>
      </c>
      <c r="X8" s="710"/>
      <c r="Y8" s="3655" t="s">
        <v>2313</v>
      </c>
      <c r="Z8" s="3656"/>
      <c r="AA8" s="711">
        <f t="shared" ref="AA8:AA46" si="3">D8/F8</f>
        <v>0.86956521739130432</v>
      </c>
      <c r="AB8" s="711">
        <f t="shared" ref="AB8:AB46" si="4">D8/H8</f>
        <v>0.86956521739130432</v>
      </c>
      <c r="AC8" s="711">
        <f t="shared" ref="AC8:AC46" si="5">D8/J8</f>
        <v>0.86956521739130432</v>
      </c>
    </row>
    <row r="9" spans="1:29" s="113" customFormat="1">
      <c r="A9" s="374" t="s">
        <v>2314</v>
      </c>
      <c r="B9" s="67" t="s">
        <v>2315</v>
      </c>
      <c r="C9" s="3215" t="s">
        <v>3371</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1</v>
      </c>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31"/>
      <c r="Q11" s="1494" t="str">
        <f t="shared" si="6"/>
        <v>容积率</v>
      </c>
      <c r="R11" s="708" t="s">
        <v>17</v>
      </c>
      <c r="S11" s="709">
        <f t="shared" si="0"/>
        <v>100</v>
      </c>
      <c r="T11" s="708" t="s">
        <v>17</v>
      </c>
      <c r="U11" s="709">
        <f t="shared" si="1"/>
        <v>100</v>
      </c>
      <c r="V11" s="708" t="s">
        <v>17</v>
      </c>
      <c r="W11" s="709">
        <f t="shared" si="2"/>
        <v>100</v>
      </c>
      <c r="X11" s="710"/>
      <c r="Y11" s="3520"/>
      <c r="Z11" s="55"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31"/>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31"/>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31"/>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21" t="s">
        <v>2321</v>
      </c>
      <c r="Q15" s="1503" t="str">
        <f t="shared" si="6"/>
        <v>商业繁华度</v>
      </c>
      <c r="R15" s="712" t="s">
        <v>17</v>
      </c>
      <c r="S15" s="713">
        <f t="shared" si="0"/>
        <v>100</v>
      </c>
      <c r="T15" s="712" t="s">
        <v>17</v>
      </c>
      <c r="U15" s="713">
        <f t="shared" si="1"/>
        <v>100</v>
      </c>
      <c r="V15" s="712" t="s">
        <v>17</v>
      </c>
      <c r="W15" s="713">
        <f t="shared" si="2"/>
        <v>100</v>
      </c>
      <c r="X15" s="1506"/>
      <c r="Y15" s="3623" t="s">
        <v>2321</v>
      </c>
      <c r="Z15" s="1507" t="str">
        <f t="shared" si="7"/>
        <v>商业繁华度</v>
      </c>
      <c r="AA15" s="1504">
        <f t="shared" si="3"/>
        <v>1</v>
      </c>
      <c r="AB15" s="1504">
        <f t="shared" si="4"/>
        <v>1</v>
      </c>
      <c r="AC15" s="1504">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22"/>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22"/>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414"/>
      <c r="C18" s="405" t="s">
        <v>3154</v>
      </c>
      <c r="D18" s="408"/>
      <c r="E18" s="405" t="s">
        <v>3154</v>
      </c>
      <c r="F18" s="411"/>
      <c r="G18" s="405" t="s">
        <v>3154</v>
      </c>
      <c r="H18" s="406"/>
      <c r="I18" s="405" t="s">
        <v>3154</v>
      </c>
      <c r="J18" s="406"/>
      <c r="K18" s="571"/>
      <c r="L18" s="2917"/>
      <c r="M18" s="2911"/>
      <c r="N18" s="2911"/>
      <c r="O18" s="2911"/>
      <c r="P18" s="3622"/>
      <c r="Q18" s="1503"/>
      <c r="R18" s="712"/>
      <c r="S18" s="713"/>
      <c r="T18" s="712"/>
      <c r="U18" s="713"/>
      <c r="V18" s="712"/>
      <c r="W18" s="713"/>
      <c r="X18" s="1506"/>
      <c r="Y18" s="3624"/>
      <c r="Z18" s="1507"/>
      <c r="AA18" s="1504">
        <v>1</v>
      </c>
      <c r="AB18" s="1504">
        <v>1</v>
      </c>
      <c r="AC18" s="1504">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22"/>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1504">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22"/>
      <c r="Q20" s="1503"/>
      <c r="R20" s="712"/>
      <c r="S20" s="713"/>
      <c r="T20" s="712"/>
      <c r="U20" s="713"/>
      <c r="V20" s="712"/>
      <c r="W20" s="713"/>
      <c r="X20" s="1506"/>
      <c r="Y20" s="3624"/>
      <c r="Z20" s="1507"/>
      <c r="AA20" s="1504">
        <v>1</v>
      </c>
      <c r="AB20" s="1504">
        <v>1</v>
      </c>
      <c r="AC20" s="1504">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22"/>
      <c r="Q22" s="1503"/>
      <c r="R22" s="712"/>
      <c r="S22" s="713"/>
      <c r="T22" s="712"/>
      <c r="U22" s="713"/>
      <c r="V22" s="712"/>
      <c r="W22" s="713"/>
      <c r="X22" s="1506"/>
      <c r="Y22" s="3624"/>
      <c r="Z22" s="1507"/>
      <c r="AA22" s="1504">
        <v>1</v>
      </c>
      <c r="AB22" s="1504">
        <v>1</v>
      </c>
      <c r="AC22" s="1504">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22"/>
      <c r="Q23" s="1503" t="str">
        <f>B23</f>
        <v>自然及人文环境</v>
      </c>
      <c r="R23" s="712" t="s">
        <v>17</v>
      </c>
      <c r="S23" s="713">
        <f>F23</f>
        <v>100</v>
      </c>
      <c r="T23" s="712" t="s">
        <v>17</v>
      </c>
      <c r="U23" s="713">
        <f>H23</f>
        <v>100</v>
      </c>
      <c r="V23" s="712" t="s">
        <v>17</v>
      </c>
      <c r="W23" s="713">
        <f>J23</f>
        <v>100</v>
      </c>
      <c r="X23" s="1506"/>
      <c r="Y23" s="3624"/>
      <c r="Z23" s="1507" t="str">
        <f>Q23</f>
        <v>自然及人文环境</v>
      </c>
      <c r="AA23" s="1504">
        <f t="shared" si="3"/>
        <v>1</v>
      </c>
      <c r="AB23" s="1504">
        <f t="shared" si="4"/>
        <v>1</v>
      </c>
      <c r="AC23" s="1504">
        <f t="shared" si="5"/>
        <v>1</v>
      </c>
    </row>
    <row r="24" spans="1:29" ht="15">
      <c r="A24" s="386"/>
      <c r="B24" s="414"/>
      <c r="C24" s="405" t="s">
        <v>3190</v>
      </c>
      <c r="D24" s="406"/>
      <c r="E24" s="405" t="s">
        <v>3190</v>
      </c>
      <c r="F24" s="407"/>
      <c r="G24" s="405" t="s">
        <v>3190</v>
      </c>
      <c r="H24" s="406"/>
      <c r="I24" s="405" t="s">
        <v>3190</v>
      </c>
      <c r="J24" s="406"/>
      <c r="K24" s="571"/>
      <c r="L24" s="2917"/>
      <c r="M24" s="2911"/>
      <c r="N24" s="2911"/>
      <c r="O24" s="2911"/>
      <c r="P24" s="3622"/>
      <c r="Q24" s="1503"/>
      <c r="R24" s="712"/>
      <c r="S24" s="713"/>
      <c r="T24" s="712"/>
      <c r="U24" s="713"/>
      <c r="V24" s="712"/>
      <c r="W24" s="713"/>
      <c r="X24" s="1506"/>
      <c r="Y24" s="3624"/>
      <c r="Z24" s="1507"/>
      <c r="AA24" s="1504">
        <v>1</v>
      </c>
      <c r="AB24" s="1504">
        <v>1</v>
      </c>
      <c r="AC24" s="1504">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22"/>
      <c r="Q25" s="1503" t="str">
        <f t="shared" ref="Q25:Q46" si="11">B25</f>
        <v>临街状况</v>
      </c>
      <c r="R25" s="712" t="s">
        <v>17</v>
      </c>
      <c r="S25" s="713">
        <f>F25</f>
        <v>100</v>
      </c>
      <c r="T25" s="712" t="s">
        <v>17</v>
      </c>
      <c r="U25" s="713">
        <f>H25</f>
        <v>100</v>
      </c>
      <c r="V25" s="712" t="s">
        <v>17</v>
      </c>
      <c r="W25" s="713">
        <f>J25</f>
        <v>100</v>
      </c>
      <c r="X25" s="1506"/>
      <c r="Y25" s="3624"/>
      <c r="Z25" s="1507" t="str">
        <f>Q25</f>
        <v>临街状况</v>
      </c>
      <c r="AA25" s="1504">
        <f t="shared" si="3"/>
        <v>1</v>
      </c>
      <c r="AB25" s="1504">
        <f t="shared" si="4"/>
        <v>1</v>
      </c>
      <c r="AC25" s="1504">
        <f t="shared" si="5"/>
        <v>1</v>
      </c>
    </row>
    <row r="26" spans="1:29" ht="15">
      <c r="A26" s="386"/>
      <c r="B26" s="1264" t="s">
        <v>2418</v>
      </c>
      <c r="C26" s="3299" t="s">
        <v>3545</v>
      </c>
      <c r="D26" s="393">
        <v>100</v>
      </c>
      <c r="E26" s="3299" t="s">
        <v>3546</v>
      </c>
      <c r="F26" s="419">
        <f>SUMIF(88:88,E26,89:89)-SUMIF(88:88,C26,89:89)+100</f>
        <v>98</v>
      </c>
      <c r="G26" s="3299" t="s">
        <v>3546</v>
      </c>
      <c r="H26" s="393">
        <f>SUMIF(88:88,G26,89:89)-SUMIF(88:88,C26,89:89)+100</f>
        <v>98</v>
      </c>
      <c r="I26" s="3299" t="s">
        <v>3545</v>
      </c>
      <c r="J26" s="393">
        <f>SUMIF(88:88,I26,89:89)-SUMIF(88:88,C26,89:89)+100</f>
        <v>100</v>
      </c>
      <c r="K26" s="569"/>
      <c r="L26" s="2917"/>
      <c r="M26" s="2911"/>
      <c r="N26" s="2911"/>
      <c r="O26" s="2911"/>
      <c r="P26" s="3622"/>
      <c r="Q26" s="1503" t="str">
        <f t="shared" si="11"/>
        <v>平面位置/可视性</v>
      </c>
      <c r="R26" s="712" t="s">
        <v>17</v>
      </c>
      <c r="S26" s="713">
        <f>F26</f>
        <v>98</v>
      </c>
      <c r="T26" s="712" t="s">
        <v>17</v>
      </c>
      <c r="U26" s="713">
        <f>H26</f>
        <v>98</v>
      </c>
      <c r="V26" s="712" t="s">
        <v>17</v>
      </c>
      <c r="W26" s="713">
        <f>J26</f>
        <v>100</v>
      </c>
      <c r="X26" s="1506"/>
      <c r="Y26" s="3624"/>
      <c r="Z26" s="1507" t="str">
        <f>Q26</f>
        <v>平面位置/可视性</v>
      </c>
      <c r="AA26" s="1504">
        <f t="shared" si="3"/>
        <v>1.0204081632653061</v>
      </c>
      <c r="AB26" s="1504">
        <f t="shared" si="4"/>
        <v>1.0204081632653061</v>
      </c>
      <c r="AC26" s="1504">
        <f t="shared" si="5"/>
        <v>1</v>
      </c>
    </row>
    <row r="27" spans="1:29" s="113" customFormat="1" ht="15">
      <c r="A27" s="389"/>
      <c r="B27" s="409" t="s">
        <v>2419</v>
      </c>
      <c r="C27" s="2108" t="s">
        <v>3154</v>
      </c>
      <c r="D27" s="420">
        <v>100</v>
      </c>
      <c r="E27" s="2108" t="s">
        <v>3154</v>
      </c>
      <c r="F27" s="422">
        <f>SUMIF(90:90,E27,91:91)-SUMIF(90:90,C27,91:91)+100</f>
        <v>100</v>
      </c>
      <c r="G27" s="2108" t="s">
        <v>3154</v>
      </c>
      <c r="H27" s="420">
        <f>SUMIF(90:90,G27,91:91)-SUMIF(90:90,C27,91:91)+100</f>
        <v>100</v>
      </c>
      <c r="I27" s="2108" t="s">
        <v>3154</v>
      </c>
      <c r="J27" s="420">
        <f>SUMIF(90:90,I27,91:91)-SUMIF(90:90,C27,91:91)+100</f>
        <v>100</v>
      </c>
      <c r="K27" s="568">
        <v>2</v>
      </c>
      <c r="L27" s="2912"/>
      <c r="M27" s="2913"/>
      <c r="N27" s="2913"/>
      <c r="O27" s="2913"/>
      <c r="P27" s="3622"/>
      <c r="Q27" s="1494" t="str">
        <f t="shared" si="11"/>
        <v>人流量</v>
      </c>
      <c r="R27" s="708" t="s">
        <v>17</v>
      </c>
      <c r="S27" s="709">
        <f>F27</f>
        <v>100</v>
      </c>
      <c r="T27" s="708" t="s">
        <v>17</v>
      </c>
      <c r="U27" s="709">
        <f>H27</f>
        <v>100</v>
      </c>
      <c r="V27" s="708" t="s">
        <v>17</v>
      </c>
      <c r="W27" s="709">
        <f>J27</f>
        <v>100</v>
      </c>
      <c r="X27" s="710"/>
      <c r="Y27" s="3624"/>
      <c r="Z27" s="55" t="str">
        <f>Q27</f>
        <v>人流量</v>
      </c>
      <c r="AA27" s="1504">
        <f>D27/F27</f>
        <v>1</v>
      </c>
      <c r="AB27" s="1504">
        <f>D27/H27</f>
        <v>1</v>
      </c>
      <c r="AC27" s="1504">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22"/>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624"/>
      <c r="Z28" s="1507" t="str">
        <f t="shared" ref="Z28:Z46" si="15">Q28</f>
        <v>楼层</v>
      </c>
      <c r="AA28" s="1504">
        <f t="shared" si="3"/>
        <v>1</v>
      </c>
      <c r="AB28" s="1504">
        <f t="shared" si="4"/>
        <v>1</v>
      </c>
      <c r="AC28" s="1504">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22"/>
      <c r="Q29" s="1503">
        <f t="shared" si="11"/>
        <v>111</v>
      </c>
      <c r="R29" s="712" t="s">
        <v>17</v>
      </c>
      <c r="S29" s="713">
        <f t="shared" si="12"/>
        <v>100</v>
      </c>
      <c r="T29" s="712" t="s">
        <v>17</v>
      </c>
      <c r="U29" s="713">
        <f t="shared" si="13"/>
        <v>100</v>
      </c>
      <c r="V29" s="712" t="s">
        <v>17</v>
      </c>
      <c r="W29" s="713">
        <f t="shared" si="14"/>
        <v>100</v>
      </c>
      <c r="X29" s="1506"/>
      <c r="Y29" s="3624"/>
      <c r="Z29" s="1507">
        <f t="shared" si="15"/>
        <v>111</v>
      </c>
      <c r="AA29" s="1504">
        <f t="shared" si="3"/>
        <v>1</v>
      </c>
      <c r="AB29" s="1504">
        <f t="shared" si="4"/>
        <v>1</v>
      </c>
      <c r="AC29" s="1504">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22"/>
      <c r="Q30" s="1503">
        <f t="shared" si="11"/>
        <v>111</v>
      </c>
      <c r="R30" s="712" t="s">
        <v>17</v>
      </c>
      <c r="S30" s="713">
        <f t="shared" si="12"/>
        <v>100</v>
      </c>
      <c r="T30" s="712" t="s">
        <v>17</v>
      </c>
      <c r="U30" s="713">
        <f t="shared" si="13"/>
        <v>100</v>
      </c>
      <c r="V30" s="712" t="s">
        <v>17</v>
      </c>
      <c r="W30" s="713">
        <f t="shared" si="14"/>
        <v>100</v>
      </c>
      <c r="X30" s="1506"/>
      <c r="Y30" s="3624"/>
      <c r="Z30" s="1507">
        <f t="shared" si="15"/>
        <v>111</v>
      </c>
      <c r="AA30" s="1504">
        <f t="shared" si="3"/>
        <v>1</v>
      </c>
      <c r="AB30" s="1504">
        <f t="shared" si="4"/>
        <v>1</v>
      </c>
      <c r="AC30" s="1504">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22"/>
      <c r="Q31" s="1503">
        <f t="shared" si="11"/>
        <v>111</v>
      </c>
      <c r="R31" s="712" t="s">
        <v>17</v>
      </c>
      <c r="S31" s="713">
        <f t="shared" si="12"/>
        <v>100</v>
      </c>
      <c r="T31" s="712" t="s">
        <v>17</v>
      </c>
      <c r="U31" s="713">
        <f t="shared" si="13"/>
        <v>100</v>
      </c>
      <c r="V31" s="712" t="s">
        <v>17</v>
      </c>
      <c r="W31" s="713">
        <f t="shared" si="14"/>
        <v>100</v>
      </c>
      <c r="X31" s="1506"/>
      <c r="Y31" s="3624"/>
      <c r="Z31" s="1507">
        <f t="shared" si="15"/>
        <v>111</v>
      </c>
      <c r="AA31" s="1504">
        <f t="shared" si="3"/>
        <v>1</v>
      </c>
      <c r="AB31" s="1504">
        <f t="shared" si="4"/>
        <v>1</v>
      </c>
      <c r="AC31" s="1504">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25" t="s">
        <v>2326</v>
      </c>
      <c r="Q32" s="1503" t="str">
        <f t="shared" si="11"/>
        <v>商业类型</v>
      </c>
      <c r="R32" s="712" t="s">
        <v>17</v>
      </c>
      <c r="S32" s="713">
        <f t="shared" si="12"/>
        <v>98</v>
      </c>
      <c r="T32" s="712" t="s">
        <v>17</v>
      </c>
      <c r="U32" s="713">
        <f t="shared" si="13"/>
        <v>98</v>
      </c>
      <c r="V32" s="712" t="s">
        <v>17</v>
      </c>
      <c r="W32" s="713">
        <f t="shared" si="14"/>
        <v>100</v>
      </c>
      <c r="X32" s="1506"/>
      <c r="Y32" s="3628" t="s">
        <v>2326</v>
      </c>
      <c r="Z32" s="1507" t="str">
        <f t="shared" si="15"/>
        <v>商业类型</v>
      </c>
      <c r="AA32" s="1504">
        <f t="shared" si="3"/>
        <v>1.0204081632653061</v>
      </c>
      <c r="AB32" s="1504">
        <f t="shared" si="4"/>
        <v>1.0204081632653061</v>
      </c>
      <c r="AC32" s="1504">
        <f t="shared" si="5"/>
        <v>1</v>
      </c>
    </row>
    <row r="33" spans="1:29" s="429" customFormat="1" ht="15">
      <c r="A33" s="426"/>
      <c r="B33" s="380" t="s">
        <v>2327</v>
      </c>
      <c r="C33" s="427">
        <f>'数据-汇总表'!E3</f>
        <v>683.55</v>
      </c>
      <c r="D33" s="132">
        <v>100</v>
      </c>
      <c r="E33" s="388">
        <v>78.739999999999995</v>
      </c>
      <c r="F33" s="383">
        <f>LOOKUP(E33,103:103,104:104)-LOOKUP(C33,103:103,104:104)+100</f>
        <v>106</v>
      </c>
      <c r="G33" s="387">
        <v>60</v>
      </c>
      <c r="H33" s="132">
        <f>LOOKUP(G33,103:103,104:104)-LOOKUP(C33,103:103,104:104)+100</f>
        <v>106</v>
      </c>
      <c r="I33" s="387">
        <v>76</v>
      </c>
      <c r="J33" s="132">
        <f>LOOKUP(I33,103:103,104:104)-LOOKUP(C33,103:103,104:104)+100</f>
        <v>106</v>
      </c>
      <c r="K33" s="569"/>
      <c r="L33" s="2916"/>
      <c r="M33" s="2918"/>
      <c r="N33" s="2918"/>
      <c r="O33" s="2918"/>
      <c r="P33" s="3626"/>
      <c r="Q33" s="714" t="str">
        <f t="shared" si="11"/>
        <v>项目建筑规模</v>
      </c>
      <c r="R33" s="715" t="s">
        <v>17</v>
      </c>
      <c r="S33" s="716">
        <f t="shared" si="12"/>
        <v>106</v>
      </c>
      <c r="T33" s="715" t="s">
        <v>17</v>
      </c>
      <c r="U33" s="716">
        <f t="shared" si="13"/>
        <v>106</v>
      </c>
      <c r="V33" s="715" t="s">
        <v>17</v>
      </c>
      <c r="W33" s="716">
        <f t="shared" si="14"/>
        <v>106</v>
      </c>
      <c r="X33" s="717"/>
      <c r="Y33" s="3628"/>
      <c r="Z33" s="718" t="str">
        <f t="shared" si="15"/>
        <v>项目建筑规模</v>
      </c>
      <c r="AA33" s="1504">
        <f t="shared" si="3"/>
        <v>0.94339622641509435</v>
      </c>
      <c r="AB33" s="1504">
        <f t="shared" si="4"/>
        <v>0.94339622641509435</v>
      </c>
      <c r="AC33" s="1504">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26"/>
      <c r="Q34" s="1503" t="str">
        <f t="shared" si="11"/>
        <v>建筑结构</v>
      </c>
      <c r="R34" s="712" t="s">
        <v>17</v>
      </c>
      <c r="S34" s="713">
        <f t="shared" si="12"/>
        <v>100</v>
      </c>
      <c r="T34" s="712" t="s">
        <v>17</v>
      </c>
      <c r="U34" s="713">
        <f t="shared" si="13"/>
        <v>100</v>
      </c>
      <c r="V34" s="712" t="s">
        <v>17</v>
      </c>
      <c r="W34" s="713">
        <f t="shared" si="14"/>
        <v>100</v>
      </c>
      <c r="X34" s="1506"/>
      <c r="Y34" s="3628"/>
      <c r="Z34" s="1507" t="str">
        <f t="shared" si="15"/>
        <v>建筑结构</v>
      </c>
      <c r="AA34" s="1504">
        <f t="shared" si="3"/>
        <v>1</v>
      </c>
      <c r="AB34" s="1504">
        <f t="shared" si="4"/>
        <v>1</v>
      </c>
      <c r="AC34" s="1504">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26"/>
      <c r="Q35" s="1503" t="str">
        <f t="shared" si="11"/>
        <v>公共部分装修</v>
      </c>
      <c r="R35" s="712" t="s">
        <v>17</v>
      </c>
      <c r="S35" s="713">
        <f t="shared" si="12"/>
        <v>100</v>
      </c>
      <c r="T35" s="712" t="s">
        <v>17</v>
      </c>
      <c r="U35" s="713">
        <f t="shared" si="13"/>
        <v>100</v>
      </c>
      <c r="V35" s="712" t="s">
        <v>17</v>
      </c>
      <c r="W35" s="713">
        <f t="shared" si="14"/>
        <v>100</v>
      </c>
      <c r="X35" s="1506"/>
      <c r="Y35" s="3628"/>
      <c r="Z35" s="1507" t="str">
        <f t="shared" si="15"/>
        <v>公共部分装修</v>
      </c>
      <c r="AA35" s="1504">
        <f t="shared" si="3"/>
        <v>1</v>
      </c>
      <c r="AB35" s="1504">
        <f t="shared" si="4"/>
        <v>1</v>
      </c>
      <c r="AC35" s="1504">
        <f t="shared" si="5"/>
        <v>1</v>
      </c>
    </row>
    <row r="36" spans="1:29" ht="15">
      <c r="A36" s="430"/>
      <c r="B36" s="380" t="s">
        <v>2423</v>
      </c>
      <c r="C36" s="432">
        <v>0.8</v>
      </c>
      <c r="D36" s="393">
        <v>100</v>
      </c>
      <c r="E36" s="432">
        <f>C36</f>
        <v>0.8</v>
      </c>
      <c r="F36" s="419">
        <f>LOOKUP(E36,110:110,111:111)-LOOKUP(C36,110:110,111:111)+100</f>
        <v>100</v>
      </c>
      <c r="G36" s="432">
        <f>C36</f>
        <v>0.8</v>
      </c>
      <c r="H36" s="419">
        <f>LOOKUP(G36,110:110,111:111)-LOOKUP(C36,110:110,111:111)+100</f>
        <v>100</v>
      </c>
      <c r="I36" s="432">
        <f>C36</f>
        <v>0.8</v>
      </c>
      <c r="J36" s="393">
        <f>LOOKUP(I36,110:110,111:111)-LOOKUP(C36,110:110,111:111)+100</f>
        <v>100</v>
      </c>
      <c r="K36" s="568"/>
      <c r="L36" s="2917"/>
      <c r="M36" s="2911"/>
      <c r="N36" s="2911"/>
      <c r="O36" s="2911"/>
      <c r="P36" s="3626"/>
      <c r="Q36" s="1503" t="str">
        <f t="shared" si="11"/>
        <v>成新度</v>
      </c>
      <c r="R36" s="712" t="s">
        <v>17</v>
      </c>
      <c r="S36" s="713">
        <f t="shared" si="12"/>
        <v>100</v>
      </c>
      <c r="T36" s="712" t="s">
        <v>17</v>
      </c>
      <c r="U36" s="713">
        <f t="shared" si="13"/>
        <v>100</v>
      </c>
      <c r="V36" s="712" t="s">
        <v>17</v>
      </c>
      <c r="W36" s="713">
        <f t="shared" si="14"/>
        <v>100</v>
      </c>
      <c r="X36" s="1506"/>
      <c r="Y36" s="3628"/>
      <c r="Z36" s="1507" t="str">
        <f t="shared" si="15"/>
        <v>成新度</v>
      </c>
      <c r="AA36" s="1504">
        <f t="shared" si="3"/>
        <v>1</v>
      </c>
      <c r="AB36" s="1504">
        <f t="shared" si="4"/>
        <v>1</v>
      </c>
      <c r="AC36" s="1504">
        <f t="shared" si="5"/>
        <v>1</v>
      </c>
    </row>
    <row r="37" spans="1:29" s="113" customFormat="1" ht="15">
      <c r="A37" s="431"/>
      <c r="B37" s="380" t="s">
        <v>2424</v>
      </c>
      <c r="C37" s="2058" t="s">
        <v>3543</v>
      </c>
      <c r="D37" s="132">
        <v>100</v>
      </c>
      <c r="E37" s="2058" t="s">
        <v>3543</v>
      </c>
      <c r="F37" s="419">
        <f>SUMIF(112:112,E37,113:113)-SUMIF(112:112,C37,113:113)+100</f>
        <v>100</v>
      </c>
      <c r="G37" s="2058" t="s">
        <v>3543</v>
      </c>
      <c r="H37" s="393">
        <f>SUMIF(112:112,G37,113:113)-SUMIF(112:112,C37,113:113)+100</f>
        <v>100</v>
      </c>
      <c r="I37" s="2058" t="s">
        <v>3543</v>
      </c>
      <c r="J37" s="393">
        <f>SUMIF(112:112,I37,113:113)-SUMIF(112:112,C37,113:113)+100</f>
        <v>100</v>
      </c>
      <c r="K37" s="568"/>
      <c r="L37" s="2912"/>
      <c r="M37" s="2913"/>
      <c r="N37" s="2913"/>
      <c r="O37" s="2913"/>
      <c r="P37" s="3626"/>
      <c r="Q37" s="1494" t="str">
        <f t="shared" si="11"/>
        <v>市政基础设施</v>
      </c>
      <c r="R37" s="708" t="s">
        <v>17</v>
      </c>
      <c r="S37" s="709">
        <f t="shared" si="12"/>
        <v>100</v>
      </c>
      <c r="T37" s="708" t="s">
        <v>17</v>
      </c>
      <c r="U37" s="709">
        <f t="shared" si="13"/>
        <v>100</v>
      </c>
      <c r="V37" s="708" t="s">
        <v>17</v>
      </c>
      <c r="W37" s="709">
        <f t="shared" si="14"/>
        <v>100</v>
      </c>
      <c r="X37" s="710"/>
      <c r="Y37" s="3628"/>
      <c r="Z37" s="55"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26" t="s">
        <v>2326</v>
      </c>
      <c r="Q38" s="1503" t="str">
        <f t="shared" si="11"/>
        <v>业态</v>
      </c>
      <c r="R38" s="712" t="s">
        <v>17</v>
      </c>
      <c r="S38" s="713">
        <f t="shared" si="12"/>
        <v>100</v>
      </c>
      <c r="T38" s="712" t="s">
        <v>17</v>
      </c>
      <c r="U38" s="713">
        <f t="shared" si="13"/>
        <v>100</v>
      </c>
      <c r="V38" s="712" t="s">
        <v>17</v>
      </c>
      <c r="W38" s="713">
        <f t="shared" si="14"/>
        <v>100</v>
      </c>
      <c r="X38" s="1506"/>
      <c r="Y38" s="3628" t="s">
        <v>2326</v>
      </c>
      <c r="Z38" s="1507" t="str">
        <f t="shared" si="15"/>
        <v>业态</v>
      </c>
      <c r="AA38" s="1504">
        <f t="shared" si="3"/>
        <v>1</v>
      </c>
      <c r="AB38" s="1504">
        <f t="shared" si="4"/>
        <v>1</v>
      </c>
      <c r="AC38" s="1504">
        <f t="shared" si="5"/>
        <v>1</v>
      </c>
    </row>
    <row r="39" spans="1:29" ht="15.75" thickBot="1">
      <c r="A39" s="430"/>
      <c r="B39" s="380" t="s">
        <v>2426</v>
      </c>
      <c r="C39" s="2058" t="s">
        <v>3541</v>
      </c>
      <c r="D39" s="393">
        <v>100</v>
      </c>
      <c r="E39" s="2058" t="s">
        <v>3541</v>
      </c>
      <c r="F39" s="419">
        <f>SUMIF(116:116,E39,117:117)-SUMIF(116:116,C39,117:117)+100</f>
        <v>100</v>
      </c>
      <c r="G39" s="2058" t="s">
        <v>3541</v>
      </c>
      <c r="H39" s="393">
        <f>SUMIF(116:116,G39,117:117)-SUMIF(116:116,C39,117:117)+100</f>
        <v>100</v>
      </c>
      <c r="I39" s="2058" t="s">
        <v>3541</v>
      </c>
      <c r="J39" s="393">
        <f>SUMIF(116:116,I39,117:117)-SUMIF(116:116,C39,117:117)+100</f>
        <v>100</v>
      </c>
      <c r="K39" s="568"/>
      <c r="L39" s="2917"/>
      <c r="M39" s="2911"/>
      <c r="N39" s="2911"/>
      <c r="O39" s="2911"/>
      <c r="P39" s="3626"/>
      <c r="Q39" s="1503" t="str">
        <f t="shared" si="11"/>
        <v>层高</v>
      </c>
      <c r="R39" s="712" t="s">
        <v>17</v>
      </c>
      <c r="S39" s="713">
        <f t="shared" si="12"/>
        <v>100</v>
      </c>
      <c r="T39" s="712" t="s">
        <v>17</v>
      </c>
      <c r="U39" s="713">
        <f t="shared" si="13"/>
        <v>100</v>
      </c>
      <c r="V39" s="712" t="s">
        <v>17</v>
      </c>
      <c r="W39" s="713">
        <f t="shared" si="14"/>
        <v>100</v>
      </c>
      <c r="X39" s="1506"/>
      <c r="Y39" s="3628"/>
      <c r="Z39" s="1507" t="str">
        <f t="shared" si="15"/>
        <v>层高</v>
      </c>
      <c r="AA39" s="1504">
        <f t="shared" si="3"/>
        <v>1</v>
      </c>
      <c r="AB39" s="1504">
        <f t="shared" si="4"/>
        <v>1</v>
      </c>
      <c r="AC39" s="1504">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26"/>
      <c r="Q40" s="1503" t="str">
        <f t="shared" si="11"/>
        <v>单套建筑面积</v>
      </c>
      <c r="R40" s="712" t="s">
        <v>17</v>
      </c>
      <c r="S40" s="713">
        <f t="shared" si="12"/>
        <v>100</v>
      </c>
      <c r="T40" s="712" t="s">
        <v>17</v>
      </c>
      <c r="U40" s="713">
        <f t="shared" si="13"/>
        <v>100</v>
      </c>
      <c r="V40" s="712" t="s">
        <v>17</v>
      </c>
      <c r="W40" s="713">
        <f t="shared" si="14"/>
        <v>100</v>
      </c>
      <c r="X40" s="1506"/>
      <c r="Y40" s="3628"/>
      <c r="Z40" s="1507" t="str">
        <f t="shared" si="15"/>
        <v>单套建筑面积</v>
      </c>
      <c r="AA40" s="1504">
        <f t="shared" si="3"/>
        <v>1</v>
      </c>
      <c r="AB40" s="1504">
        <f t="shared" si="4"/>
        <v>1</v>
      </c>
      <c r="AC40" s="1504">
        <f t="shared" si="5"/>
        <v>1</v>
      </c>
    </row>
    <row r="41" spans="1:29" s="429" customFormat="1" ht="15" hidden="1">
      <c r="A41" s="426"/>
      <c r="B41" s="150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26"/>
      <c r="Q41" s="714" t="str">
        <f t="shared" si="11"/>
        <v>进深比</v>
      </c>
      <c r="R41" s="715" t="s">
        <v>17</v>
      </c>
      <c r="S41" s="716">
        <f t="shared" si="12"/>
        <v>100</v>
      </c>
      <c r="T41" s="715" t="s">
        <v>17</v>
      </c>
      <c r="U41" s="716">
        <f t="shared" si="13"/>
        <v>100</v>
      </c>
      <c r="V41" s="715" t="s">
        <v>17</v>
      </c>
      <c r="W41" s="716">
        <f t="shared" si="14"/>
        <v>100</v>
      </c>
      <c r="X41" s="717"/>
      <c r="Y41" s="3628"/>
      <c r="Z41" s="718" t="str">
        <f t="shared" si="15"/>
        <v>进深比</v>
      </c>
      <c r="AA41" s="1504">
        <f t="shared" si="3"/>
        <v>1</v>
      </c>
      <c r="AB41" s="1504">
        <f t="shared" si="4"/>
        <v>1</v>
      </c>
      <c r="AC41" s="1504">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26"/>
      <c r="Q42" s="1503" t="str">
        <f t="shared" si="11"/>
        <v>内部装修</v>
      </c>
      <c r="R42" s="712" t="s">
        <v>17</v>
      </c>
      <c r="S42" s="713">
        <f t="shared" si="12"/>
        <v>100</v>
      </c>
      <c r="T42" s="712" t="s">
        <v>17</v>
      </c>
      <c r="U42" s="713">
        <f t="shared" si="13"/>
        <v>100</v>
      </c>
      <c r="V42" s="712" t="s">
        <v>17</v>
      </c>
      <c r="W42" s="713">
        <f t="shared" si="14"/>
        <v>100</v>
      </c>
      <c r="X42" s="1506"/>
      <c r="Y42" s="3628"/>
      <c r="Z42" s="1507" t="str">
        <f t="shared" si="15"/>
        <v>内部装修</v>
      </c>
      <c r="AA42" s="1504">
        <f t="shared" si="3"/>
        <v>1</v>
      </c>
      <c r="AB42" s="1504">
        <f t="shared" si="4"/>
        <v>1</v>
      </c>
      <c r="AC42" s="1504">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26"/>
      <c r="Q43" s="1503" t="str">
        <f t="shared" si="11"/>
        <v>内部装修维护情况</v>
      </c>
      <c r="R43" s="712" t="s">
        <v>17</v>
      </c>
      <c r="S43" s="713">
        <f t="shared" si="12"/>
        <v>100</v>
      </c>
      <c r="T43" s="712" t="s">
        <v>17</v>
      </c>
      <c r="U43" s="713">
        <f t="shared" si="13"/>
        <v>100</v>
      </c>
      <c r="V43" s="712" t="s">
        <v>17</v>
      </c>
      <c r="W43" s="713">
        <f t="shared" si="14"/>
        <v>100</v>
      </c>
      <c r="X43" s="1506"/>
      <c r="Y43" s="3628"/>
      <c r="Z43" s="1507" t="str">
        <f t="shared" si="15"/>
        <v>内部装修维护情况</v>
      </c>
      <c r="AA43" s="1504">
        <f t="shared" si="3"/>
        <v>1</v>
      </c>
      <c r="AB43" s="1504">
        <f t="shared" si="4"/>
        <v>1</v>
      </c>
      <c r="AC43" s="1504">
        <f t="shared" si="5"/>
        <v>1</v>
      </c>
    </row>
    <row r="44" spans="1:29" s="113" customFormat="1" ht="15" hidden="1">
      <c r="A44" s="431"/>
      <c r="B44" s="3310" t="s">
        <v>3383</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26"/>
      <c r="Q44" s="1494" t="str">
        <f t="shared" si="11"/>
        <v>出租情况</v>
      </c>
      <c r="R44" s="708" t="s">
        <v>17</v>
      </c>
      <c r="S44" s="709">
        <f t="shared" si="12"/>
        <v>100</v>
      </c>
      <c r="T44" s="708" t="s">
        <v>17</v>
      </c>
      <c r="U44" s="709">
        <f t="shared" si="13"/>
        <v>100</v>
      </c>
      <c r="V44" s="708" t="s">
        <v>17</v>
      </c>
      <c r="W44" s="709">
        <f t="shared" si="14"/>
        <v>100</v>
      </c>
      <c r="X44" s="710"/>
      <c r="Y44" s="3628"/>
      <c r="Z44" s="55" t="str">
        <f t="shared" si="15"/>
        <v>出租情况</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26"/>
      <c r="Q45" s="1503">
        <f t="shared" si="11"/>
        <v>111</v>
      </c>
      <c r="R45" s="712" t="s">
        <v>17</v>
      </c>
      <c r="S45" s="713">
        <f t="shared" si="12"/>
        <v>100</v>
      </c>
      <c r="T45" s="712" t="s">
        <v>17</v>
      </c>
      <c r="U45" s="713">
        <f t="shared" si="13"/>
        <v>100</v>
      </c>
      <c r="V45" s="712" t="s">
        <v>17</v>
      </c>
      <c r="W45" s="713">
        <f t="shared" si="14"/>
        <v>100</v>
      </c>
      <c r="X45" s="1506"/>
      <c r="Y45" s="3628"/>
      <c r="Z45" s="1507">
        <f t="shared" si="15"/>
        <v>111</v>
      </c>
      <c r="AA45" s="1504">
        <f t="shared" si="3"/>
        <v>1</v>
      </c>
      <c r="AB45" s="1504">
        <f t="shared" si="4"/>
        <v>1</v>
      </c>
      <c r="AC45" s="1504">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27"/>
      <c r="Q46" s="1503">
        <f t="shared" si="11"/>
        <v>111</v>
      </c>
      <c r="R46" s="712" t="s">
        <v>17</v>
      </c>
      <c r="S46" s="713">
        <f t="shared" si="12"/>
        <v>100</v>
      </c>
      <c r="T46" s="712" t="s">
        <v>17</v>
      </c>
      <c r="U46" s="713">
        <f t="shared" si="13"/>
        <v>100</v>
      </c>
      <c r="V46" s="712" t="s">
        <v>17</v>
      </c>
      <c r="W46" s="713">
        <f t="shared" si="14"/>
        <v>100</v>
      </c>
      <c r="X46" s="1506"/>
      <c r="Y46" s="3629"/>
      <c r="Z46" s="1507">
        <f t="shared" si="15"/>
        <v>111</v>
      </c>
      <c r="AA46" s="1504">
        <f t="shared" si="3"/>
        <v>1</v>
      </c>
      <c r="AB46" s="1504">
        <f t="shared" si="4"/>
        <v>1</v>
      </c>
      <c r="AC46" s="1504">
        <f t="shared" si="5"/>
        <v>1</v>
      </c>
    </row>
    <row r="47" spans="1:29" ht="15">
      <c r="A47" s="437" t="s">
        <v>2338</v>
      </c>
      <c r="B47" s="438"/>
      <c r="C47" s="1285" t="s">
        <v>1</v>
      </c>
      <c r="D47" s="1286"/>
      <c r="E47" s="1287">
        <v>3.5</v>
      </c>
      <c r="F47" s="1288"/>
      <c r="G47" s="1289">
        <v>3.61</v>
      </c>
      <c r="H47" s="1290"/>
      <c r="I47" s="1287">
        <v>3.5</v>
      </c>
      <c r="J47" s="1290"/>
      <c r="K47" s="721"/>
      <c r="L47" s="2919"/>
      <c r="M47" s="2920"/>
      <c r="N47" s="2911"/>
      <c r="O47" s="2920"/>
      <c r="P47" s="3616" t="str">
        <f>A47</f>
        <v>成交单价（元/平方米）</v>
      </c>
      <c r="Q47" s="3616"/>
      <c r="R47" s="3630">
        <f>E47</f>
        <v>3.5</v>
      </c>
      <c r="S47" s="3630"/>
      <c r="T47" s="3630">
        <f>G47</f>
        <v>3.61</v>
      </c>
      <c r="U47" s="3630"/>
      <c r="V47" s="3630">
        <f>I47</f>
        <v>3.5</v>
      </c>
      <c r="W47" s="3630"/>
      <c r="X47" s="697"/>
      <c r="Y47" s="719"/>
      <c r="Z47" s="697"/>
      <c r="AA47" s="697"/>
      <c r="AB47" s="697"/>
      <c r="AC47" s="697"/>
    </row>
    <row r="48" spans="1:29" ht="15.75" thickBot="1">
      <c r="A48" s="444" t="s">
        <v>2430</v>
      </c>
      <c r="B48" s="445"/>
      <c r="C48" s="1291">
        <f>R49</f>
        <v>3</v>
      </c>
      <c r="D48" s="2504" t="s">
        <v>2816</v>
      </c>
      <c r="E48" s="1292">
        <f>R48</f>
        <v>3</v>
      </c>
      <c r="F48" s="2505"/>
      <c r="G48" s="1291">
        <f>T48</f>
        <v>3.1</v>
      </c>
      <c r="H48" s="2505"/>
      <c r="I48" s="1292">
        <f>V48</f>
        <v>2.9</v>
      </c>
      <c r="J48" s="2505"/>
      <c r="K48" s="2507">
        <f>F48+H48+J48</f>
        <v>0</v>
      </c>
      <c r="L48" s="2919"/>
      <c r="M48" s="2920"/>
      <c r="N48" s="2911"/>
      <c r="O48" s="2920"/>
      <c r="P48" s="3616" t="str">
        <f>A48</f>
        <v>比较价值（元/平方米）</v>
      </c>
      <c r="Q48" s="3616"/>
      <c r="R48" s="3617">
        <f>IF(F1="售价",ROUND(PRODUCT(R47,AA7:AA46),0),ROUND(PRODUCT(R47,AA7:AA46),1))</f>
        <v>3</v>
      </c>
      <c r="S48" s="3617"/>
      <c r="T48" s="3617">
        <f>IF(F1="售价",ROUND(PRODUCT(T47,AB7:AB46),0),ROUND(PRODUCT(T47,AB7:AB46),1))</f>
        <v>3.1</v>
      </c>
      <c r="U48" s="3617"/>
      <c r="V48" s="3617">
        <f>IF(F1="售价",ROUND(PRODUCT(V47,AC7:AC46),0),ROUND(PRODUCT(V47,AC7:AC46),1))</f>
        <v>2.9</v>
      </c>
      <c r="W48" s="3617"/>
      <c r="X48" s="697"/>
      <c r="Y48" s="697"/>
      <c r="Z48" s="697"/>
      <c r="AA48" s="697"/>
      <c r="AB48" s="697"/>
      <c r="AC48" s="697"/>
    </row>
    <row r="49" spans="1:29" ht="15.75" thickBot="1">
      <c r="A49" s="448" t="s">
        <v>2431</v>
      </c>
      <c r="B49" s="449"/>
      <c r="C49" s="1294">
        <f>R49</f>
        <v>3</v>
      </c>
      <c r="D49" s="1294"/>
      <c r="E49" s="1294"/>
      <c r="F49" s="1294"/>
      <c r="G49" s="1294"/>
      <c r="H49" s="1294"/>
      <c r="I49" s="1294"/>
      <c r="J49" s="1294"/>
      <c r="K49" s="722"/>
      <c r="L49" s="2919"/>
      <c r="M49" s="2920"/>
      <c r="N49" s="2911"/>
      <c r="O49" s="2920"/>
      <c r="P49" s="3618" t="str">
        <f>A49</f>
        <v>估价对象XX用房的比较价值（楼面单价，元/平方米）</v>
      </c>
      <c r="Q49" s="3619"/>
      <c r="R49" s="3620">
        <f>IF(F1="售价",ROUND(IF(D48="简单平均",AVERAGE(R48:V48),R48*F48+T48*H48+V48*J48),0),ROUND(IF(D48="简单平均",AVERAGE(R48:V48),R48*F48+T48*H48+V48*J48),1))</f>
        <v>3</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2432</v>
      </c>
      <c r="D52" s="454"/>
      <c r="E52" s="455">
        <f>IF(E47&lt;E48,E48/E47-1,E47/E48-1)</f>
        <v>0.16666666666666674</v>
      </c>
      <c r="F52" s="456" t="str">
        <f>IF(OR(E52&gt;=0.3,E52&lt;=-0.3),"超过30%","")</f>
        <v/>
      </c>
      <c r="G52" s="455">
        <f>IF(G47&lt;G48,G48/G47-1,G47/G48-1)</f>
        <v>0.1645161290322581</v>
      </c>
      <c r="H52" s="456" t="str">
        <f>IF(OR(G52&gt;=0.3,G52&lt;=-0.3),"超过30%","")</f>
        <v/>
      </c>
      <c r="I52" s="455">
        <f>IF(I47&lt;I48,I48/I47-1,I47/I48-1)</f>
        <v>0.2068965517241379</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2433</v>
      </c>
      <c r="D53" s="457"/>
      <c r="E53" s="455">
        <f>IF(E48&lt;G48,G48/E48-1,E48/G48-1)</f>
        <v>3.3333333333333437E-2</v>
      </c>
      <c r="F53" s="456" t="str">
        <f>IF(OR(E53&gt;=0.2,E53&lt;=-0.2),"超过20%","")</f>
        <v/>
      </c>
      <c r="G53" s="455">
        <f>IF(G48&lt;I48,I48/G48-1,G48/I48-1)</f>
        <v>6.8965517241379448E-2</v>
      </c>
      <c r="H53" s="456" t="str">
        <f>IF(OR(G53&gt;=0.2,G53&lt;=-0.2),"超过20%","")</f>
        <v/>
      </c>
      <c r="I53" s="455">
        <f>IF(I48&lt;E48,E48/I48-1,I48/E48-1)</f>
        <v>3.4482758620689724E-2</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2434</v>
      </c>
      <c r="D54" s="457"/>
      <c r="E54" s="455">
        <f>IF(E47&lt;G47,G47/E47-1,E47/G47-1)</f>
        <v>3.1428571428571361E-2</v>
      </c>
      <c r="F54" s="456" t="str">
        <f>IF(OR(E54&gt;=0.3,E54&lt;=-0.3),"超过30%","")</f>
        <v/>
      </c>
      <c r="G54" s="455">
        <f>IF(G47&lt;I47,I47/G47-1,G47/I47-1)</f>
        <v>3.1428571428571361E-2</v>
      </c>
      <c r="H54" s="456" t="str">
        <f>IF(OR(G54&gt;=0.3,G54&lt;=-0.3),"超过30%","")</f>
        <v/>
      </c>
      <c r="I54" s="455">
        <f>IF(I47&lt;E47,E47/I47-1,I47/E47-1)</f>
        <v>0</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2435</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2413</v>
      </c>
      <c r="D61" s="3298" t="s">
        <v>3360</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115</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25</v>
      </c>
      <c r="E66" s="500" t="s">
        <v>26</v>
      </c>
      <c r="F66" s="500">
        <v>100</v>
      </c>
      <c r="G66" s="500">
        <f>F66-$K10</f>
        <v>99</v>
      </c>
      <c r="H66" s="500">
        <f>G66-$K10</f>
        <v>98</v>
      </c>
      <c r="I66" s="500">
        <f>H66-$K10</f>
        <v>97</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E86" s="3217" t="s">
        <v>3363</v>
      </c>
      <c r="F86" s="3217" t="s">
        <v>3361</v>
      </c>
      <c r="G86" s="3300" t="s">
        <v>3362</v>
      </c>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300" t="s">
        <v>3545</v>
      </c>
      <c r="D88" s="3300" t="s">
        <v>3546</v>
      </c>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v>100</v>
      </c>
      <c r="D89" s="492">
        <v>98</v>
      </c>
      <c r="E89" s="492">
        <v>96</v>
      </c>
      <c r="F89" s="492">
        <v>94</v>
      </c>
      <c r="G89" s="492">
        <v>92</v>
      </c>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3364</v>
      </c>
      <c r="D90" s="3217" t="s">
        <v>3365</v>
      </c>
      <c r="E90" s="3217" t="s">
        <v>3366</v>
      </c>
      <c r="F90" s="3301" t="s">
        <v>3367</v>
      </c>
      <c r="G90" s="3217" t="s">
        <v>3368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3369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2500</v>
      </c>
      <c r="I103" s="551">
        <v>3000</v>
      </c>
      <c r="J103" s="552">
        <v>3500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3370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510"/>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3544</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510"/>
      <c r="D114" s="510"/>
      <c r="E114" s="539"/>
      <c r="F114" s="539"/>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3542</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510"/>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t="str">
        <f>B44</f>
        <v>出租情况</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9" priority="21"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5">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C43 E43 G43 I43" xr:uid="{00000000-0002-0000-1200-000002000000}">
      <formula1>内部装修维护情况</formula1>
    </dataValidation>
    <dataValidation type="list" allowBlank="1" showInputMessage="1" showErrorMessage="1" sqref="E20 I20 G20 C20" xr:uid="{00000000-0002-0000-1200-000003000000}">
      <formula1>公共配套设施</formula1>
    </dataValidation>
    <dataValidation type="list" allowBlank="1" showInputMessage="1" showErrorMessage="1" sqref="E18 G18 I18 C18" xr:uid="{00000000-0002-0000-1200-000004000000}">
      <formula1>交通便捷度</formula1>
    </dataValidation>
    <dataValidation type="list" allowBlank="1" showInputMessage="1" showErrorMessage="1" sqref="E24 G24 I24 C24" xr:uid="{00000000-0002-0000-1200-000005000000}">
      <formula1>环境</formula1>
    </dataValidation>
    <dataValidation type="list" allowBlank="1" showInputMessage="1" showErrorMessage="1" sqref="C25 E25 G25 I25" xr:uid="{00000000-0002-0000-1200-000006000000}">
      <formula1>商业临街状况</formula1>
    </dataValidation>
    <dataValidation type="list" allowBlank="1" showInputMessage="1" showErrorMessage="1" sqref="C27 E27 G27 I27" xr:uid="{00000000-0002-0000-1200-000007000000}">
      <formula1>商业人流量</formula1>
    </dataValidation>
    <dataValidation type="list" allowBlank="1" showInputMessage="1" showErrorMessage="1" sqref="C28 E28 G28 I28" xr:uid="{00000000-0002-0000-1200-000008000000}">
      <formula1>商业楼层</formula1>
    </dataValidation>
    <dataValidation type="list" allowBlank="1" showInputMessage="1" showErrorMessage="1" sqref="C32 E32 G32 I32" xr:uid="{00000000-0002-0000-1200-000009000000}">
      <formula1>商业类型</formula1>
    </dataValidation>
    <dataValidation type="list" allowBlank="1" showInputMessage="1" showErrorMessage="1" sqref="C34 E34 G34 I34" xr:uid="{00000000-0002-0000-1200-00000A000000}">
      <formula1>商业建筑结构</formula1>
    </dataValidation>
    <dataValidation type="list" allowBlank="1" showInputMessage="1" showErrorMessage="1" sqref="C35 E35 G35 I35" xr:uid="{00000000-0002-0000-1200-00000B000000}">
      <formula1>商业公共部分装修</formula1>
    </dataValidation>
    <dataValidation type="list" allowBlank="1" showInputMessage="1" showErrorMessage="1" sqref="C37 E37 G37 I37" xr:uid="{00000000-0002-0000-1200-00000C000000}">
      <formula1>商业基础设施水平</formula1>
    </dataValidation>
    <dataValidation type="list" allowBlank="1" showInputMessage="1" showErrorMessage="1" sqref="C41 E41 G41 I41" xr:uid="{00000000-0002-0000-1200-00000D000000}">
      <formula1>商业进深比</formula1>
    </dataValidation>
    <dataValidation type="list" allowBlank="1" showInputMessage="1" showErrorMessage="1" sqref="C42 E42 G42 I42" xr:uid="{00000000-0002-0000-1200-00000E000000}">
      <formula1>商业内部装修</formula1>
    </dataValidation>
    <dataValidation type="list" allowBlank="1" showInputMessage="1" showErrorMessage="1" sqref="E9 G9 I9" xr:uid="{00000000-0002-0000-1200-00000F000000}">
      <formula1>商业用途</formula1>
    </dataValidation>
    <dataValidation type="list" allowBlank="1" showInputMessage="1" showErrorMessage="1" sqref="C38 E38 G38 I38" xr:uid="{00000000-0002-0000-1200-000010000000}">
      <formula1>商业业态</formula1>
    </dataValidation>
    <dataValidation type="list" allowBlank="1" showInputMessage="1" showErrorMessage="1" sqref="C39 E39 G39 I39" xr:uid="{00000000-0002-0000-1200-000011000000}">
      <formula1>商业层高</formula1>
    </dataValidation>
    <dataValidation type="list" allowBlank="1" showInputMessage="1" showErrorMessage="1" sqref="C8 E8 G8 I8" xr:uid="{00000000-0002-0000-1200-000012000000}">
      <formula1>商业交易情况</formula1>
    </dataValidation>
    <dataValidation type="list" allowBlank="1" showInputMessage="1" showErrorMessage="1" sqref="C16 E16 G16 I16" xr:uid="{00000000-0002-0000-1200-000013000000}">
      <formula1>商业繁华度</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F1" xr:uid="{00000000-0002-0000-1200-000015000000}">
      <formula1>"售价,租金"</formula1>
    </dataValidation>
    <dataValidation type="list" allowBlank="1" showInputMessage="1" showErrorMessage="1" sqref="C2" xr:uid="{00000000-0002-0000-1200-000016000000}">
      <formula1>"需扣减承租人权益,——"</formula1>
    </dataValidation>
    <dataValidation type="list" allowBlank="1" showInputMessage="1" showErrorMessage="1" sqref="F2" xr:uid="{00000000-0002-0000-1200-000017000000}">
      <formula1>估价方法</formula1>
    </dataValidation>
    <dataValidation type="list" allowBlank="1" showInputMessage="1" showErrorMessage="1" sqref="D48"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
  <sheetViews>
    <sheetView topLeftCell="A14" workbookViewId="0">
      <selection activeCell="P9" sqref="P9"/>
    </sheetView>
  </sheetViews>
  <sheetFormatPr defaultColWidth="8.875" defaultRowHeight="14.2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P47"/>
  <sheetViews>
    <sheetView view="pageBreakPreview" topLeftCell="A25" zoomScaleSheetLayoutView="100" workbookViewId="0">
      <selection activeCell="H35" sqref="H35"/>
    </sheetView>
  </sheetViews>
  <sheetFormatPr defaultColWidth="9" defaultRowHeight="13.5"/>
  <cols>
    <col min="1" max="1" width="6.375" style="3241" customWidth="1"/>
    <col min="2" max="2" width="19.375" style="3283" customWidth="1"/>
    <col min="3" max="3" width="10.375" style="3241" customWidth="1"/>
    <col min="4" max="4" width="9" style="3241" customWidth="1"/>
    <col min="5" max="5" width="8.625" style="3241" customWidth="1"/>
    <col min="6" max="6" width="4.75" style="3241" customWidth="1"/>
    <col min="7" max="7" width="19.375" style="3284" customWidth="1"/>
    <col min="8" max="8" width="18" style="3241" customWidth="1"/>
    <col min="9" max="9" width="6.875" style="3241" customWidth="1"/>
    <col min="10" max="10" width="10.5" style="3237" customWidth="1"/>
    <col min="11" max="11" width="4.875" style="3237" customWidth="1"/>
    <col min="12" max="12" width="16.375" style="3237" customWidth="1"/>
    <col min="13" max="16" width="8.125" style="3241" customWidth="1"/>
    <col min="17" max="16384" width="9" style="3241"/>
  </cols>
  <sheetData>
    <row r="1" spans="1:16">
      <c r="A1" s="3662" t="s">
        <v>3202</v>
      </c>
      <c r="B1" s="3662"/>
      <c r="C1" s="3662"/>
      <c r="D1" s="3662"/>
      <c r="E1" s="3662"/>
      <c r="F1" s="3662"/>
      <c r="G1" s="3662"/>
      <c r="H1" s="3662"/>
      <c r="I1" s="3662"/>
      <c r="K1" s="3663" t="s">
        <v>3203</v>
      </c>
      <c r="L1" s="3238" t="s">
        <v>3204</v>
      </c>
      <c r="M1" s="3239">
        <v>0</v>
      </c>
      <c r="N1" s="3240"/>
      <c r="O1" s="3240"/>
    </row>
    <row r="2" spans="1:16" ht="15.75" customHeight="1">
      <c r="A2" s="3242" t="s">
        <v>608</v>
      </c>
      <c r="B2" s="3243" t="s">
        <v>3205</v>
      </c>
      <c r="C2" s="3664" t="s">
        <v>3206</v>
      </c>
      <c r="D2" s="3665"/>
      <c r="E2" s="3665"/>
      <c r="F2" s="3666"/>
      <c r="G2" s="3244" t="s">
        <v>3207</v>
      </c>
      <c r="H2" s="3667" t="s">
        <v>3208</v>
      </c>
      <c r="I2" s="3667"/>
      <c r="K2" s="3663"/>
      <c r="L2" s="3238" t="s">
        <v>3209</v>
      </c>
      <c r="M2" s="3245" t="s">
        <v>3210</v>
      </c>
      <c r="N2" s="3246"/>
      <c r="O2" s="3246"/>
    </row>
    <row r="3" spans="1:16" ht="27">
      <c r="A3" s="3244" t="s">
        <v>3211</v>
      </c>
      <c r="B3" s="3247" t="s">
        <v>3212</v>
      </c>
      <c r="C3" s="3668">
        <f>'比较法-商业售价'!C48*'比较法-商业售价'!C33</f>
        <v>8523184.9499999993</v>
      </c>
      <c r="D3" s="3669"/>
      <c r="E3" s="3669"/>
      <c r="F3" s="3670"/>
      <c r="G3" s="3244" t="s">
        <v>3213</v>
      </c>
      <c r="H3" s="3247" t="s">
        <v>3214</v>
      </c>
      <c r="I3" s="3248">
        <f>'数据-基础表'!I13</f>
        <v>683.55</v>
      </c>
      <c r="K3" s="3663"/>
      <c r="L3" s="3238" t="s">
        <v>3215</v>
      </c>
      <c r="M3" s="3245" t="s">
        <v>3216</v>
      </c>
      <c r="N3" s="3246"/>
      <c r="O3" s="3246"/>
    </row>
    <row r="4" spans="1:16">
      <c r="A4" s="3667" t="s">
        <v>3217</v>
      </c>
      <c r="B4" s="3671" t="s">
        <v>3218</v>
      </c>
      <c r="C4" s="3672">
        <f>ROUND(C3*(I4-I6)/(1-((1+I6)/(1+I4))^I5),0)</f>
        <v>405969</v>
      </c>
      <c r="D4" s="3673"/>
      <c r="E4" s="3673"/>
      <c r="F4" s="3674"/>
      <c r="G4" s="3667" t="s">
        <v>3333</v>
      </c>
      <c r="H4" s="3249" t="s">
        <v>3219</v>
      </c>
      <c r="I4" s="3305">
        <v>5.5E-2</v>
      </c>
      <c r="K4" s="3663"/>
      <c r="L4" s="3238" t="s">
        <v>3220</v>
      </c>
      <c r="M4" s="3250">
        <f>ROUND(1-(1-M1)*M2/M3,2)</f>
        <v>0.55000000000000004</v>
      </c>
      <c r="N4" s="3246"/>
      <c r="O4" s="3246"/>
    </row>
    <row r="5" spans="1:16" s="3254" customFormat="1" ht="18" customHeight="1">
      <c r="A5" s="3667"/>
      <c r="B5" s="3671"/>
      <c r="C5" s="3675"/>
      <c r="D5" s="3676"/>
      <c r="E5" s="3676"/>
      <c r="F5" s="3677"/>
      <c r="G5" s="3667"/>
      <c r="H5" s="3247" t="s">
        <v>3221</v>
      </c>
      <c r="I5" s="3251">
        <f>'数据-取费表'!F6</f>
        <v>34.450000000000003</v>
      </c>
      <c r="J5" s="3252"/>
      <c r="K5" s="3663"/>
      <c r="L5" s="3238" t="s">
        <v>3222</v>
      </c>
      <c r="M5" s="3253">
        <v>0.5</v>
      </c>
      <c r="N5" s="3246"/>
      <c r="O5" s="3246"/>
    </row>
    <row r="6" spans="1:16" s="3254" customFormat="1" ht="18" customHeight="1">
      <c r="A6" s="3667"/>
      <c r="B6" s="3671"/>
      <c r="C6" s="3678"/>
      <c r="D6" s="3679"/>
      <c r="E6" s="3679"/>
      <c r="F6" s="3680"/>
      <c r="G6" s="3667"/>
      <c r="H6" s="3247" t="s">
        <v>3223</v>
      </c>
      <c r="I6" s="3312">
        <v>2.5000000000000001E-2</v>
      </c>
      <c r="J6" s="3255"/>
      <c r="K6" s="3667" t="s">
        <v>3224</v>
      </c>
      <c r="L6" s="3256" t="s">
        <v>3225</v>
      </c>
      <c r="M6" s="3257" t="s">
        <v>3226</v>
      </c>
      <c r="N6" s="3257" t="s">
        <v>3227</v>
      </c>
      <c r="O6" s="3257" t="s">
        <v>3228</v>
      </c>
      <c r="P6" s="3257" t="s">
        <v>3229</v>
      </c>
    </row>
    <row r="7" spans="1:16" s="3254" customFormat="1" ht="17.25" customHeight="1">
      <c r="A7" s="3244" t="s">
        <v>3230</v>
      </c>
      <c r="B7" s="3247" t="s">
        <v>3231</v>
      </c>
      <c r="C7" s="3664">
        <f>ROUND(C23*I7,0)</f>
        <v>3411023</v>
      </c>
      <c r="D7" s="3665"/>
      <c r="E7" s="3665"/>
      <c r="F7" s="3666"/>
      <c r="G7" s="3244" t="s">
        <v>3232</v>
      </c>
      <c r="H7" s="3247" t="s">
        <v>3233</v>
      </c>
      <c r="I7" s="3258">
        <v>0.9</v>
      </c>
      <c r="K7" s="3667"/>
      <c r="L7" s="3256" t="s">
        <v>3234</v>
      </c>
      <c r="M7" s="3257">
        <v>100</v>
      </c>
      <c r="N7" s="3257" t="s">
        <v>3235</v>
      </c>
      <c r="O7" s="3257">
        <v>80</v>
      </c>
      <c r="P7" s="3259">
        <v>0.3</v>
      </c>
    </row>
    <row r="8" spans="1:16" s="3254" customFormat="1" ht="29.25" customHeight="1">
      <c r="A8" s="3242" t="s">
        <v>3236</v>
      </c>
      <c r="B8" s="3247" t="s">
        <v>3237</v>
      </c>
      <c r="C8" s="3664">
        <f>ROUND(I8*I3,0)</f>
        <v>2392425</v>
      </c>
      <c r="D8" s="3665"/>
      <c r="E8" s="3665"/>
      <c r="F8" s="3666"/>
      <c r="G8" s="3244" t="s">
        <v>3238</v>
      </c>
      <c r="H8" s="3247" t="s">
        <v>3239</v>
      </c>
      <c r="I8" s="3244">
        <v>3500</v>
      </c>
      <c r="J8" s="3260">
        <f>D36</f>
        <v>3</v>
      </c>
      <c r="K8" s="3667"/>
      <c r="L8" s="3256" t="s">
        <v>3240</v>
      </c>
      <c r="M8" s="3257">
        <v>100</v>
      </c>
      <c r="N8" s="3257" t="s">
        <v>3235</v>
      </c>
      <c r="O8" s="3257">
        <v>80</v>
      </c>
      <c r="P8" s="3259">
        <v>0.5</v>
      </c>
    </row>
    <row r="9" spans="1:16" s="3254" customFormat="1" ht="18" customHeight="1">
      <c r="A9" s="3242" t="s">
        <v>3241</v>
      </c>
      <c r="B9" s="3247" t="s">
        <v>3242</v>
      </c>
      <c r="C9" s="3664">
        <f>ROUND(C8*H9,0)</f>
        <v>71773</v>
      </c>
      <c r="D9" s="3665"/>
      <c r="E9" s="3665"/>
      <c r="F9" s="3666"/>
      <c r="G9" s="3244" t="s">
        <v>3243</v>
      </c>
      <c r="H9" s="3681">
        <f>'数据-取费表'!B33</f>
        <v>0.03</v>
      </c>
      <c r="I9" s="3681"/>
      <c r="J9" s="3260">
        <f>D37</f>
        <v>3.04</v>
      </c>
      <c r="K9" s="3667"/>
      <c r="L9" s="3256" t="s">
        <v>3244</v>
      </c>
      <c r="M9" s="3257">
        <v>100</v>
      </c>
      <c r="N9" s="3257" t="s">
        <v>3235</v>
      </c>
      <c r="O9" s="3257">
        <v>80</v>
      </c>
      <c r="P9" s="3259">
        <f>1-P7-P8</f>
        <v>0.19999999999999996</v>
      </c>
    </row>
    <row r="10" spans="1:16" s="3254" customFormat="1" ht="18" customHeight="1">
      <c r="A10" s="3242" t="s">
        <v>3245</v>
      </c>
      <c r="B10" s="3247" t="s">
        <v>3246</v>
      </c>
      <c r="C10" s="3664">
        <f>ROUND(C8*H10,0)</f>
        <v>0</v>
      </c>
      <c r="D10" s="3665"/>
      <c r="E10" s="3665"/>
      <c r="F10" s="3666"/>
      <c r="G10" s="3244" t="s">
        <v>3243</v>
      </c>
      <c r="H10" s="3681">
        <v>0</v>
      </c>
      <c r="I10" s="3681"/>
      <c r="J10" s="3260">
        <f>D38</f>
        <v>3</v>
      </c>
      <c r="K10" s="3667"/>
      <c r="L10" s="3261" t="s">
        <v>3222</v>
      </c>
      <c r="M10" s="3262">
        <f>1-M5</f>
        <v>0.5</v>
      </c>
      <c r="N10" s="3257" t="s">
        <v>3220</v>
      </c>
      <c r="O10" s="3263">
        <f>ROUND((O7*P7+O8*P8+O9*P9)/100,2)</f>
        <v>0.8</v>
      </c>
      <c r="P10" s="3264"/>
    </row>
    <row r="11" spans="1:16" s="3254" customFormat="1" ht="29.25" customHeight="1">
      <c r="A11" s="3242" t="s">
        <v>3247</v>
      </c>
      <c r="B11" s="3247" t="s">
        <v>3248</v>
      </c>
      <c r="C11" s="3664">
        <f>ROUND(I11*I3,0)</f>
        <v>136710</v>
      </c>
      <c r="D11" s="3665"/>
      <c r="E11" s="3665"/>
      <c r="F11" s="3666"/>
      <c r="G11" s="3244" t="s">
        <v>3249</v>
      </c>
      <c r="H11" s="3247" t="s">
        <v>3250</v>
      </c>
      <c r="I11" s="3244">
        <f>'数据-取费表'!B35</f>
        <v>200</v>
      </c>
      <c r="J11" s="3252"/>
      <c r="K11" s="3237"/>
      <c r="L11" s="3237"/>
    </row>
    <row r="12" spans="1:16" s="3254" customFormat="1" ht="18" customHeight="1">
      <c r="A12" s="3242" t="s">
        <v>3251</v>
      </c>
      <c r="B12" s="3247" t="s">
        <v>3252</v>
      </c>
      <c r="C12" s="3664">
        <f>ROUND(C8*H12,0)</f>
        <v>35886</v>
      </c>
      <c r="D12" s="3665"/>
      <c r="E12" s="3665"/>
      <c r="F12" s="3666"/>
      <c r="G12" s="3244" t="s">
        <v>3243</v>
      </c>
      <c r="H12" s="3681">
        <f>'数据-取费表'!B36</f>
        <v>1.4999999999999999E-2</v>
      </c>
      <c r="I12" s="3681"/>
      <c r="J12" s="3265" t="s">
        <v>3253</v>
      </c>
      <c r="L12" s="3266"/>
    </row>
    <row r="13" spans="1:16" s="3254" customFormat="1" ht="18" customHeight="1">
      <c r="A13" s="3242" t="s">
        <v>1044</v>
      </c>
      <c r="B13" s="3247" t="s">
        <v>3254</v>
      </c>
      <c r="C13" s="3664">
        <f>SUM(C8:F12)</f>
        <v>2636794</v>
      </c>
      <c r="D13" s="3665"/>
      <c r="E13" s="3665"/>
      <c r="F13" s="3666"/>
      <c r="G13" s="3667" t="s">
        <v>3255</v>
      </c>
      <c r="H13" s="3667"/>
      <c r="I13" s="3667"/>
      <c r="J13" s="3265" t="s">
        <v>3256</v>
      </c>
      <c r="L13" s="3266"/>
    </row>
    <row r="14" spans="1:16" s="3254" customFormat="1" ht="18" customHeight="1">
      <c r="A14" s="3242" t="s">
        <v>3257</v>
      </c>
      <c r="B14" s="3247" t="s">
        <v>3258</v>
      </c>
      <c r="C14" s="3664">
        <f>ROUND(C13*H14,0)</f>
        <v>52736</v>
      </c>
      <c r="D14" s="3665"/>
      <c r="E14" s="3665"/>
      <c r="F14" s="3666"/>
      <c r="G14" s="3244" t="s">
        <v>3259</v>
      </c>
      <c r="H14" s="3686">
        <v>0.02</v>
      </c>
      <c r="I14" s="3686"/>
      <c r="J14" s="3252"/>
      <c r="L14" s="3266"/>
    </row>
    <row r="15" spans="1:16" s="3254" customFormat="1" ht="18" customHeight="1">
      <c r="A15" s="3242" t="s">
        <v>998</v>
      </c>
      <c r="B15" s="3247" t="s">
        <v>3260</v>
      </c>
      <c r="C15" s="3687">
        <f>H15</f>
        <v>0.02</v>
      </c>
      <c r="D15" s="3688"/>
      <c r="E15" s="3684" t="str">
        <f>E18</f>
        <v>V</v>
      </c>
      <c r="F15" s="3685"/>
      <c r="G15" s="3244" t="s">
        <v>3261</v>
      </c>
      <c r="H15" s="3686">
        <v>0.02</v>
      </c>
      <c r="I15" s="3686"/>
      <c r="J15" s="3267"/>
      <c r="K15" s="3260"/>
    </row>
    <row r="16" spans="1:16" s="3254" customFormat="1" ht="18" customHeight="1">
      <c r="A16" s="3268" t="s">
        <v>999</v>
      </c>
      <c r="B16" s="3269" t="s">
        <v>3262</v>
      </c>
      <c r="C16" s="3270">
        <f>C17</f>
        <v>127753</v>
      </c>
      <c r="D16" s="3271" t="s">
        <v>3263</v>
      </c>
      <c r="E16" s="3272">
        <f>C18</f>
        <v>9.5E-4</v>
      </c>
      <c r="F16" s="3273" t="str">
        <f>E18</f>
        <v>V</v>
      </c>
      <c r="G16" s="3664" t="s">
        <v>3264</v>
      </c>
      <c r="H16" s="3665"/>
      <c r="I16" s="3666"/>
      <c r="J16" s="3252"/>
      <c r="K16" s="3237"/>
    </row>
    <row r="17" spans="1:12" s="3254" customFormat="1" ht="18" customHeight="1">
      <c r="A17" s="3242" t="s">
        <v>3265</v>
      </c>
      <c r="B17" s="3247" t="s">
        <v>3266</v>
      </c>
      <c r="C17" s="3664">
        <f>ROUND((C13+C14)*I18*(I17/2),0)</f>
        <v>127753</v>
      </c>
      <c r="D17" s="3665"/>
      <c r="E17" s="3665"/>
      <c r="F17" s="3666"/>
      <c r="G17" s="3270" t="s">
        <v>3267</v>
      </c>
      <c r="H17" s="3247" t="s">
        <v>3268</v>
      </c>
      <c r="I17" s="3274">
        <v>2</v>
      </c>
      <c r="J17" s="3265" t="s">
        <v>3269</v>
      </c>
      <c r="K17" s="3237"/>
      <c r="L17" s="3237"/>
    </row>
    <row r="18" spans="1:12" s="3254" customFormat="1" ht="18" customHeight="1">
      <c r="A18" s="3242" t="s">
        <v>3270</v>
      </c>
      <c r="B18" s="3247" t="s">
        <v>3271</v>
      </c>
      <c r="C18" s="3682">
        <f>H15*I18*I17/2</f>
        <v>9.5E-4</v>
      </c>
      <c r="D18" s="3683"/>
      <c r="E18" s="3684" t="s">
        <v>3272</v>
      </c>
      <c r="F18" s="3685"/>
      <c r="G18" s="3270" t="s">
        <v>3273</v>
      </c>
      <c r="H18" s="3247" t="s">
        <v>3274</v>
      </c>
      <c r="I18" s="3275">
        <v>4.7500000000000001E-2</v>
      </c>
      <c r="J18" s="3265" t="s">
        <v>3275</v>
      </c>
      <c r="K18" s="3237"/>
      <c r="L18" s="3237"/>
    </row>
    <row r="19" spans="1:12" s="3254" customFormat="1" ht="27" customHeight="1">
      <c r="A19" s="3242" t="s">
        <v>1000</v>
      </c>
      <c r="B19" s="3247" t="s">
        <v>3276</v>
      </c>
      <c r="C19" s="3270">
        <f>C20</f>
        <v>672383</v>
      </c>
      <c r="D19" s="3271" t="s">
        <v>3263</v>
      </c>
      <c r="E19" s="3271">
        <f>C21</f>
        <v>5.0000000000000001E-3</v>
      </c>
      <c r="F19" s="3273" t="str">
        <f>E21</f>
        <v>V</v>
      </c>
      <c r="G19" s="3664" t="s">
        <v>3277</v>
      </c>
      <c r="H19" s="3665"/>
      <c r="I19" s="3666"/>
      <c r="J19" s="3252"/>
      <c r="K19" s="3237"/>
      <c r="L19" s="3237"/>
    </row>
    <row r="20" spans="1:12" s="3254" customFormat="1" ht="26.25" customHeight="1">
      <c r="A20" s="3242" t="s">
        <v>3278</v>
      </c>
      <c r="B20" s="3247" t="s">
        <v>3279</v>
      </c>
      <c r="C20" s="3664">
        <f>ROUND((C13+C14)*I20,0)</f>
        <v>672383</v>
      </c>
      <c r="D20" s="3665"/>
      <c r="E20" s="3665"/>
      <c r="F20" s="3666"/>
      <c r="G20" s="3244" t="s">
        <v>3280</v>
      </c>
      <c r="H20" s="3691" t="s">
        <v>3281</v>
      </c>
      <c r="I20" s="3693">
        <v>0.25</v>
      </c>
      <c r="J20" s="3265" t="s">
        <v>3282</v>
      </c>
      <c r="K20" s="3237"/>
      <c r="L20" s="3237"/>
    </row>
    <row r="21" spans="1:12" s="3254" customFormat="1" ht="27" customHeight="1">
      <c r="A21" s="3242" t="s">
        <v>3278</v>
      </c>
      <c r="B21" s="3247" t="s">
        <v>3283</v>
      </c>
      <c r="C21" s="3687">
        <f>H15*I20</f>
        <v>5.0000000000000001E-3</v>
      </c>
      <c r="D21" s="3688"/>
      <c r="E21" s="3684" t="s">
        <v>3272</v>
      </c>
      <c r="F21" s="3685"/>
      <c r="G21" s="3244" t="s">
        <v>3284</v>
      </c>
      <c r="H21" s="3692"/>
      <c r="I21" s="3693"/>
      <c r="J21" s="3252"/>
      <c r="K21" s="3237"/>
      <c r="L21" s="3237"/>
    </row>
    <row r="22" spans="1:12" s="3254" customFormat="1" ht="18" customHeight="1">
      <c r="A22" s="3242" t="s">
        <v>1001</v>
      </c>
      <c r="B22" s="3247" t="s">
        <v>3285</v>
      </c>
      <c r="C22" s="3687">
        <f>ROUND(H22/1.05,4)</f>
        <v>5.33E-2</v>
      </c>
      <c r="D22" s="3688"/>
      <c r="E22" s="3684" t="s">
        <v>3272</v>
      </c>
      <c r="F22" s="3685"/>
      <c r="G22" s="3244" t="s">
        <v>3286</v>
      </c>
      <c r="H22" s="3681">
        <v>5.6000000000000001E-2</v>
      </c>
      <c r="I22" s="3681"/>
      <c r="J22" s="3276"/>
      <c r="K22" s="3237"/>
      <c r="L22" s="3237"/>
    </row>
    <row r="23" spans="1:12" s="3254" customFormat="1" ht="18" customHeight="1">
      <c r="A23" s="3242" t="s">
        <v>3287</v>
      </c>
      <c r="B23" s="3247" t="s">
        <v>3288</v>
      </c>
      <c r="C23" s="3664">
        <f>ROUND((C13+C14+C17+C20)/(1-H15-C18-C21-C22),0)</f>
        <v>3790026</v>
      </c>
      <c r="D23" s="3665"/>
      <c r="E23" s="3665"/>
      <c r="F23" s="3666"/>
      <c r="G23" s="3664" t="s">
        <v>3289</v>
      </c>
      <c r="H23" s="3665"/>
      <c r="I23" s="3666"/>
      <c r="J23" s="3276"/>
      <c r="K23" s="3237"/>
      <c r="L23" s="3237"/>
    </row>
    <row r="24" spans="1:12" s="3254" customFormat="1" ht="18" customHeight="1">
      <c r="A24" s="3242" t="s">
        <v>3290</v>
      </c>
      <c r="B24" s="3247" t="s">
        <v>3291</v>
      </c>
      <c r="C24" s="3277">
        <f>C27+C28</f>
        <v>82623</v>
      </c>
      <c r="D24" s="3278" t="s">
        <v>3292</v>
      </c>
      <c r="E24" s="3689">
        <f>H29+E26+H25</f>
        <v>0.19599999999999998</v>
      </c>
      <c r="F24" s="3690"/>
      <c r="G24" s="3667" t="s">
        <v>3293</v>
      </c>
      <c r="H24" s="3667"/>
      <c r="I24" s="3667"/>
      <c r="J24" s="3276"/>
      <c r="K24" s="3237"/>
      <c r="L24" s="3237"/>
    </row>
    <row r="25" spans="1:12" s="3254" customFormat="1" ht="18" customHeight="1">
      <c r="A25" s="3242" t="s">
        <v>1044</v>
      </c>
      <c r="B25" s="3247" t="s">
        <v>3294</v>
      </c>
      <c r="C25" s="3687" t="s">
        <v>3295</v>
      </c>
      <c r="D25" s="3688"/>
      <c r="E25" s="3694">
        <f>ROUND(H25/1.05,4)</f>
        <v>5.33E-2</v>
      </c>
      <c r="F25" s="3695"/>
      <c r="G25" s="3244" t="s">
        <v>3296</v>
      </c>
      <c r="H25" s="3696">
        <f>H22</f>
        <v>5.6000000000000001E-2</v>
      </c>
      <c r="I25" s="3696"/>
      <c r="J25" s="3267"/>
      <c r="K25" s="3237"/>
      <c r="L25" s="3237"/>
    </row>
    <row r="26" spans="1:12" s="3254" customFormat="1" ht="18" customHeight="1">
      <c r="A26" s="3242" t="s">
        <v>3257</v>
      </c>
      <c r="B26" s="3247" t="s">
        <v>3297</v>
      </c>
      <c r="C26" s="3687" t="s">
        <v>3295</v>
      </c>
      <c r="D26" s="3688"/>
      <c r="E26" s="3697">
        <v>0.12</v>
      </c>
      <c r="F26" s="3690"/>
      <c r="G26" s="3244"/>
      <c r="H26" s="3698">
        <f>'数据-取费表'!B51</f>
        <v>0.12</v>
      </c>
      <c r="I26" s="3699"/>
      <c r="J26" s="3279"/>
      <c r="K26" s="3237"/>
      <c r="L26" s="3237"/>
    </row>
    <row r="27" spans="1:12" s="3254" customFormat="1" ht="18" customHeight="1">
      <c r="A27" s="3242" t="s">
        <v>998</v>
      </c>
      <c r="B27" s="3247" t="s">
        <v>3298</v>
      </c>
      <c r="C27" s="3664">
        <f>ROUND(C23*H27,0)</f>
        <v>75801</v>
      </c>
      <c r="D27" s="3665"/>
      <c r="E27" s="3665"/>
      <c r="F27" s="3666"/>
      <c r="G27" s="3244" t="s">
        <v>3299</v>
      </c>
      <c r="H27" s="3700">
        <v>0.02</v>
      </c>
      <c r="I27" s="3700"/>
      <c r="J27" s="3237" t="s">
        <v>3334</v>
      </c>
      <c r="K27" s="3237"/>
      <c r="L27" s="3237"/>
    </row>
    <row r="28" spans="1:12" s="3254" customFormat="1" ht="18" customHeight="1">
      <c r="A28" s="3242" t="s">
        <v>999</v>
      </c>
      <c r="B28" s="3247" t="s">
        <v>3300</v>
      </c>
      <c r="C28" s="3664">
        <f>ROUND(C7*H28,0)</f>
        <v>6822</v>
      </c>
      <c r="D28" s="3665"/>
      <c r="E28" s="3665"/>
      <c r="F28" s="3666"/>
      <c r="G28" s="3244" t="s">
        <v>3301</v>
      </c>
      <c r="H28" s="3701">
        <v>2E-3</v>
      </c>
      <c r="I28" s="3701"/>
      <c r="J28" s="3280"/>
      <c r="K28" s="3237"/>
      <c r="L28" s="3237"/>
    </row>
    <row r="29" spans="1:12" s="3254" customFormat="1" ht="18" customHeight="1">
      <c r="A29" s="3242" t="s">
        <v>1000</v>
      </c>
      <c r="B29" s="3247" t="s">
        <v>3302</v>
      </c>
      <c r="C29" s="3687" t="s">
        <v>3295</v>
      </c>
      <c r="D29" s="3688"/>
      <c r="E29" s="3697">
        <f>H29</f>
        <v>0.02</v>
      </c>
      <c r="F29" s="3690"/>
      <c r="G29" s="3244" t="s">
        <v>3303</v>
      </c>
      <c r="H29" s="3700">
        <v>0.02</v>
      </c>
      <c r="I29" s="3700"/>
      <c r="J29" s="3281"/>
      <c r="K29" s="3237"/>
      <c r="L29" s="3237"/>
    </row>
    <row r="30" spans="1:12" s="3254" customFormat="1" ht="18" customHeight="1">
      <c r="A30" s="3244" t="s">
        <v>3304</v>
      </c>
      <c r="B30" s="3247" t="s">
        <v>3305</v>
      </c>
      <c r="C30" s="3664">
        <f>ROUND((C4+C24)/(1-E24),0)</f>
        <v>607701</v>
      </c>
      <c r="D30" s="3665"/>
      <c r="E30" s="3665"/>
      <c r="F30" s="3666"/>
      <c r="G30" s="3667" t="s">
        <v>3306</v>
      </c>
      <c r="H30" s="3667"/>
      <c r="I30" s="3667"/>
      <c r="J30" s="3252"/>
      <c r="K30" s="3237"/>
      <c r="L30" s="3237"/>
    </row>
    <row r="31" spans="1:12" s="3254" customFormat="1" ht="18" customHeight="1">
      <c r="A31" s="3667" t="s">
        <v>3307</v>
      </c>
      <c r="B31" s="3671" t="s">
        <v>3335</v>
      </c>
      <c r="C31" s="3702">
        <f>ROUND(C30/I31/I32/I3,2)</f>
        <v>3.04</v>
      </c>
      <c r="D31" s="3703"/>
      <c r="E31" s="3703"/>
      <c r="F31" s="3704"/>
      <c r="G31" s="3667" t="s">
        <v>3308</v>
      </c>
      <c r="H31" s="3247" t="s">
        <v>3309</v>
      </c>
      <c r="I31" s="3244">
        <v>365</v>
      </c>
      <c r="J31" s="3252"/>
      <c r="K31" s="3237"/>
      <c r="L31" s="3237"/>
    </row>
    <row r="32" spans="1:12" s="3254" customFormat="1" ht="18" customHeight="1">
      <c r="A32" s="3667"/>
      <c r="B32" s="3671"/>
      <c r="C32" s="3705"/>
      <c r="D32" s="3706"/>
      <c r="E32" s="3706"/>
      <c r="F32" s="3707"/>
      <c r="G32" s="3667"/>
      <c r="H32" s="3247" t="s">
        <v>3310</v>
      </c>
      <c r="I32" s="3282">
        <v>0.8</v>
      </c>
      <c r="J32" s="3276"/>
      <c r="K32" s="3241"/>
      <c r="L32" s="3241"/>
    </row>
    <row r="33" spans="1:13" s="3254" customFormat="1" ht="18" customHeight="1">
      <c r="A33" s="3241"/>
      <c r="B33" s="3283"/>
      <c r="C33" s="3241"/>
      <c r="D33" s="3241"/>
      <c r="E33" s="3241"/>
      <c r="F33" s="3241"/>
      <c r="G33" s="3284"/>
      <c r="H33" s="3241"/>
      <c r="I33" s="3241"/>
      <c r="J33" s="3237"/>
      <c r="K33" s="3241"/>
      <c r="L33" s="3241"/>
    </row>
    <row r="34" spans="1:13" s="3254" customFormat="1" ht="18" customHeight="1">
      <c r="A34" s="3241"/>
      <c r="B34" s="3710" t="s">
        <v>3336</v>
      </c>
      <c r="C34" s="3710"/>
      <c r="D34" s="3710"/>
      <c r="E34" s="3710"/>
      <c r="F34" s="3710"/>
      <c r="G34" s="3284"/>
      <c r="H34" s="3241"/>
      <c r="I34" s="3241"/>
      <c r="J34" s="3285">
        <f>C31*0.5</f>
        <v>1.52</v>
      </c>
      <c r="K34" s="3241"/>
      <c r="L34" s="3241"/>
      <c r="M34" s="3241"/>
    </row>
    <row r="35" spans="1:13" s="3254" customFormat="1" ht="18" customHeight="1">
      <c r="A35" s="3241"/>
      <c r="B35" s="3286" t="s">
        <v>3311</v>
      </c>
      <c r="C35" s="3286" t="s">
        <v>3229</v>
      </c>
      <c r="D35" s="3711" t="s">
        <v>3312</v>
      </c>
      <c r="E35" s="3711"/>
      <c r="F35" s="3711"/>
      <c r="G35" s="3284"/>
      <c r="H35" s="3296" t="s">
        <v>3313</v>
      </c>
      <c r="I35" s="3297"/>
      <c r="J35" s="3285">
        <f>C31*0.4</f>
        <v>1.2160000000000002</v>
      </c>
      <c r="K35" s="3241"/>
      <c r="L35" s="3241"/>
      <c r="M35" s="3241"/>
    </row>
    <row r="36" spans="1:13">
      <c r="B36" s="3286" t="s">
        <v>3314</v>
      </c>
      <c r="C36" s="3302">
        <v>0.5</v>
      </c>
      <c r="D36" s="3712">
        <f>'租金比较法-商业'!C48</f>
        <v>3</v>
      </c>
      <c r="E36" s="3712"/>
      <c r="F36" s="3712"/>
      <c r="G36" s="3284">
        <f>(D36-D37)/D37</f>
        <v>-1.3157894736842117E-2</v>
      </c>
      <c r="H36" s="3296"/>
      <c r="I36" s="3296"/>
      <c r="J36" s="3241"/>
      <c r="K36" s="3241"/>
      <c r="L36" s="3241"/>
    </row>
    <row r="37" spans="1:13" ht="20.100000000000001" customHeight="1">
      <c r="B37" s="3286" t="s">
        <v>3137</v>
      </c>
      <c r="C37" s="3302">
        <f>1-C36</f>
        <v>0.5</v>
      </c>
      <c r="D37" s="3712">
        <f>C31</f>
        <v>3.04</v>
      </c>
      <c r="E37" s="3712"/>
      <c r="F37" s="3712"/>
      <c r="J37" s="3241"/>
      <c r="K37" s="3241"/>
      <c r="L37" s="3241"/>
    </row>
    <row r="38" spans="1:13" ht="22.5" customHeight="1">
      <c r="B38" s="3711" t="s">
        <v>3315</v>
      </c>
      <c r="C38" s="3711"/>
      <c r="D38" s="3708">
        <f>ROUND(C36*D36+C37*D37,1)</f>
        <v>3</v>
      </c>
      <c r="E38" s="3708"/>
      <c r="F38" s="3708"/>
      <c r="J38" s="3241"/>
    </row>
    <row r="39" spans="1:13" ht="22.5" customHeight="1">
      <c r="B39" s="3286" t="s">
        <v>3316</v>
      </c>
      <c r="C39" s="3286">
        <f>ROUND(D38*0.9,1)</f>
        <v>2.7</v>
      </c>
      <c r="D39" s="3287" t="s">
        <v>3317</v>
      </c>
      <c r="E39" s="3708">
        <f>ROUND(D38*1.1,1)</f>
        <v>3.3</v>
      </c>
      <c r="F39" s="3708"/>
      <c r="G39" s="3284" t="s">
        <v>3318</v>
      </c>
      <c r="H39" s="3288">
        <v>11.48</v>
      </c>
      <c r="J39" s="3241"/>
    </row>
    <row r="40" spans="1:13" ht="18" customHeight="1">
      <c r="B40" s="3286" t="s">
        <v>3319</v>
      </c>
      <c r="C40" s="3286">
        <f>ROUND(C39+H40,1)</f>
        <v>2.7</v>
      </c>
      <c r="D40" s="3287" t="s">
        <v>3317</v>
      </c>
      <c r="E40" s="3708">
        <f>ROUND(E39+H40,1)</f>
        <v>3.3</v>
      </c>
      <c r="F40" s="3708"/>
      <c r="G40" s="3257" t="s">
        <v>3320</v>
      </c>
      <c r="H40" s="3257"/>
    </row>
    <row r="41" spans="1:13" ht="18" customHeight="1">
      <c r="C41" s="3289"/>
    </row>
    <row r="42" spans="1:13" ht="18" customHeight="1">
      <c r="B42" s="3284" t="s">
        <v>3321</v>
      </c>
      <c r="E42" s="3284" t="s">
        <v>3322</v>
      </c>
      <c r="H42" s="3284" t="s">
        <v>3323</v>
      </c>
    </row>
    <row r="43" spans="1:13" ht="29.25" customHeight="1"/>
    <row r="44" spans="1:13">
      <c r="B44" s="3709" t="s">
        <v>3324</v>
      </c>
      <c r="C44" s="3709"/>
      <c r="D44" s="3709"/>
      <c r="E44" s="3290"/>
      <c r="F44" s="3291" t="s">
        <v>3325</v>
      </c>
      <c r="G44" s="3252"/>
    </row>
    <row r="45" spans="1:13">
      <c r="B45" s="3292" t="s">
        <v>3326</v>
      </c>
      <c r="C45" s="3293" t="s">
        <v>3327</v>
      </c>
      <c r="D45" s="3293" t="s">
        <v>3328</v>
      </c>
      <c r="E45" s="3290" t="s">
        <v>3329</v>
      </c>
      <c r="F45" s="3291"/>
      <c r="G45" s="3252"/>
    </row>
    <row r="46" spans="1:13">
      <c r="B46" s="3293">
        <v>0.5</v>
      </c>
      <c r="C46" s="3293">
        <v>0.8</v>
      </c>
      <c r="D46" s="3293">
        <v>0.8</v>
      </c>
      <c r="E46" s="3290">
        <v>0.25</v>
      </c>
      <c r="F46" s="3293">
        <f>[1]结果表!G20*收益法倒推租金!C46*收益法倒推租金!B46*收益法倒推租金!D46-[1]结果表!G20*收益法倒推租金!E46</f>
        <v>1577.5200000000004</v>
      </c>
      <c r="G46" s="3252" t="s">
        <v>3330</v>
      </c>
    </row>
    <row r="47" spans="1:13">
      <c r="B47" s="3252"/>
      <c r="C47" s="3252"/>
      <c r="D47" s="3252"/>
      <c r="E47" s="3294"/>
      <c r="F47" s="3293"/>
      <c r="G47" s="3295"/>
    </row>
  </sheetData>
  <mergeCells count="71">
    <mergeCell ref="E39:F39"/>
    <mergeCell ref="E40:F40"/>
    <mergeCell ref="B44:D44"/>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B95" zoomScale="80" zoomScaleNormal="70" zoomScaleSheetLayoutView="80" workbookViewId="0">
      <selection activeCell="E100" sqref="E100"/>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2293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1299</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1300</v>
      </c>
      <c r="B3" s="565">
        <f>IF(C2="——",C49,ROUND(B2*10000/D3,0))</f>
        <v>12469</v>
      </c>
      <c r="C3" s="359" t="s">
        <v>2295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2296</v>
      </c>
      <c r="B4" s="361"/>
      <c r="C4" s="3635" t="s">
        <v>2297</v>
      </c>
      <c r="D4" s="3636"/>
      <c r="E4" s="3637" t="s">
        <v>2298</v>
      </c>
      <c r="F4" s="3638"/>
      <c r="G4" s="3635" t="s">
        <v>2299</v>
      </c>
      <c r="H4" s="3636"/>
      <c r="I4" s="3635" t="s">
        <v>2300</v>
      </c>
      <c r="J4" s="3636"/>
      <c r="K4" s="566" t="s">
        <v>2301</v>
      </c>
      <c r="L4" s="2910"/>
      <c r="M4" s="2911"/>
      <c r="N4" s="2911"/>
      <c r="O4" s="2911"/>
      <c r="P4" s="3639" t="s">
        <v>2302</v>
      </c>
      <c r="Q4" s="3640"/>
      <c r="R4" s="3645" t="s">
        <v>2298</v>
      </c>
      <c r="S4" s="3646"/>
      <c r="T4" s="3645" t="s">
        <v>2299</v>
      </c>
      <c r="U4" s="3646"/>
      <c r="V4" s="3630" t="s">
        <v>2300</v>
      </c>
      <c r="W4" s="3630"/>
      <c r="X4" s="3230"/>
      <c r="Y4" s="3645" t="s">
        <v>2302</v>
      </c>
      <c r="Z4" s="3646"/>
      <c r="AA4" s="3632" t="s">
        <v>2298</v>
      </c>
      <c r="AB4" s="3630" t="s">
        <v>2299</v>
      </c>
      <c r="AC4" s="3632" t="s">
        <v>2300</v>
      </c>
    </row>
    <row r="5" spans="1:29" ht="15">
      <c r="A5" s="363"/>
      <c r="B5" s="364"/>
      <c r="C5" s="3658" t="str">
        <f>'租金比较法-商业'!C5:D5</f>
        <v>首开龙湖北京熙悦天街</v>
      </c>
      <c r="D5" s="3659"/>
      <c r="E5" s="3653" t="s">
        <v>3512</v>
      </c>
      <c r="F5" s="3654"/>
      <c r="G5" s="3658" t="s">
        <v>3513</v>
      </c>
      <c r="H5" s="3659"/>
      <c r="I5" s="3658" t="s">
        <v>3511</v>
      </c>
      <c r="J5" s="3659"/>
      <c r="K5" s="566"/>
      <c r="L5" s="2910"/>
      <c r="M5" s="2911"/>
      <c r="N5" s="2911"/>
      <c r="O5" s="2911"/>
      <c r="P5" s="3641"/>
      <c r="Q5" s="3642"/>
      <c r="R5" s="3647"/>
      <c r="S5" s="3648"/>
      <c r="T5" s="3647"/>
      <c r="U5" s="3648"/>
      <c r="V5" s="3630"/>
      <c r="W5" s="3630"/>
      <c r="X5" s="3230"/>
      <c r="Y5" s="3647"/>
      <c r="Z5" s="3648"/>
      <c r="AA5" s="3633"/>
      <c r="AB5" s="3630"/>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3230"/>
      <c r="Y6" s="3649"/>
      <c r="Z6" s="3650"/>
      <c r="AA6" s="3634"/>
      <c r="AB6" s="3630"/>
      <c r="AC6" s="3634"/>
    </row>
    <row r="7" spans="1:29" s="113" customFormat="1" ht="15.75" thickBot="1">
      <c r="A7" s="367" t="s">
        <v>2309</v>
      </c>
      <c r="B7" s="368"/>
      <c r="C7" s="369">
        <f>'数据-取费表'!B2</f>
        <v>44762</v>
      </c>
      <c r="D7" s="370">
        <v>100</v>
      </c>
      <c r="E7" s="371">
        <f>C7</f>
        <v>44762</v>
      </c>
      <c r="F7" s="372">
        <f>SUMIF(58:58,YEAR(E7)&amp;"-"&amp;MONTH(E7),59:59)</f>
        <v>100</v>
      </c>
      <c r="G7" s="371">
        <f>C7</f>
        <v>44762</v>
      </c>
      <c r="H7" s="370">
        <f>SUMIF(58:58,YEAR(G7)&amp;"-"&amp;MONTH(G7),59:59)</f>
        <v>100</v>
      </c>
      <c r="I7" s="371">
        <f>C7</f>
        <v>44762</v>
      </c>
      <c r="J7" s="370">
        <f>SUMIF(58:58,YEAR(I7)&amp;"-"&amp;MONTH(I7),59:59)</f>
        <v>100</v>
      </c>
      <c r="K7" s="567"/>
      <c r="L7" s="2912"/>
      <c r="M7" s="2913"/>
      <c r="N7" s="2913"/>
      <c r="O7" s="2913"/>
      <c r="P7" s="3655" t="s">
        <v>2310</v>
      </c>
      <c r="Q7" s="3657"/>
      <c r="R7" s="708" t="s">
        <v>17</v>
      </c>
      <c r="S7" s="709">
        <f t="shared" ref="S7:S15" si="0">F7</f>
        <v>100</v>
      </c>
      <c r="T7" s="708" t="s">
        <v>17</v>
      </c>
      <c r="U7" s="709">
        <f t="shared" ref="U7:U15" si="1">H7</f>
        <v>100</v>
      </c>
      <c r="V7" s="708" t="s">
        <v>17</v>
      </c>
      <c r="W7" s="709">
        <f t="shared" ref="W7:W15" si="2">J7</f>
        <v>100</v>
      </c>
      <c r="X7" s="710"/>
      <c r="Y7" s="3655" t="s">
        <v>2310</v>
      </c>
      <c r="Z7" s="3656"/>
      <c r="AA7" s="711">
        <f>D7/F7</f>
        <v>1</v>
      </c>
      <c r="AB7" s="711">
        <f>D7/H7</f>
        <v>1</v>
      </c>
      <c r="AC7" s="711">
        <f>D7/J7</f>
        <v>1</v>
      </c>
    </row>
    <row r="8" spans="1:29" s="113" customFormat="1" ht="15.75" thickBot="1">
      <c r="A8" s="367" t="s">
        <v>2311</v>
      </c>
      <c r="B8" s="368"/>
      <c r="C8" s="373" t="s">
        <v>2348</v>
      </c>
      <c r="D8" s="370">
        <v>100</v>
      </c>
      <c r="E8" s="373" t="s">
        <v>3338</v>
      </c>
      <c r="F8" s="372">
        <f>SUMIF(61:61,E8,62:62)-SUMIF(61:61,C8,62:62)+100</f>
        <v>115</v>
      </c>
      <c r="G8" s="373" t="s">
        <v>3338</v>
      </c>
      <c r="H8" s="370">
        <f>SUMIF(61:61,G8,62:62)-SUMIF(61:61,C8,62:62)+100</f>
        <v>115</v>
      </c>
      <c r="I8" s="373" t="s">
        <v>3338</v>
      </c>
      <c r="J8" s="370">
        <f>SUMIF(61:61,I8,62:62)-SUMIF(61:61,C8,62:62)+100</f>
        <v>115</v>
      </c>
      <c r="K8" s="567"/>
      <c r="L8" s="2912"/>
      <c r="M8" s="2913"/>
      <c r="N8" s="2913"/>
      <c r="O8" s="2913"/>
      <c r="P8" s="3655" t="s">
        <v>2313</v>
      </c>
      <c r="Q8" s="3656"/>
      <c r="R8" s="708" t="s">
        <v>17</v>
      </c>
      <c r="S8" s="709">
        <f t="shared" si="0"/>
        <v>115</v>
      </c>
      <c r="T8" s="708" t="s">
        <v>17</v>
      </c>
      <c r="U8" s="709">
        <f t="shared" si="1"/>
        <v>115</v>
      </c>
      <c r="V8" s="708" t="s">
        <v>17</v>
      </c>
      <c r="W8" s="709">
        <f t="shared" si="2"/>
        <v>115</v>
      </c>
      <c r="X8" s="710"/>
      <c r="Y8" s="3655" t="s">
        <v>2313</v>
      </c>
      <c r="Z8" s="3656"/>
      <c r="AA8" s="711">
        <f t="shared" ref="AA8:AA46" si="3">D8/F8</f>
        <v>0.86956521739130432</v>
      </c>
      <c r="AB8" s="711">
        <f t="shared" ref="AB8:AB46" si="4">D8/H8</f>
        <v>0.86956521739130432</v>
      </c>
      <c r="AC8" s="711">
        <f t="shared" ref="AC8:AC46" si="5">D8/J8</f>
        <v>0.86956521739130432</v>
      </c>
    </row>
    <row r="9" spans="1:29" s="113" customFormat="1">
      <c r="A9" s="374" t="s">
        <v>2314</v>
      </c>
      <c r="B9" s="67" t="s">
        <v>2315</v>
      </c>
      <c r="C9" s="3215" t="s">
        <v>3340</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31" t="s">
        <v>2316</v>
      </c>
      <c r="Q9" s="3229" t="str">
        <f t="shared" ref="Q9:Q15" si="6">B9</f>
        <v>用途</v>
      </c>
      <c r="R9" s="708" t="s">
        <v>17</v>
      </c>
      <c r="S9" s="709">
        <f t="shared" si="0"/>
        <v>100</v>
      </c>
      <c r="T9" s="708" t="s">
        <v>17</v>
      </c>
      <c r="U9" s="709">
        <f t="shared" si="1"/>
        <v>100</v>
      </c>
      <c r="V9" s="708" t="s">
        <v>17</v>
      </c>
      <c r="W9" s="709">
        <f t="shared" si="2"/>
        <v>100</v>
      </c>
      <c r="X9" s="710"/>
      <c r="Y9" s="3520" t="s">
        <v>2317</v>
      </c>
      <c r="Z9" s="3228"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2</v>
      </c>
      <c r="L10" s="2914"/>
      <c r="M10" s="2915"/>
      <c r="N10" s="2915"/>
      <c r="O10" s="2915"/>
      <c r="P10" s="3631"/>
      <c r="Q10" s="3229" t="str">
        <f t="shared" si="6"/>
        <v>土地使用年限（年）</v>
      </c>
      <c r="R10" s="708" t="s">
        <v>17</v>
      </c>
      <c r="S10" s="709">
        <f t="shared" si="0"/>
        <v>100</v>
      </c>
      <c r="T10" s="708" t="s">
        <v>17</v>
      </c>
      <c r="U10" s="709">
        <f t="shared" si="1"/>
        <v>100</v>
      </c>
      <c r="V10" s="708" t="s">
        <v>17</v>
      </c>
      <c r="W10" s="709">
        <f t="shared" si="2"/>
        <v>100</v>
      </c>
      <c r="X10" s="710"/>
      <c r="Y10" s="3520"/>
      <c r="Z10" s="3228"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31"/>
      <c r="Q11" s="3229" t="str">
        <f t="shared" si="6"/>
        <v>容积率</v>
      </c>
      <c r="R11" s="708" t="s">
        <v>17</v>
      </c>
      <c r="S11" s="709">
        <f t="shared" si="0"/>
        <v>100</v>
      </c>
      <c r="T11" s="708" t="s">
        <v>17</v>
      </c>
      <c r="U11" s="709">
        <f t="shared" si="1"/>
        <v>100</v>
      </c>
      <c r="V11" s="708" t="s">
        <v>17</v>
      </c>
      <c r="W11" s="709">
        <f t="shared" si="2"/>
        <v>100</v>
      </c>
      <c r="X11" s="710"/>
      <c r="Y11" s="3520"/>
      <c r="Z11" s="3228"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31"/>
      <c r="Q12" s="3229">
        <f t="shared" si="6"/>
        <v>111</v>
      </c>
      <c r="R12" s="708" t="s">
        <v>17</v>
      </c>
      <c r="S12" s="709">
        <f t="shared" si="0"/>
        <v>100</v>
      </c>
      <c r="T12" s="708" t="s">
        <v>17</v>
      </c>
      <c r="U12" s="709">
        <f t="shared" si="1"/>
        <v>100</v>
      </c>
      <c r="V12" s="708" t="s">
        <v>17</v>
      </c>
      <c r="W12" s="709">
        <f t="shared" si="2"/>
        <v>100</v>
      </c>
      <c r="X12" s="710"/>
      <c r="Y12" s="3520"/>
      <c r="Z12" s="3228">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31"/>
      <c r="Q13" s="3229">
        <f t="shared" si="6"/>
        <v>111</v>
      </c>
      <c r="R13" s="708" t="s">
        <v>17</v>
      </c>
      <c r="S13" s="709">
        <f t="shared" si="0"/>
        <v>100</v>
      </c>
      <c r="T13" s="708" t="s">
        <v>17</v>
      </c>
      <c r="U13" s="709">
        <f t="shared" si="1"/>
        <v>100</v>
      </c>
      <c r="V13" s="708" t="s">
        <v>17</v>
      </c>
      <c r="W13" s="709">
        <f t="shared" si="2"/>
        <v>100</v>
      </c>
      <c r="X13" s="710"/>
      <c r="Y13" s="3520"/>
      <c r="Z13" s="3228">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31"/>
      <c r="Q14" s="3229">
        <f t="shared" si="6"/>
        <v>111</v>
      </c>
      <c r="R14" s="708" t="s">
        <v>17</v>
      </c>
      <c r="S14" s="709">
        <f t="shared" si="0"/>
        <v>100</v>
      </c>
      <c r="T14" s="708" t="s">
        <v>17</v>
      </c>
      <c r="U14" s="709">
        <f t="shared" si="1"/>
        <v>100</v>
      </c>
      <c r="V14" s="708" t="s">
        <v>17</v>
      </c>
      <c r="W14" s="709">
        <f t="shared" si="2"/>
        <v>100</v>
      </c>
      <c r="X14" s="710"/>
      <c r="Y14" s="3520"/>
      <c r="Z14" s="3228">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21" t="s">
        <v>2321</v>
      </c>
      <c r="Q15" s="3231" t="str">
        <f t="shared" si="6"/>
        <v>商业繁华度</v>
      </c>
      <c r="R15" s="712" t="s">
        <v>17</v>
      </c>
      <c r="S15" s="713">
        <f t="shared" si="0"/>
        <v>100</v>
      </c>
      <c r="T15" s="712" t="s">
        <v>17</v>
      </c>
      <c r="U15" s="713">
        <f t="shared" si="1"/>
        <v>100</v>
      </c>
      <c r="V15" s="712" t="s">
        <v>17</v>
      </c>
      <c r="W15" s="713">
        <f t="shared" si="2"/>
        <v>100</v>
      </c>
      <c r="X15" s="3230"/>
      <c r="Y15" s="3623" t="s">
        <v>2321</v>
      </c>
      <c r="Z15" s="3232" t="str">
        <f t="shared" si="7"/>
        <v>商业繁华度</v>
      </c>
      <c r="AA15" s="3233">
        <f t="shared" si="3"/>
        <v>1</v>
      </c>
      <c r="AB15" s="3233">
        <f t="shared" si="4"/>
        <v>1</v>
      </c>
      <c r="AC15" s="3233">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22"/>
      <c r="Q16" s="3231"/>
      <c r="R16" s="712"/>
      <c r="S16" s="713"/>
      <c r="T16" s="712"/>
      <c r="U16" s="713"/>
      <c r="V16" s="712"/>
      <c r="W16" s="713"/>
      <c r="X16" s="3230"/>
      <c r="Y16" s="3624"/>
      <c r="Z16" s="3232"/>
      <c r="AA16" s="3233">
        <v>1</v>
      </c>
      <c r="AB16" s="3233">
        <v>1</v>
      </c>
      <c r="AC16" s="3233">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22"/>
      <c r="Q17" s="3231" t="str">
        <f>B17</f>
        <v>交通便捷度</v>
      </c>
      <c r="R17" s="712" t="s">
        <v>17</v>
      </c>
      <c r="S17" s="713">
        <f>F17</f>
        <v>100</v>
      </c>
      <c r="T17" s="712" t="s">
        <v>17</v>
      </c>
      <c r="U17" s="713">
        <f>H17</f>
        <v>100</v>
      </c>
      <c r="V17" s="712" t="s">
        <v>17</v>
      </c>
      <c r="W17" s="713">
        <f>J17</f>
        <v>100</v>
      </c>
      <c r="X17" s="3230"/>
      <c r="Y17" s="3624"/>
      <c r="Z17" s="3232" t="str">
        <f>Q17</f>
        <v>交通便捷度</v>
      </c>
      <c r="AA17" s="3233">
        <f t="shared" si="3"/>
        <v>1</v>
      </c>
      <c r="AB17" s="3233">
        <f t="shared" si="4"/>
        <v>1</v>
      </c>
      <c r="AC17" s="3233">
        <f t="shared" si="5"/>
        <v>1</v>
      </c>
    </row>
    <row r="18" spans="1:29" ht="15">
      <c r="A18" s="386"/>
      <c r="B18" s="414"/>
      <c r="C18" s="2053" t="s">
        <v>3154</v>
      </c>
      <c r="D18" s="408"/>
      <c r="E18" s="2053" t="s">
        <v>3154</v>
      </c>
      <c r="F18" s="411"/>
      <c r="G18" s="2053" t="s">
        <v>3154</v>
      </c>
      <c r="H18" s="406"/>
      <c r="I18" s="2053" t="s">
        <v>3154</v>
      </c>
      <c r="J18" s="406"/>
      <c r="K18" s="571"/>
      <c r="L18" s="2917"/>
      <c r="M18" s="2911"/>
      <c r="N18" s="2911"/>
      <c r="O18" s="2911"/>
      <c r="P18" s="3622"/>
      <c r="Q18" s="3231"/>
      <c r="R18" s="712"/>
      <c r="S18" s="713"/>
      <c r="T18" s="712"/>
      <c r="U18" s="713"/>
      <c r="V18" s="712"/>
      <c r="W18" s="713"/>
      <c r="X18" s="3230"/>
      <c r="Y18" s="3624"/>
      <c r="Z18" s="3232"/>
      <c r="AA18" s="3233">
        <v>1</v>
      </c>
      <c r="AB18" s="3233">
        <v>1</v>
      </c>
      <c r="AC18" s="3233">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22"/>
      <c r="Q19" s="3231" t="str">
        <f>B19</f>
        <v>公共配套设施</v>
      </c>
      <c r="R19" s="712" t="s">
        <v>17</v>
      </c>
      <c r="S19" s="713">
        <f>F19</f>
        <v>100</v>
      </c>
      <c r="T19" s="712" t="s">
        <v>17</v>
      </c>
      <c r="U19" s="713">
        <f>H19</f>
        <v>100</v>
      </c>
      <c r="V19" s="712" t="s">
        <v>17</v>
      </c>
      <c r="W19" s="713">
        <f>J19</f>
        <v>100</v>
      </c>
      <c r="X19" s="3230"/>
      <c r="Y19" s="3624"/>
      <c r="Z19" s="3232" t="str">
        <f>Q19</f>
        <v>公共配套设施</v>
      </c>
      <c r="AA19" s="3233">
        <f t="shared" si="3"/>
        <v>1</v>
      </c>
      <c r="AB19" s="3233">
        <f t="shared" si="4"/>
        <v>1</v>
      </c>
      <c r="AC19" s="3233">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22"/>
      <c r="Q20" s="3231"/>
      <c r="R20" s="712"/>
      <c r="S20" s="713"/>
      <c r="T20" s="712"/>
      <c r="U20" s="713"/>
      <c r="V20" s="712"/>
      <c r="W20" s="713"/>
      <c r="X20" s="3230"/>
      <c r="Y20" s="3624"/>
      <c r="Z20" s="3232"/>
      <c r="AA20" s="3233">
        <v>1</v>
      </c>
      <c r="AB20" s="3233">
        <v>1</v>
      </c>
      <c r="AC20" s="3233">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22"/>
      <c r="Q21" s="3231" t="str">
        <f>B21</f>
        <v>基础设施水平</v>
      </c>
      <c r="R21" s="712" t="s">
        <v>17</v>
      </c>
      <c r="S21" s="713">
        <f>F21</f>
        <v>100</v>
      </c>
      <c r="T21" s="712" t="s">
        <v>17</v>
      </c>
      <c r="U21" s="713">
        <f>H21</f>
        <v>100</v>
      </c>
      <c r="V21" s="712" t="s">
        <v>17</v>
      </c>
      <c r="W21" s="713">
        <f>J21</f>
        <v>100</v>
      </c>
      <c r="X21" s="3230"/>
      <c r="Y21" s="3624"/>
      <c r="Z21" s="3232" t="str">
        <f>Q21</f>
        <v>基础设施水平</v>
      </c>
      <c r="AA21" s="3233">
        <f t="shared" ref="AA21" si="8">D21/F21</f>
        <v>1</v>
      </c>
      <c r="AB21" s="3233">
        <f t="shared" ref="AB21" si="9">D21/H21</f>
        <v>1</v>
      </c>
      <c r="AC21" s="3233">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22"/>
      <c r="Q22" s="3231"/>
      <c r="R22" s="712"/>
      <c r="S22" s="713"/>
      <c r="T22" s="712"/>
      <c r="U22" s="713"/>
      <c r="V22" s="712"/>
      <c r="W22" s="713"/>
      <c r="X22" s="3230"/>
      <c r="Y22" s="3624"/>
      <c r="Z22" s="3232"/>
      <c r="AA22" s="3233">
        <v>1</v>
      </c>
      <c r="AB22" s="3233">
        <v>1</v>
      </c>
      <c r="AC22" s="3233">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22"/>
      <c r="Q23" s="3231" t="str">
        <f>B23</f>
        <v>自然及人文环境</v>
      </c>
      <c r="R23" s="712" t="s">
        <v>17</v>
      </c>
      <c r="S23" s="713">
        <f>F23</f>
        <v>100</v>
      </c>
      <c r="T23" s="712" t="s">
        <v>17</v>
      </c>
      <c r="U23" s="713">
        <f>H23</f>
        <v>100</v>
      </c>
      <c r="V23" s="712" t="s">
        <v>17</v>
      </c>
      <c r="W23" s="713">
        <f>J23</f>
        <v>100</v>
      </c>
      <c r="X23" s="3230"/>
      <c r="Y23" s="3624"/>
      <c r="Z23" s="3232" t="str">
        <f>Q23</f>
        <v>自然及人文环境</v>
      </c>
      <c r="AA23" s="3233">
        <f t="shared" si="3"/>
        <v>1</v>
      </c>
      <c r="AB23" s="3233">
        <f t="shared" si="4"/>
        <v>1</v>
      </c>
      <c r="AC23" s="3233">
        <f t="shared" si="5"/>
        <v>1</v>
      </c>
    </row>
    <row r="24" spans="1:29" ht="15">
      <c r="A24" s="386"/>
      <c r="B24" s="414"/>
      <c r="C24" s="405" t="s">
        <v>3190</v>
      </c>
      <c r="D24" s="406"/>
      <c r="E24" s="405" t="s">
        <v>3190</v>
      </c>
      <c r="F24" s="407"/>
      <c r="G24" s="405" t="s">
        <v>3190</v>
      </c>
      <c r="H24" s="406"/>
      <c r="I24" s="405" t="s">
        <v>3190</v>
      </c>
      <c r="J24" s="406"/>
      <c r="K24" s="571"/>
      <c r="L24" s="2917"/>
      <c r="M24" s="2911"/>
      <c r="N24" s="2911"/>
      <c r="O24" s="2911"/>
      <c r="P24" s="3622"/>
      <c r="Q24" s="3231"/>
      <c r="R24" s="712"/>
      <c r="S24" s="713"/>
      <c r="T24" s="712"/>
      <c r="U24" s="713"/>
      <c r="V24" s="712"/>
      <c r="W24" s="713"/>
      <c r="X24" s="3230"/>
      <c r="Y24" s="3624"/>
      <c r="Z24" s="3232"/>
      <c r="AA24" s="3233">
        <v>1</v>
      </c>
      <c r="AB24" s="3233">
        <v>1</v>
      </c>
      <c r="AC24" s="3233">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22"/>
      <c r="Q25" s="3231" t="str">
        <f t="shared" ref="Q25:Q46" si="11">B25</f>
        <v>临街状况</v>
      </c>
      <c r="R25" s="712" t="s">
        <v>17</v>
      </c>
      <c r="S25" s="713">
        <f>F25</f>
        <v>100</v>
      </c>
      <c r="T25" s="712" t="s">
        <v>17</v>
      </c>
      <c r="U25" s="713">
        <f>H25</f>
        <v>100</v>
      </c>
      <c r="V25" s="712" t="s">
        <v>17</v>
      </c>
      <c r="W25" s="713">
        <f>J25</f>
        <v>100</v>
      </c>
      <c r="X25" s="3230"/>
      <c r="Y25" s="3624"/>
      <c r="Z25" s="3232" t="str">
        <f>Q25</f>
        <v>临街状况</v>
      </c>
      <c r="AA25" s="3233">
        <f t="shared" si="3"/>
        <v>1</v>
      </c>
      <c r="AB25" s="3233">
        <f t="shared" si="4"/>
        <v>1</v>
      </c>
      <c r="AC25" s="3233">
        <f t="shared" si="5"/>
        <v>1</v>
      </c>
    </row>
    <row r="26" spans="1:29" ht="15">
      <c r="A26" s="386"/>
      <c r="B26" s="1264" t="s">
        <v>2418</v>
      </c>
      <c r="C26" s="3299" t="s">
        <v>3344</v>
      </c>
      <c r="D26" s="393">
        <v>100</v>
      </c>
      <c r="E26" s="3299" t="s">
        <v>3344</v>
      </c>
      <c r="F26" s="419">
        <f>SUMIF(88:88,E26,89:89)-SUMIF(88:88,C26,89:89)+100</f>
        <v>100</v>
      </c>
      <c r="G26" s="3299" t="s">
        <v>3344</v>
      </c>
      <c r="H26" s="393">
        <f>SUMIF(88:88,G26,89:89)-SUMIF(88:88,C26,89:89)+100</f>
        <v>100</v>
      </c>
      <c r="I26" s="3299" t="s">
        <v>3344</v>
      </c>
      <c r="J26" s="393">
        <f>SUMIF(88:88,I26,89:89)-SUMIF(88:88,C26,89:89)+100</f>
        <v>100</v>
      </c>
      <c r="K26" s="569"/>
      <c r="L26" s="2917"/>
      <c r="M26" s="2911"/>
      <c r="N26" s="2911"/>
      <c r="O26" s="2911"/>
      <c r="P26" s="3622"/>
      <c r="Q26" s="3231" t="str">
        <f t="shared" si="11"/>
        <v>平面位置/可视性</v>
      </c>
      <c r="R26" s="712" t="s">
        <v>17</v>
      </c>
      <c r="S26" s="713">
        <f>F26</f>
        <v>100</v>
      </c>
      <c r="T26" s="712" t="s">
        <v>17</v>
      </c>
      <c r="U26" s="713">
        <f>H26</f>
        <v>100</v>
      </c>
      <c r="V26" s="712" t="s">
        <v>17</v>
      </c>
      <c r="W26" s="713">
        <f>J26</f>
        <v>100</v>
      </c>
      <c r="X26" s="3230"/>
      <c r="Y26" s="3624"/>
      <c r="Z26" s="3232" t="str">
        <f>Q26</f>
        <v>平面位置/可视性</v>
      </c>
      <c r="AA26" s="3233">
        <f t="shared" si="3"/>
        <v>1</v>
      </c>
      <c r="AB26" s="3233">
        <f t="shared" si="4"/>
        <v>1</v>
      </c>
      <c r="AC26" s="3233">
        <f t="shared" si="5"/>
        <v>1</v>
      </c>
    </row>
    <row r="27" spans="1:29" s="113" customFormat="1" ht="15">
      <c r="A27" s="389"/>
      <c r="B27" s="409" t="s">
        <v>2419</v>
      </c>
      <c r="C27" s="2108" t="s">
        <v>3190</v>
      </c>
      <c r="D27" s="420">
        <v>100</v>
      </c>
      <c r="E27" s="2108" t="s">
        <v>3190</v>
      </c>
      <c r="F27" s="422">
        <f>SUMIF(90:90,E27,91:91)-SUMIF(90:90,C27,91:91)+100</f>
        <v>100</v>
      </c>
      <c r="G27" s="2108" t="s">
        <v>3190</v>
      </c>
      <c r="H27" s="420">
        <f>SUMIF(90:90,G27,91:91)-SUMIF(90:90,C27,91:91)+100</f>
        <v>100</v>
      </c>
      <c r="I27" s="2108" t="s">
        <v>3190</v>
      </c>
      <c r="J27" s="420">
        <f>SUMIF(90:90,I27,91:91)-SUMIF(90:90,C27,91:91)+100</f>
        <v>100</v>
      </c>
      <c r="K27" s="568">
        <v>2</v>
      </c>
      <c r="L27" s="2912"/>
      <c r="M27" s="2913"/>
      <c r="N27" s="2913"/>
      <c r="O27" s="2913"/>
      <c r="P27" s="3622"/>
      <c r="Q27" s="3229" t="str">
        <f t="shared" si="11"/>
        <v>人流量</v>
      </c>
      <c r="R27" s="708" t="s">
        <v>17</v>
      </c>
      <c r="S27" s="709">
        <f>F27</f>
        <v>100</v>
      </c>
      <c r="T27" s="708" t="s">
        <v>17</v>
      </c>
      <c r="U27" s="709">
        <f>H27</f>
        <v>100</v>
      </c>
      <c r="V27" s="708" t="s">
        <v>17</v>
      </c>
      <c r="W27" s="709">
        <f>J27</f>
        <v>100</v>
      </c>
      <c r="X27" s="710"/>
      <c r="Y27" s="3624"/>
      <c r="Z27" s="3228" t="str">
        <f>Q27</f>
        <v>人流量</v>
      </c>
      <c r="AA27" s="3233">
        <f>D27/F27</f>
        <v>1</v>
      </c>
      <c r="AB27" s="3233">
        <f>D27/H27</f>
        <v>1</v>
      </c>
      <c r="AC27" s="3233">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22"/>
      <c r="Q28" s="3231" t="str">
        <f t="shared" si="11"/>
        <v>楼层</v>
      </c>
      <c r="R28" s="712" t="s">
        <v>17</v>
      </c>
      <c r="S28" s="713">
        <f t="shared" ref="S28:S46" si="12">F28</f>
        <v>100</v>
      </c>
      <c r="T28" s="712" t="s">
        <v>17</v>
      </c>
      <c r="U28" s="713">
        <f t="shared" ref="U28:U46" si="13">H28</f>
        <v>100</v>
      </c>
      <c r="V28" s="712" t="s">
        <v>17</v>
      </c>
      <c r="W28" s="713">
        <f t="shared" ref="W28:W46" si="14">J28</f>
        <v>100</v>
      </c>
      <c r="X28" s="3230"/>
      <c r="Y28" s="3624"/>
      <c r="Z28" s="3232" t="str">
        <f t="shared" ref="Z28:Z46" si="15">Q28</f>
        <v>楼层</v>
      </c>
      <c r="AA28" s="3233">
        <f t="shared" si="3"/>
        <v>1</v>
      </c>
      <c r="AB28" s="3233">
        <f t="shared" si="4"/>
        <v>1</v>
      </c>
      <c r="AC28" s="3233">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22"/>
      <c r="Q29" s="3231">
        <f t="shared" si="11"/>
        <v>111</v>
      </c>
      <c r="R29" s="712" t="s">
        <v>17</v>
      </c>
      <c r="S29" s="713">
        <f t="shared" si="12"/>
        <v>100</v>
      </c>
      <c r="T29" s="712" t="s">
        <v>17</v>
      </c>
      <c r="U29" s="713">
        <f t="shared" si="13"/>
        <v>100</v>
      </c>
      <c r="V29" s="712" t="s">
        <v>17</v>
      </c>
      <c r="W29" s="713">
        <f t="shared" si="14"/>
        <v>100</v>
      </c>
      <c r="X29" s="3230"/>
      <c r="Y29" s="3624"/>
      <c r="Z29" s="3232">
        <f t="shared" si="15"/>
        <v>111</v>
      </c>
      <c r="AA29" s="3233">
        <f t="shared" si="3"/>
        <v>1</v>
      </c>
      <c r="AB29" s="3233">
        <f t="shared" si="4"/>
        <v>1</v>
      </c>
      <c r="AC29" s="3233">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22"/>
      <c r="Q30" s="3231">
        <f t="shared" si="11"/>
        <v>111</v>
      </c>
      <c r="R30" s="712" t="s">
        <v>17</v>
      </c>
      <c r="S30" s="713">
        <f t="shared" si="12"/>
        <v>100</v>
      </c>
      <c r="T30" s="712" t="s">
        <v>17</v>
      </c>
      <c r="U30" s="713">
        <f t="shared" si="13"/>
        <v>100</v>
      </c>
      <c r="V30" s="712" t="s">
        <v>17</v>
      </c>
      <c r="W30" s="713">
        <f t="shared" si="14"/>
        <v>100</v>
      </c>
      <c r="X30" s="3230"/>
      <c r="Y30" s="3624"/>
      <c r="Z30" s="3232">
        <f t="shared" si="15"/>
        <v>111</v>
      </c>
      <c r="AA30" s="3233">
        <f t="shared" si="3"/>
        <v>1</v>
      </c>
      <c r="AB30" s="3233">
        <f t="shared" si="4"/>
        <v>1</v>
      </c>
      <c r="AC30" s="3233">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22"/>
      <c r="Q31" s="3231">
        <f t="shared" si="11"/>
        <v>111</v>
      </c>
      <c r="R31" s="712" t="s">
        <v>17</v>
      </c>
      <c r="S31" s="713">
        <f t="shared" si="12"/>
        <v>100</v>
      </c>
      <c r="T31" s="712" t="s">
        <v>17</v>
      </c>
      <c r="U31" s="713">
        <f t="shared" si="13"/>
        <v>100</v>
      </c>
      <c r="V31" s="712" t="s">
        <v>17</v>
      </c>
      <c r="W31" s="713">
        <f t="shared" si="14"/>
        <v>100</v>
      </c>
      <c r="X31" s="3230"/>
      <c r="Y31" s="3624"/>
      <c r="Z31" s="3232">
        <f t="shared" si="15"/>
        <v>111</v>
      </c>
      <c r="AA31" s="3233">
        <f t="shared" si="3"/>
        <v>1</v>
      </c>
      <c r="AB31" s="3233">
        <f t="shared" si="4"/>
        <v>1</v>
      </c>
      <c r="AC31" s="3233">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25" t="s">
        <v>2326</v>
      </c>
      <c r="Q32" s="3231" t="str">
        <f t="shared" si="11"/>
        <v>商业类型</v>
      </c>
      <c r="R32" s="712" t="s">
        <v>17</v>
      </c>
      <c r="S32" s="713">
        <f t="shared" si="12"/>
        <v>98</v>
      </c>
      <c r="T32" s="712" t="s">
        <v>17</v>
      </c>
      <c r="U32" s="713">
        <f t="shared" si="13"/>
        <v>98</v>
      </c>
      <c r="V32" s="712" t="s">
        <v>17</v>
      </c>
      <c r="W32" s="713">
        <f t="shared" si="14"/>
        <v>100</v>
      </c>
      <c r="X32" s="3230"/>
      <c r="Y32" s="3628" t="s">
        <v>2326</v>
      </c>
      <c r="Z32" s="3232" t="str">
        <f t="shared" si="15"/>
        <v>商业类型</v>
      </c>
      <c r="AA32" s="3233">
        <f t="shared" si="3"/>
        <v>1.0204081632653061</v>
      </c>
      <c r="AB32" s="3233">
        <f t="shared" si="4"/>
        <v>1.0204081632653061</v>
      </c>
      <c r="AC32" s="3233">
        <f t="shared" si="5"/>
        <v>1</v>
      </c>
    </row>
    <row r="33" spans="1:29" s="429" customFormat="1" ht="15">
      <c r="A33" s="426"/>
      <c r="B33" s="380" t="s">
        <v>2327</v>
      </c>
      <c r="C33" s="427">
        <f>收益法倒推租金!I3</f>
        <v>683.55</v>
      </c>
      <c r="D33" s="132">
        <v>100</v>
      </c>
      <c r="E33" s="388">
        <v>163</v>
      </c>
      <c r="F33" s="383">
        <f>LOOKUP(E33,103:103,104:104)-LOOKUP(C33,103:103,104:104)+100</f>
        <v>106</v>
      </c>
      <c r="G33" s="387">
        <v>200</v>
      </c>
      <c r="H33" s="132">
        <f>LOOKUP(G33,103:103,104:104)-LOOKUP(C33,103:103,104:104)+100</f>
        <v>104</v>
      </c>
      <c r="I33" s="387">
        <v>149.12</v>
      </c>
      <c r="J33" s="132">
        <f>LOOKUP(I33,103:103,104:104)-LOOKUP(C33,103:103,104:104)+100</f>
        <v>106</v>
      </c>
      <c r="K33" s="569"/>
      <c r="L33" s="2916"/>
      <c r="M33" s="2918"/>
      <c r="N33" s="2918"/>
      <c r="O33" s="2918"/>
      <c r="P33" s="3626"/>
      <c r="Q33" s="714" t="str">
        <f t="shared" si="11"/>
        <v>项目建筑规模</v>
      </c>
      <c r="R33" s="715" t="s">
        <v>17</v>
      </c>
      <c r="S33" s="716">
        <f t="shared" si="12"/>
        <v>106</v>
      </c>
      <c r="T33" s="715" t="s">
        <v>17</v>
      </c>
      <c r="U33" s="716">
        <f t="shared" si="13"/>
        <v>104</v>
      </c>
      <c r="V33" s="715" t="s">
        <v>17</v>
      </c>
      <c r="W33" s="716">
        <f t="shared" si="14"/>
        <v>106</v>
      </c>
      <c r="X33" s="717"/>
      <c r="Y33" s="3628"/>
      <c r="Z33" s="718" t="str">
        <f t="shared" si="15"/>
        <v>项目建筑规模</v>
      </c>
      <c r="AA33" s="3233">
        <f t="shared" si="3"/>
        <v>0.94339622641509435</v>
      </c>
      <c r="AB33" s="3233">
        <f t="shared" si="4"/>
        <v>0.96153846153846156</v>
      </c>
      <c r="AC33" s="3233">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26"/>
      <c r="Q34" s="3231" t="str">
        <f t="shared" si="11"/>
        <v>建筑结构</v>
      </c>
      <c r="R34" s="712" t="s">
        <v>17</v>
      </c>
      <c r="S34" s="713">
        <f t="shared" si="12"/>
        <v>100</v>
      </c>
      <c r="T34" s="712" t="s">
        <v>17</v>
      </c>
      <c r="U34" s="713">
        <f t="shared" si="13"/>
        <v>100</v>
      </c>
      <c r="V34" s="712" t="s">
        <v>17</v>
      </c>
      <c r="W34" s="713">
        <f t="shared" si="14"/>
        <v>100</v>
      </c>
      <c r="X34" s="3230"/>
      <c r="Y34" s="3628"/>
      <c r="Z34" s="3232" t="str">
        <f t="shared" si="15"/>
        <v>建筑结构</v>
      </c>
      <c r="AA34" s="3233">
        <f t="shared" si="3"/>
        <v>1</v>
      </c>
      <c r="AB34" s="3233">
        <f t="shared" si="4"/>
        <v>1</v>
      </c>
      <c r="AC34" s="3233">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26"/>
      <c r="Q35" s="3231" t="str">
        <f t="shared" si="11"/>
        <v>公共部分装修</v>
      </c>
      <c r="R35" s="712" t="s">
        <v>17</v>
      </c>
      <c r="S35" s="713">
        <f t="shared" si="12"/>
        <v>100</v>
      </c>
      <c r="T35" s="712" t="s">
        <v>17</v>
      </c>
      <c r="U35" s="713">
        <f t="shared" si="13"/>
        <v>100</v>
      </c>
      <c r="V35" s="712" t="s">
        <v>17</v>
      </c>
      <c r="W35" s="713">
        <f t="shared" si="14"/>
        <v>100</v>
      </c>
      <c r="X35" s="3230"/>
      <c r="Y35" s="3628"/>
      <c r="Z35" s="3232" t="str">
        <f t="shared" si="15"/>
        <v>公共部分装修</v>
      </c>
      <c r="AA35" s="3233">
        <f t="shared" si="3"/>
        <v>1</v>
      </c>
      <c r="AB35" s="3233">
        <f t="shared" si="4"/>
        <v>1</v>
      </c>
      <c r="AC35" s="3233">
        <f t="shared" si="5"/>
        <v>1</v>
      </c>
    </row>
    <row r="36" spans="1:29" ht="15">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v>1</v>
      </c>
      <c r="L36" s="2917"/>
      <c r="M36" s="2911"/>
      <c r="N36" s="2911"/>
      <c r="O36" s="2911"/>
      <c r="P36" s="3626"/>
      <c r="Q36" s="3231" t="str">
        <f t="shared" si="11"/>
        <v>成新度</v>
      </c>
      <c r="R36" s="712" t="s">
        <v>17</v>
      </c>
      <c r="S36" s="713">
        <f t="shared" si="12"/>
        <v>100</v>
      </c>
      <c r="T36" s="712" t="s">
        <v>17</v>
      </c>
      <c r="U36" s="713">
        <f t="shared" si="13"/>
        <v>100</v>
      </c>
      <c r="V36" s="712" t="s">
        <v>17</v>
      </c>
      <c r="W36" s="713">
        <f t="shared" si="14"/>
        <v>100</v>
      </c>
      <c r="X36" s="3230"/>
      <c r="Y36" s="3628"/>
      <c r="Z36" s="3232" t="str">
        <f t="shared" si="15"/>
        <v>成新度</v>
      </c>
      <c r="AA36" s="3233">
        <f t="shared" si="3"/>
        <v>1</v>
      </c>
      <c r="AB36" s="3233">
        <f t="shared" si="4"/>
        <v>1</v>
      </c>
      <c r="AC36" s="3233">
        <f t="shared" si="5"/>
        <v>1</v>
      </c>
    </row>
    <row r="37" spans="1:29" s="113" customFormat="1" ht="15">
      <c r="A37" s="431"/>
      <c r="B37" s="380" t="s">
        <v>2424</v>
      </c>
      <c r="C37" s="2058"/>
      <c r="D37" s="132">
        <v>100</v>
      </c>
      <c r="E37" s="2058"/>
      <c r="F37" s="419">
        <f>SUMIF(112:112,E37,113:113)-SUMIF(112:112,C37,113:113)+100</f>
        <v>100</v>
      </c>
      <c r="G37" s="2058"/>
      <c r="H37" s="393">
        <f>SUMIF(112:112,G37,113:113)-SUMIF(112:112,C37,113:113)+100</f>
        <v>100</v>
      </c>
      <c r="I37" s="2058"/>
      <c r="J37" s="393">
        <f>SUMIF(112:112,I37,113:113)-SUMIF(112:112,C37,113:113)+100</f>
        <v>100</v>
      </c>
      <c r="K37" s="568"/>
      <c r="L37" s="2912"/>
      <c r="M37" s="2913"/>
      <c r="N37" s="2913"/>
      <c r="O37" s="2913"/>
      <c r="P37" s="3626"/>
      <c r="Q37" s="3229" t="str">
        <f t="shared" si="11"/>
        <v>市政基础设施</v>
      </c>
      <c r="R37" s="708" t="s">
        <v>17</v>
      </c>
      <c r="S37" s="709">
        <f t="shared" si="12"/>
        <v>100</v>
      </c>
      <c r="T37" s="708" t="s">
        <v>17</v>
      </c>
      <c r="U37" s="709">
        <f t="shared" si="13"/>
        <v>100</v>
      </c>
      <c r="V37" s="708" t="s">
        <v>17</v>
      </c>
      <c r="W37" s="709">
        <f t="shared" si="14"/>
        <v>100</v>
      </c>
      <c r="X37" s="710"/>
      <c r="Y37" s="3628"/>
      <c r="Z37" s="3228"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26" t="s">
        <v>2326</v>
      </c>
      <c r="Q38" s="3231" t="str">
        <f t="shared" si="11"/>
        <v>业态</v>
      </c>
      <c r="R38" s="712" t="s">
        <v>17</v>
      </c>
      <c r="S38" s="713">
        <f t="shared" si="12"/>
        <v>100</v>
      </c>
      <c r="T38" s="712" t="s">
        <v>17</v>
      </c>
      <c r="U38" s="713">
        <f t="shared" si="13"/>
        <v>100</v>
      </c>
      <c r="V38" s="712" t="s">
        <v>17</v>
      </c>
      <c r="W38" s="713">
        <f t="shared" si="14"/>
        <v>100</v>
      </c>
      <c r="X38" s="3230"/>
      <c r="Y38" s="3628" t="s">
        <v>2326</v>
      </c>
      <c r="Z38" s="3232" t="str">
        <f t="shared" si="15"/>
        <v>业态</v>
      </c>
      <c r="AA38" s="3233">
        <f t="shared" si="3"/>
        <v>1</v>
      </c>
      <c r="AB38" s="3233">
        <f t="shared" si="4"/>
        <v>1</v>
      </c>
      <c r="AC38" s="3233">
        <f t="shared" si="5"/>
        <v>1</v>
      </c>
    </row>
    <row r="39" spans="1:29" ht="15.75" thickBot="1">
      <c r="A39" s="430"/>
      <c r="B39" s="380" t="s">
        <v>2426</v>
      </c>
      <c r="C39" s="2058"/>
      <c r="D39" s="393">
        <v>100</v>
      </c>
      <c r="E39" s="2058"/>
      <c r="F39" s="419">
        <f>SUMIF(116:116,E39,117:117)-SUMIF(116:116,C39,117:117)+100</f>
        <v>100</v>
      </c>
      <c r="G39" s="2058"/>
      <c r="H39" s="393">
        <f>SUMIF(116:116,G39,117:117)-SUMIF(116:116,C39,117:117)+100</f>
        <v>100</v>
      </c>
      <c r="I39" s="2058"/>
      <c r="J39" s="393">
        <f>SUMIF(116:116,I39,117:117)-SUMIF(116:116,C39,117:117)+100</f>
        <v>100</v>
      </c>
      <c r="K39" s="568"/>
      <c r="L39" s="2917"/>
      <c r="M39" s="2911"/>
      <c r="N39" s="2911"/>
      <c r="O39" s="2911"/>
      <c r="P39" s="3626"/>
      <c r="Q39" s="3231" t="str">
        <f t="shared" si="11"/>
        <v>层高</v>
      </c>
      <c r="R39" s="712" t="s">
        <v>17</v>
      </c>
      <c r="S39" s="713">
        <f t="shared" si="12"/>
        <v>100</v>
      </c>
      <c r="T39" s="712" t="s">
        <v>17</v>
      </c>
      <c r="U39" s="713">
        <f t="shared" si="13"/>
        <v>100</v>
      </c>
      <c r="V39" s="712" t="s">
        <v>17</v>
      </c>
      <c r="W39" s="713">
        <f t="shared" si="14"/>
        <v>100</v>
      </c>
      <c r="X39" s="3230"/>
      <c r="Y39" s="3628"/>
      <c r="Z39" s="3232" t="str">
        <f t="shared" si="15"/>
        <v>层高</v>
      </c>
      <c r="AA39" s="3233">
        <f t="shared" si="3"/>
        <v>1</v>
      </c>
      <c r="AB39" s="3233">
        <f t="shared" si="4"/>
        <v>1</v>
      </c>
      <c r="AC39" s="3233">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26"/>
      <c r="Q40" s="3231" t="str">
        <f t="shared" si="11"/>
        <v>单套建筑面积</v>
      </c>
      <c r="R40" s="712" t="s">
        <v>17</v>
      </c>
      <c r="S40" s="713">
        <f t="shared" si="12"/>
        <v>100</v>
      </c>
      <c r="T40" s="712" t="s">
        <v>17</v>
      </c>
      <c r="U40" s="713">
        <f t="shared" si="13"/>
        <v>100</v>
      </c>
      <c r="V40" s="712" t="s">
        <v>17</v>
      </c>
      <c r="W40" s="713">
        <f t="shared" si="14"/>
        <v>100</v>
      </c>
      <c r="X40" s="3230"/>
      <c r="Y40" s="3628"/>
      <c r="Z40" s="3232" t="str">
        <f t="shared" si="15"/>
        <v>单套建筑面积</v>
      </c>
      <c r="AA40" s="3233">
        <f t="shared" si="3"/>
        <v>1</v>
      </c>
      <c r="AB40" s="3233">
        <f t="shared" si="4"/>
        <v>1</v>
      </c>
      <c r="AC40" s="3233">
        <f t="shared" si="5"/>
        <v>1</v>
      </c>
    </row>
    <row r="41" spans="1:29" s="429" customFormat="1" ht="15" hidden="1">
      <c r="A41" s="426"/>
      <c r="B41" s="3234"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26"/>
      <c r="Q41" s="714" t="str">
        <f t="shared" si="11"/>
        <v>进深比</v>
      </c>
      <c r="R41" s="715" t="s">
        <v>17</v>
      </c>
      <c r="S41" s="716">
        <f t="shared" si="12"/>
        <v>100</v>
      </c>
      <c r="T41" s="715" t="s">
        <v>17</v>
      </c>
      <c r="U41" s="716">
        <f t="shared" si="13"/>
        <v>100</v>
      </c>
      <c r="V41" s="715" t="s">
        <v>17</v>
      </c>
      <c r="W41" s="716">
        <f t="shared" si="14"/>
        <v>100</v>
      </c>
      <c r="X41" s="717"/>
      <c r="Y41" s="3628"/>
      <c r="Z41" s="718" t="str">
        <f t="shared" si="15"/>
        <v>进深比</v>
      </c>
      <c r="AA41" s="3233">
        <f t="shared" si="3"/>
        <v>1</v>
      </c>
      <c r="AB41" s="3233">
        <f t="shared" si="4"/>
        <v>1</v>
      </c>
      <c r="AC41" s="3233">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26"/>
      <c r="Q42" s="3231" t="str">
        <f t="shared" si="11"/>
        <v>内部装修</v>
      </c>
      <c r="R42" s="712" t="s">
        <v>17</v>
      </c>
      <c r="S42" s="713">
        <f t="shared" si="12"/>
        <v>100</v>
      </c>
      <c r="T42" s="712" t="s">
        <v>17</v>
      </c>
      <c r="U42" s="713">
        <f t="shared" si="13"/>
        <v>100</v>
      </c>
      <c r="V42" s="712" t="s">
        <v>17</v>
      </c>
      <c r="W42" s="713">
        <f t="shared" si="14"/>
        <v>100</v>
      </c>
      <c r="X42" s="3230"/>
      <c r="Y42" s="3628"/>
      <c r="Z42" s="3232" t="str">
        <f t="shared" si="15"/>
        <v>内部装修</v>
      </c>
      <c r="AA42" s="3233">
        <f t="shared" si="3"/>
        <v>1</v>
      </c>
      <c r="AB42" s="3233">
        <f t="shared" si="4"/>
        <v>1</v>
      </c>
      <c r="AC42" s="3233">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26"/>
      <c r="Q43" s="3231" t="str">
        <f t="shared" si="11"/>
        <v>内部装修维护情况</v>
      </c>
      <c r="R43" s="712" t="s">
        <v>17</v>
      </c>
      <c r="S43" s="713">
        <f t="shared" si="12"/>
        <v>100</v>
      </c>
      <c r="T43" s="712" t="s">
        <v>17</v>
      </c>
      <c r="U43" s="713">
        <f t="shared" si="13"/>
        <v>100</v>
      </c>
      <c r="V43" s="712" t="s">
        <v>17</v>
      </c>
      <c r="W43" s="713">
        <f t="shared" si="14"/>
        <v>100</v>
      </c>
      <c r="X43" s="3230"/>
      <c r="Y43" s="3628"/>
      <c r="Z43" s="3232" t="str">
        <f t="shared" si="15"/>
        <v>内部装修维护情况</v>
      </c>
      <c r="AA43" s="3233">
        <f t="shared" si="3"/>
        <v>1</v>
      </c>
      <c r="AB43" s="3233">
        <f t="shared" si="4"/>
        <v>1</v>
      </c>
      <c r="AC43" s="3233">
        <f t="shared" si="5"/>
        <v>1</v>
      </c>
    </row>
    <row r="44" spans="1:29" s="113" customFormat="1" ht="15" hidden="1">
      <c r="A44" s="431"/>
      <c r="B44" s="1264">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26"/>
      <c r="Q44" s="3229">
        <f t="shared" si="11"/>
        <v>111</v>
      </c>
      <c r="R44" s="708" t="s">
        <v>17</v>
      </c>
      <c r="S44" s="709">
        <f t="shared" si="12"/>
        <v>100</v>
      </c>
      <c r="T44" s="708" t="s">
        <v>17</v>
      </c>
      <c r="U44" s="709">
        <f t="shared" si="13"/>
        <v>100</v>
      </c>
      <c r="V44" s="708" t="s">
        <v>17</v>
      </c>
      <c r="W44" s="709">
        <f t="shared" si="14"/>
        <v>100</v>
      </c>
      <c r="X44" s="710"/>
      <c r="Y44" s="3628"/>
      <c r="Z44" s="3228">
        <f t="shared" si="15"/>
        <v>111</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26"/>
      <c r="Q45" s="3231">
        <f t="shared" si="11"/>
        <v>111</v>
      </c>
      <c r="R45" s="712" t="s">
        <v>17</v>
      </c>
      <c r="S45" s="713">
        <f t="shared" si="12"/>
        <v>100</v>
      </c>
      <c r="T45" s="712" t="s">
        <v>17</v>
      </c>
      <c r="U45" s="713">
        <f t="shared" si="13"/>
        <v>100</v>
      </c>
      <c r="V45" s="712" t="s">
        <v>17</v>
      </c>
      <c r="W45" s="713">
        <f t="shared" si="14"/>
        <v>100</v>
      </c>
      <c r="X45" s="3230"/>
      <c r="Y45" s="3628"/>
      <c r="Z45" s="3232">
        <f t="shared" si="15"/>
        <v>111</v>
      </c>
      <c r="AA45" s="3233">
        <f t="shared" si="3"/>
        <v>1</v>
      </c>
      <c r="AB45" s="3233">
        <f t="shared" si="4"/>
        <v>1</v>
      </c>
      <c r="AC45" s="3233">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27"/>
      <c r="Q46" s="3231">
        <f t="shared" si="11"/>
        <v>111</v>
      </c>
      <c r="R46" s="712" t="s">
        <v>17</v>
      </c>
      <c r="S46" s="713">
        <f t="shared" si="12"/>
        <v>100</v>
      </c>
      <c r="T46" s="712" t="s">
        <v>17</v>
      </c>
      <c r="U46" s="713">
        <f t="shared" si="13"/>
        <v>100</v>
      </c>
      <c r="V46" s="712" t="s">
        <v>17</v>
      </c>
      <c r="W46" s="713">
        <f t="shared" si="14"/>
        <v>100</v>
      </c>
      <c r="X46" s="3230"/>
      <c r="Y46" s="3629"/>
      <c r="Z46" s="3232">
        <f t="shared" si="15"/>
        <v>111</v>
      </c>
      <c r="AA46" s="3233">
        <f t="shared" si="3"/>
        <v>1</v>
      </c>
      <c r="AB46" s="3233">
        <f t="shared" si="4"/>
        <v>1</v>
      </c>
      <c r="AC46" s="3233">
        <f t="shared" si="5"/>
        <v>1</v>
      </c>
    </row>
    <row r="47" spans="1:29" ht="15">
      <c r="A47" s="437" t="s">
        <v>2338</v>
      </c>
      <c r="B47" s="438"/>
      <c r="C47" s="1285" t="s">
        <v>1</v>
      </c>
      <c r="D47" s="1286"/>
      <c r="E47" s="1287">
        <v>14700</v>
      </c>
      <c r="F47" s="1288"/>
      <c r="G47" s="1289">
        <v>15000</v>
      </c>
      <c r="H47" s="1290"/>
      <c r="I47" s="1287">
        <v>15000</v>
      </c>
      <c r="J47" s="1290"/>
      <c r="K47" s="721"/>
      <c r="L47" s="2919"/>
      <c r="M47" s="2920"/>
      <c r="N47" s="2911"/>
      <c r="O47" s="2920"/>
      <c r="P47" s="3616" t="str">
        <f>A47</f>
        <v>成交单价（元/平方米）</v>
      </c>
      <c r="Q47" s="3616"/>
      <c r="R47" s="3630">
        <f>E47</f>
        <v>14700</v>
      </c>
      <c r="S47" s="3630"/>
      <c r="T47" s="3630">
        <f>G47</f>
        <v>15000</v>
      </c>
      <c r="U47" s="3630"/>
      <c r="V47" s="3630">
        <f>I47</f>
        <v>15000</v>
      </c>
      <c r="W47" s="3630"/>
      <c r="X47" s="697"/>
      <c r="Y47" s="719"/>
      <c r="Z47" s="697"/>
      <c r="AA47" s="697"/>
      <c r="AB47" s="697"/>
      <c r="AC47" s="697"/>
    </row>
    <row r="48" spans="1:29" ht="15.75" thickBot="1">
      <c r="A48" s="444" t="s">
        <v>2339</v>
      </c>
      <c r="B48" s="445"/>
      <c r="C48" s="1291">
        <f>R49</f>
        <v>12469</v>
      </c>
      <c r="D48" s="2504" t="s">
        <v>2816</v>
      </c>
      <c r="E48" s="1292">
        <f>R48</f>
        <v>12305</v>
      </c>
      <c r="F48" s="2505"/>
      <c r="G48" s="1291">
        <f>T48</f>
        <v>12798</v>
      </c>
      <c r="H48" s="2505"/>
      <c r="I48" s="1292">
        <f>V48</f>
        <v>12305</v>
      </c>
      <c r="J48" s="2505"/>
      <c r="K48" s="2507">
        <f>F48+H48+J48</f>
        <v>0</v>
      </c>
      <c r="L48" s="2919"/>
      <c r="M48" s="2920"/>
      <c r="N48" s="2911"/>
      <c r="O48" s="2920"/>
      <c r="P48" s="3616" t="str">
        <f>A48</f>
        <v>比较价值（元/平方米）</v>
      </c>
      <c r="Q48" s="3616"/>
      <c r="R48" s="3617">
        <f>IF(F1="售价",ROUND(PRODUCT(R47,AA7:AA46),0),ROUND(PRODUCT(R47,AA7:AA46),0))</f>
        <v>12305</v>
      </c>
      <c r="S48" s="3617"/>
      <c r="T48" s="3617">
        <f>IF(F1="售价",ROUND(PRODUCT(T47,AB7:AB46),0),ROUND(PRODUCT(T47,AB7:AB46),0))</f>
        <v>12798</v>
      </c>
      <c r="U48" s="3617"/>
      <c r="V48" s="3617">
        <f>IF(F1="售价",ROUND(PRODUCT(V47,AC7:AC46),0),ROUND(PRODUCT(V47,AC7:AC46),0))</f>
        <v>12305</v>
      </c>
      <c r="W48" s="3617"/>
      <c r="X48" s="697"/>
      <c r="Y48" s="697"/>
      <c r="Z48" s="697"/>
      <c r="AA48" s="697"/>
      <c r="AB48" s="697"/>
      <c r="AC48" s="697"/>
    </row>
    <row r="49" spans="1:29" ht="15.75" thickBot="1">
      <c r="A49" s="448" t="s">
        <v>2340</v>
      </c>
      <c r="B49" s="449"/>
      <c r="C49" s="1294">
        <f>R49</f>
        <v>12469</v>
      </c>
      <c r="D49" s="1294"/>
      <c r="E49" s="1294"/>
      <c r="F49" s="1294"/>
      <c r="G49" s="1294"/>
      <c r="H49" s="1294"/>
      <c r="I49" s="1294"/>
      <c r="J49" s="1294"/>
      <c r="K49" s="722"/>
      <c r="L49" s="2919"/>
      <c r="M49" s="2920"/>
      <c r="N49" s="2911"/>
      <c r="O49" s="2920"/>
      <c r="P49" s="3618" t="str">
        <f>A49</f>
        <v>估价对象XX用房的比较价值（楼面单价，元/平方米）</v>
      </c>
      <c r="Q49" s="3619"/>
      <c r="R49" s="3620">
        <f>IF(F1="售价",ROUND(IF(D48="简单平均",AVERAGE(R48:V48),R48*F48+T48*H48+V48*J48),0),ROUND(IF(D48="简单平均",AVERAGE(R48:V48),R48*F48+T48*H48+V48*J48),0))</f>
        <v>12469</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2341</v>
      </c>
      <c r="D52" s="454"/>
      <c r="E52" s="455">
        <f>IF(E47&lt;E48,E48/E47-1,E47/E48-1)</f>
        <v>0.1946363266964648</v>
      </c>
      <c r="F52" s="456" t="str">
        <f>IF(OR(E52&gt;=0.3,E52&lt;=-0.3),"超过30%","")</f>
        <v/>
      </c>
      <c r="G52" s="455">
        <f>IF(G47&lt;G48,G48/G47-1,G47/G48-1)</f>
        <v>0.17205813408345061</v>
      </c>
      <c r="H52" s="456" t="str">
        <f>IF(OR(G52&gt;=0.3,G52&lt;=-0.3),"超过30%","")</f>
        <v/>
      </c>
      <c r="I52" s="455">
        <f>IF(I47&lt;I48,I48/I47-1,I47/I48-1)</f>
        <v>0.21901665989435193</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2342</v>
      </c>
      <c r="D53" s="457"/>
      <c r="E53" s="455">
        <f>IF(E48&lt;G48,G48/E48-1,E48/G48-1)</f>
        <v>4.0065014221861039E-2</v>
      </c>
      <c r="F53" s="456" t="str">
        <f>IF(OR(E53&gt;=0.2,E53&lt;=-0.2),"超过20%","")</f>
        <v/>
      </c>
      <c r="G53" s="455">
        <f>IF(G48&lt;I48,I48/G48-1,G48/I48-1)</f>
        <v>4.0065014221861039E-2</v>
      </c>
      <c r="H53" s="456" t="str">
        <f>IF(OR(G53&gt;=0.2,G53&lt;=-0.2),"超过20%","")</f>
        <v/>
      </c>
      <c r="I53" s="455">
        <f>IF(I48&lt;E48,E48/I48-1,I48/E48-1)</f>
        <v>0</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2343</v>
      </c>
      <c r="D54" s="457"/>
      <c r="E54" s="455">
        <f>IF(E47&lt;G47,G47/E47-1,E47/G47-1)</f>
        <v>2.0408163265306145E-2</v>
      </c>
      <c r="F54" s="456" t="str">
        <f>IF(OR(E54&gt;=0.3,E54&lt;=-0.3),"超过30%","")</f>
        <v/>
      </c>
      <c r="G54" s="455">
        <f>IF(G47&lt;I47,I47/G47-1,G47/I47-1)</f>
        <v>0</v>
      </c>
      <c r="H54" s="456" t="str">
        <f>IF(OR(G54&gt;=0.3,G54&lt;=-0.3),"超过30%","")</f>
        <v/>
      </c>
      <c r="I54" s="455">
        <f>IF(I47&lt;E47,E47/I47-1,I47/E47-1)</f>
        <v>2.0408163265306145E-2</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2344</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2348</v>
      </c>
      <c r="D61" s="3298" t="s">
        <v>3339</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115</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24</v>
      </c>
      <c r="E66" s="500" t="s">
        <v>24</v>
      </c>
      <c r="F66" s="500">
        <v>100</v>
      </c>
      <c r="G66" s="500">
        <f>F66-$K10</f>
        <v>98</v>
      </c>
      <c r="H66" s="500">
        <f>G66-$K10</f>
        <v>96</v>
      </c>
      <c r="I66" s="500">
        <f>H66-$K10</f>
        <v>94</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D86" s="3217" t="s">
        <v>3343</v>
      </c>
      <c r="E86" s="3217" t="s">
        <v>3342</v>
      </c>
      <c r="F86" s="510"/>
      <c r="G86" s="510"/>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217" t="s">
        <v>3344</v>
      </c>
      <c r="D88" s="3217" t="s">
        <v>3345</v>
      </c>
      <c r="E88" s="510"/>
      <c r="F88" s="2079"/>
      <c r="G88" s="510"/>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c r="D89" s="492"/>
      <c r="E89" s="492"/>
      <c r="F89" s="492"/>
      <c r="G89" s="492"/>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3346</v>
      </c>
      <c r="D90" s="3217" t="s">
        <v>3344</v>
      </c>
      <c r="E90" s="3217" t="s">
        <v>3345</v>
      </c>
      <c r="F90" s="3217" t="s">
        <v>3347</v>
      </c>
      <c r="G90" s="3217" t="s">
        <v>3348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3349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800(含)-1000</v>
      </c>
      <c r="H102" s="534" t="str">
        <f t="shared" si="23"/>
        <v>1000(含)-1200</v>
      </c>
      <c r="I102" s="534" t="str">
        <f t="shared" si="23"/>
        <v>1200(含)-1400</v>
      </c>
      <c r="J102" s="534" t="str">
        <f t="shared" si="23"/>
        <v>1400(含)-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1000</v>
      </c>
      <c r="I103" s="551">
        <v>1200</v>
      </c>
      <c r="J103" s="552">
        <v>1400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3350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3217" t="s">
        <v>3344</v>
      </c>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101</v>
      </c>
      <c r="E111" s="500">
        <f t="shared" ref="E111:M111" si="26">D111+$K36</f>
        <v>102</v>
      </c>
      <c r="F111" s="500">
        <f t="shared" si="26"/>
        <v>103</v>
      </c>
      <c r="G111" s="500">
        <f t="shared" si="26"/>
        <v>104</v>
      </c>
      <c r="H111" s="500">
        <f t="shared" si="26"/>
        <v>105</v>
      </c>
      <c r="I111" s="500">
        <f t="shared" si="26"/>
        <v>106</v>
      </c>
      <c r="J111" s="500">
        <f t="shared" si="26"/>
        <v>107</v>
      </c>
      <c r="K111" s="500">
        <f t="shared" si="26"/>
        <v>108</v>
      </c>
      <c r="L111" s="500">
        <f t="shared" si="26"/>
        <v>109</v>
      </c>
      <c r="M111" s="500">
        <f t="shared" si="26"/>
        <v>110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3351</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3217" t="s">
        <v>3353</v>
      </c>
      <c r="D114" s="3217" t="s">
        <v>3354</v>
      </c>
      <c r="E114" s="3812" t="s">
        <v>3538</v>
      </c>
      <c r="F114" s="3218" t="s">
        <v>3356</v>
      </c>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3357</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3217" t="s">
        <v>3358</v>
      </c>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f>B44</f>
        <v>111</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9" priority="20" stopIfTrue="1" operator="containsText" text="超过">
      <formula>NOT(ISERROR(SEARCH("超过",F52)))</formula>
    </cfRule>
  </conditionalFormatting>
  <conditionalFormatting sqref="H54">
    <cfRule type="containsText" dxfId="168" priority="19" stopIfTrue="1" operator="containsText" text="超过">
      <formula>NOT(ISERROR(SEARCH("超过",H54)))</formula>
    </cfRule>
  </conditionalFormatting>
  <conditionalFormatting sqref="F54">
    <cfRule type="containsText" dxfId="167" priority="18" stopIfTrue="1" operator="containsText" text="超过">
      <formula>NOT(ISERROR(SEARCH("超过",F54)))</formula>
    </cfRule>
  </conditionalFormatting>
  <conditionalFormatting sqref="F53 H53">
    <cfRule type="containsText" dxfId="166" priority="17" stopIfTrue="1" operator="containsText" text="超过">
      <formula>NOT(ISERROR(SEARCH("超过",F53)))</formula>
    </cfRule>
  </conditionalFormatting>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G54">
    <cfRule type="expression" dxfId="162" priority="13" stopIfTrue="1">
      <formula>$H$54="超过30%"</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J52">
    <cfRule type="containsText" dxfId="159" priority="10" stopIfTrue="1" operator="containsText" text="超过">
      <formula>NOT(ISERROR(SEARCH("超过",J52)))</formula>
    </cfRule>
  </conditionalFormatting>
  <conditionalFormatting sqref="J54">
    <cfRule type="containsText" dxfId="158" priority="9" stopIfTrue="1" operator="containsText" text="超过">
      <formula>NOT(ISERROR(SEARCH("超过",J54)))</formula>
    </cfRule>
  </conditionalFormatting>
  <conditionalFormatting sqref="J53">
    <cfRule type="containsText" dxfId="157" priority="8" stopIfTrue="1" operator="containsText" text="超过">
      <formula>NOT(ISERROR(SEARCH("超过",J53)))</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E24 G24 I24 C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0CF4-376E-4DCD-98C3-366305BBBEE4}">
  <dimension ref="A1"/>
  <sheetViews>
    <sheetView workbookViewId="0"/>
  </sheetViews>
  <sheetFormatPr defaultRowHeight="14.25"/>
  <sheetData/>
  <phoneticPr fontId="26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8871C-0124-4A37-B69A-FFDFDFBC58DE}">
  <dimension ref="A1"/>
  <sheetViews>
    <sheetView workbookViewId="0">
      <selection activeCell="P2" sqref="O2:P2"/>
    </sheetView>
  </sheetViews>
  <sheetFormatPr defaultRowHeight="14.25"/>
  <sheetData/>
  <phoneticPr fontId="26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受贵公司委托，我公司对北京市房地产市场价值进行了预评估。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估价对象为北京市房地产，为所有。根据《国有土地使用证》[]，估价对象（分摊）出让国有建设用地使用权面积为273.42平方米，建筑面积为683.55平方米。</v>
      </c>
    </row>
    <row r="8" spans="1:1" ht="57.75">
      <c r="A8" s="1635" t="s">
        <v>1519</v>
      </c>
    </row>
    <row r="9" spans="1:1" ht="18.75">
      <c r="A9" s="1634" t="s">
        <v>1520</v>
      </c>
    </row>
    <row r="10" spans="1:1" ht="54">
      <c r="A10" s="163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估价对象为北京市房地产,属开发建设的，该项目尚在开发建设中。根据《国有土地使用证》[]，估价对象（分摊）出让国有建设用地使用权面积为273.42平方米，规划建筑面积为683.55平方米。</v>
      </c>
    </row>
    <row r="11" spans="1:1" ht="76.5">
      <c r="A11" s="1635" t="s">
        <v>1521</v>
      </c>
    </row>
    <row r="12" spans="1:1" ht="18.75">
      <c r="A12" s="1633" t="s">
        <v>1522</v>
      </c>
    </row>
    <row r="13" spans="1:1" ht="38.25" customHeight="1">
      <c r="A13" s="1636" t="str">
        <f>IF(项目基本情况!B8="抵押",IF(项目基本情况!B5=项目基本情况!B6,定义!C51,定义!B51),定义!D51)</f>
        <v>为估价委托人了解估价对象房地产市场价值提供参考依据。</v>
      </c>
    </row>
    <row r="14" spans="1:1" ht="18.75">
      <c r="A14" s="1637" t="s">
        <v>1523</v>
      </c>
    </row>
    <row r="15" spans="1:1" ht="18">
      <c r="A15" s="1638" t="str">
        <f>TEXT(项目基本情况!D3,"yyyy年m月d日;;")&amp;IF(项目基本情况!D3=项目基本情况!B3,"（评估专业人员实地查勘之日）","")</f>
        <v>2022年7月20日（评估专业人员实地查勘之日）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20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2" t="str">
        <f>IF(项目基本情况!B9="房地产市场价值","——",IF(项目基本情况!E8="房地产抵押价值",定义!C54,IF(项目基本情况!E8="已注销",定义!C55,定义!C56)))</f>
        <v>——</v>
      </c>
    </row>
    <row r="21" spans="1:1" ht="18">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2" t="str">
        <f>IF(项目基本情况!B9="房地产市场价值","——",IF(项目基本情况!E9="——","",定义!C57))</f>
        <v>——</v>
      </c>
    </row>
    <row r="23" spans="1:1" ht="18.75">
      <c r="A23" s="1637" t="s">
        <v>1514</v>
      </c>
    </row>
    <row r="24" spans="1:1" ht="18">
      <c r="A24" s="1639" t="str">
        <f>"本次评估采用的主估价方法为"&amp;结果表1层商业!K4&amp;"和"&amp;结果表1层商业!L4&amp;"。"</f>
        <v>本次评估采用的主估价方法为比较法和收益法。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CEA31-297B-42DD-B017-F96F1B9802EC}">
  <dimension ref="A1"/>
  <sheetViews>
    <sheetView topLeftCell="A15" workbookViewId="0">
      <selection activeCell="A38" sqref="A38"/>
    </sheetView>
  </sheetViews>
  <sheetFormatPr defaultRowHeight="14.25"/>
  <sheetData/>
  <phoneticPr fontId="26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O71" sqref="O71"/>
    </sheetView>
  </sheetViews>
  <sheetFormatPr defaultColWidth="8.875" defaultRowHeight="14.2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90" zoomScaleNormal="70" zoomScaleSheetLayoutView="90" workbookViewId="0">
      <selection activeCell="I30" sqref="I30"/>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3332</v>
      </c>
      <c r="C1" s="203"/>
      <c r="D1" s="203"/>
      <c r="E1" s="203"/>
      <c r="F1" s="203"/>
      <c r="G1" s="1257" t="e">
        <f>MATCH(B1,'数据-取费表'!A6:A16,0)+5</f>
        <v>#N/A</v>
      </c>
    </row>
    <row r="2" spans="1:9" s="205" customFormat="1" ht="18" customHeight="1">
      <c r="A2" s="206" t="s">
        <v>1299</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1300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0</v>
      </c>
      <c r="D5" s="216" t="s">
        <v>2095</v>
      </c>
      <c r="E5" s="217" t="s">
        <v>2096</v>
      </c>
      <c r="F5" s="217" t="s">
        <v>2097</v>
      </c>
      <c r="G5" s="218"/>
    </row>
    <row r="6" spans="1:9" s="219" customFormat="1" ht="13.5" customHeight="1">
      <c r="A6" s="884" t="s">
        <v>791</v>
      </c>
      <c r="B6" s="220" t="s">
        <v>2099</v>
      </c>
      <c r="C6" s="221">
        <f>基准地价修正!E29</f>
        <v>0</v>
      </c>
      <c r="D6" s="222"/>
      <c r="E6" s="223"/>
      <c r="F6" s="223"/>
      <c r="G6" s="224"/>
    </row>
    <row r="7" spans="1:9" s="219" customFormat="1" ht="13.5" customHeight="1">
      <c r="A7" s="884" t="s">
        <v>792</v>
      </c>
      <c r="B7" s="220" t="s">
        <v>2101</v>
      </c>
      <c r="C7" s="225">
        <f>ROUND(C6*F7,0)</f>
        <v>0</v>
      </c>
      <c r="D7" s="225"/>
      <c r="E7" s="223"/>
      <c r="F7" s="226">
        <f>IF(项目基本情况!B8="出让",0,'数据-取费表'!B48+'数据-取费表'!B49)</f>
        <v>3.0499999999999999E-2</v>
      </c>
      <c r="G7" s="224"/>
    </row>
    <row r="8" spans="1:9" s="228" customFormat="1">
      <c r="A8" s="884" t="s">
        <v>793</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2103</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2103</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791</v>
      </c>
      <c r="B23" s="220" t="s">
        <v>2129</v>
      </c>
      <c r="C23" s="1234">
        <f>ROUND(IF('数据-取费表'!B22&lt;=1,C5*F22*'数据-取费表'!B23,C5*(POWER((1+F22),'数据-取费表'!B23)-1)),0)</f>
        <v>0</v>
      </c>
      <c r="D23" s="243"/>
      <c r="E23" s="243"/>
      <c r="F23" s="244"/>
      <c r="G23" s="245" t="s">
        <v>2130</v>
      </c>
    </row>
    <row r="24" spans="1:7" s="219" customFormat="1" ht="13.5" customHeight="1">
      <c r="A24" s="886" t="s">
        <v>792</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793</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2124</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2117</v>
      </c>
      <c r="B39" s="215" t="s">
        <v>2120</v>
      </c>
      <c r="C39" s="237" t="e">
        <f ca="1">ROUND(C33*F20,0)</f>
        <v>#N/A</v>
      </c>
      <c r="D39" s="237"/>
      <c r="E39" s="237"/>
      <c r="F39" s="2501">
        <f>F20</f>
        <v>1.4999999999999999E-2</v>
      </c>
      <c r="G39" s="239" t="s">
        <v>2162</v>
      </c>
    </row>
    <row r="40" spans="1:7" s="219" customFormat="1" ht="13.5" customHeight="1">
      <c r="A40" s="260" t="s">
        <v>2119</v>
      </c>
      <c r="B40" s="215" t="s">
        <v>2123</v>
      </c>
      <c r="C40" s="1464">
        <f>F21</f>
        <v>1.4999999999999999E-2</v>
      </c>
      <c r="D40" s="241" t="s">
        <v>2165</v>
      </c>
      <c r="E40" s="237"/>
      <c r="F40" s="2501">
        <f>F21</f>
        <v>1.4999999999999999E-2</v>
      </c>
      <c r="G40" s="239" t="s">
        <v>2166</v>
      </c>
    </row>
    <row r="41" spans="1:7" s="219" customFormat="1" ht="13.5" customHeight="1">
      <c r="A41" s="260" t="s">
        <v>2122</v>
      </c>
      <c r="B41" s="215" t="s">
        <v>2127</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2129</v>
      </c>
      <c r="C42" s="243" t="e">
        <f ca="1">ROUND(IF('数据-取费表'!B22&lt;=1,C33*F22*'数据-取费表'!B21/2,C33*(POWER((1+F22),'数据-取费表'!B21/2)-1)),0)</f>
        <v>#N/A</v>
      </c>
      <c r="D42" s="243"/>
      <c r="E42" s="243"/>
      <c r="F42" s="244"/>
      <c r="G42" s="3713" t="s">
        <v>2170</v>
      </c>
    </row>
    <row r="43" spans="1:7" ht="13.5" customHeight="1">
      <c r="A43" s="886" t="s">
        <v>792</v>
      </c>
      <c r="B43" s="220" t="s">
        <v>2132</v>
      </c>
      <c r="C43" s="243" t="e">
        <f ca="1">ROUND(IF('数据-取费表'!B22&lt;=1,C39*F22*'数据-取费表'!B21/2,C39*(POWER((1+F22),'数据-取费表'!B21/2)-1)),0)</f>
        <v>#N/A</v>
      </c>
      <c r="D43" s="243"/>
      <c r="E43" s="243"/>
      <c r="F43" s="244"/>
      <c r="G43" s="3714"/>
    </row>
    <row r="44" spans="1:7" ht="13.5" customHeight="1">
      <c r="A44" s="886" t="s">
        <v>793</v>
      </c>
      <c r="B44" s="220" t="s">
        <v>2135</v>
      </c>
      <c r="C44" s="243">
        <f>ROUND(IF('数据-取费表'!B22&lt;=1,C40*F22*'数据-取费表'!B21/2,C40*(POWER((1+F22),'数据-取费表'!B21/2)-1)),4)</f>
        <v>6.9999999999999999E-4</v>
      </c>
      <c r="D44" s="243"/>
      <c r="E44" s="243"/>
      <c r="F44" s="244"/>
      <c r="G44" s="3715"/>
    </row>
    <row r="45" spans="1:7" s="219" customFormat="1" ht="13.5" customHeight="1">
      <c r="A45" s="260" t="s">
        <v>2126</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700-000000000000}">
      <formula1>"需扣减承租人权益,——"</formula1>
    </dataValidation>
    <dataValidation type="list" allowBlank="1" showInputMessage="1" showErrorMessage="1" sqref="G2" xr:uid="{00000000-0002-0000-1700-000001000000}">
      <formula1>估价方法</formula1>
    </dataValidation>
    <dataValidation type="list" allowBlank="1" showInputMessage="1" showErrorMessage="1" sqref="G9" xr:uid="{00000000-0002-0000-1700-000002000000}">
      <formula1>"部分缴纳,全部缴纳"</formula1>
    </dataValidation>
    <dataValidation type="list" allowBlank="1" showInputMessage="1" showErrorMessage="1" sqref="B1" xr:uid="{00000000-0002-0000-1700-000003000000}">
      <formula1>项目类型</formula1>
    </dataValidation>
    <dataValidation type="list" allowBlank="1" showInputMessage="1" showErrorMessage="1" sqref="G19" xr:uid="{00000000-0002-0000-1700-000004000000}">
      <formula1>"已包含在土地取得成本中,未包含在土地取得成本中"</formula1>
    </dataValidation>
    <dataValidation type="list" allowBlank="1" showInputMessage="1" showErrorMessage="1" sqref="G8" xr:uid="{00000000-0002-0000-17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625" style="2216" customWidth="1"/>
    <col min="2" max="2" width="19.125" style="2319" customWidth="1"/>
    <col min="3" max="4" width="12" style="2150"/>
    <col min="5" max="5" width="14.625" style="2150" customWidth="1"/>
    <col min="6" max="8" width="12" style="2150"/>
    <col min="9" max="9" width="12.125" style="2150" bestFit="1" customWidth="1"/>
    <col min="10" max="10" width="12" style="2150"/>
    <col min="11" max="11" width="8.125" style="2211" customWidth="1"/>
    <col min="12" max="12" width="12" style="2150"/>
    <col min="13" max="13" width="8.5" style="2150" customWidth="1"/>
    <col min="14" max="14" width="9.62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1" t="s">
        <v>2564</v>
      </c>
      <c r="B1" s="202"/>
      <c r="C1" s="206" t="s">
        <v>2565</v>
      </c>
      <c r="D1" s="347">
        <f>SUM(D29:D30,D33:D39)</f>
        <v>0</v>
      </c>
      <c r="E1" s="2147"/>
      <c r="F1" s="2147"/>
      <c r="G1" s="2147"/>
      <c r="H1" s="2147"/>
      <c r="I1" s="2147"/>
      <c r="J1" s="2147"/>
      <c r="K1" s="1249"/>
      <c r="L1" s="2148" t="s">
        <v>2566</v>
      </c>
      <c r="M1" s="992">
        <f>SUMPRODUCT((区片价!B5:B9=I2)*(区片价!C3:F3=E2)*(区片价!C5:F9))</f>
        <v>0</v>
      </c>
      <c r="N1" s="995">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6" t="s">
        <v>2572</v>
      </c>
      <c r="B2" s="209">
        <f>C26</f>
        <v>0</v>
      </c>
      <c r="C2" s="2151" t="s">
        <v>2573</v>
      </c>
      <c r="D2" s="2152" t="s">
        <v>2574</v>
      </c>
      <c r="E2" s="2153" t="s">
        <v>1283</v>
      </c>
      <c r="F2" s="2152" t="s">
        <v>2575</v>
      </c>
      <c r="G2" s="2154" t="str">
        <f>IF(E2="商业",项目基本情况!B37,IF(E2="办公",项目基本情况!C37,IF(E2="住宅",项目基本情况!D37,项目基本情况!E37)))</f>
        <v>七级</v>
      </c>
      <c r="H2" s="2152" t="s">
        <v>2576</v>
      </c>
      <c r="I2" s="2154" t="str">
        <f>IF(E2="商业",项目基本情况!B38,IF(E2="办公",项目基本情况!C38,IF(E2="住宅",项目基本情况!D38,项目基本情况!E38)))</f>
        <v>Ⅶ-房1</v>
      </c>
      <c r="J2" s="2155"/>
      <c r="K2" s="1249"/>
      <c r="L2" s="2156" t="s">
        <v>2577</v>
      </c>
      <c r="M2" s="993">
        <f>SUMPRODUCT((区片价!B10:B28=I2)*(区片价!C3:F3=E2)*(区片价!C10:F28))</f>
        <v>0</v>
      </c>
      <c r="N2" s="995">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0</v>
      </c>
      <c r="U2" s="1344"/>
      <c r="V2" s="1343">
        <f>ROUND(T2*U2/10000,0)</f>
        <v>0</v>
      </c>
      <c r="W2" s="1347"/>
      <c r="X2" s="1347"/>
      <c r="Y2" s="1347"/>
      <c r="Z2" s="1347"/>
      <c r="AA2" s="1347"/>
      <c r="AB2" s="1347"/>
      <c r="AC2" s="1348"/>
      <c r="AD2" s="1349"/>
      <c r="AE2" s="1349"/>
      <c r="AF2" s="1349"/>
      <c r="AG2" s="1349"/>
      <c r="AH2" s="1349"/>
      <c r="AI2" s="1349"/>
      <c r="AJ2" s="1350"/>
    </row>
    <row r="3" spans="1:36" ht="15.75">
      <c r="A3" s="208" t="s">
        <v>2578</v>
      </c>
      <c r="B3" s="209" t="e">
        <f>ROUND(B2*10000/D1,0)</f>
        <v>#DIV/0!</v>
      </c>
      <c r="C3" s="2151" t="s">
        <v>2579</v>
      </c>
      <c r="D3" s="2152" t="s">
        <v>2580</v>
      </c>
      <c r="E3" s="2157" t="s">
        <v>3375</v>
      </c>
      <c r="F3" s="2158" t="s">
        <v>3176</v>
      </c>
      <c r="G3" s="853">
        <f>IF(F3="宗地容积率",'数据-汇总表'!I4,IF(F3="估价对象容积率",'数据-汇总表'!I6,'数据-汇总表'!I7))</f>
        <v>2.5</v>
      </c>
      <c r="H3" s="174" t="s">
        <v>2581</v>
      </c>
      <c r="I3" s="879">
        <v>1</v>
      </c>
      <c r="J3" s="2155" t="s">
        <v>2582</v>
      </c>
      <c r="K3" s="1249"/>
      <c r="L3" s="2156" t="s">
        <v>2583</v>
      </c>
      <c r="M3" s="993">
        <f>SUMPRODUCT((区片价!B29:B48=I2)*(区片价!C3:F3=E2)*(区片价!C29:F48))</f>
        <v>0</v>
      </c>
      <c r="N3" s="995">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0</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719"/>
      <c r="B4" s="3720"/>
      <c r="C4" s="3720"/>
      <c r="D4" s="3721"/>
      <c r="E4" s="3721"/>
      <c r="F4" s="3721"/>
      <c r="G4" s="3721"/>
      <c r="H4" s="3721"/>
      <c r="I4" s="3721"/>
      <c r="J4" s="3722"/>
      <c r="K4" s="1249"/>
      <c r="L4" s="2156" t="s">
        <v>2584</v>
      </c>
      <c r="M4" s="993">
        <f>SUMPRODUCT((区片价!B49:B75=I2)*(区片价!C3:F3=E2)*(区片价!C49:F75))</f>
        <v>0</v>
      </c>
      <c r="N4" s="995">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0</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2585</v>
      </c>
      <c r="C5" s="854">
        <f>ROUND(IF(E2="商业",C6*C7+C16,(IF(E2="住宅",C6*C12+C16,C6+C16))),0)</f>
        <v>7210</v>
      </c>
      <c r="D5" s="1490">
        <f>ROUND(C6+C16,0)</f>
        <v>7210</v>
      </c>
      <c r="E5" s="1490"/>
      <c r="F5" s="2161"/>
      <c r="G5" s="2162"/>
      <c r="H5" s="2162"/>
      <c r="I5" s="2162"/>
      <c r="J5" s="2163"/>
      <c r="K5" s="2164"/>
      <c r="L5" s="2156" t="s">
        <v>2586</v>
      </c>
      <c r="M5" s="993">
        <f>SUMPRODUCT((区片价!B76:B109=I2)*(区片价!C3:F3=E2)*(区片价!C76:F109))</f>
        <v>0</v>
      </c>
      <c r="N5" s="995">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0.86560000000000004</v>
      </c>
      <c r="T5" s="1343">
        <f t="shared" si="0"/>
        <v>0</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2587</v>
      </c>
      <c r="B6" s="2170" t="s">
        <v>2588</v>
      </c>
      <c r="C6" s="855">
        <f>SUMIF(L1:L12,G2,M1:M12)</f>
        <v>7210</v>
      </c>
      <c r="D6" s="2171" t="s">
        <v>2589</v>
      </c>
      <c r="E6" s="2172"/>
      <c r="F6" s="2172"/>
      <c r="G6" s="2173"/>
      <c r="H6" s="2173"/>
      <c r="I6" s="2173"/>
      <c r="J6" s="2174"/>
      <c r="K6" s="1535"/>
      <c r="L6" s="2156" t="s">
        <v>2590</v>
      </c>
      <c r="M6" s="993">
        <f>SUMPRODUCT((区片价!B110:B157=I2)*(区片价!C3:F3=E2)*(区片价!C110:F157))</f>
        <v>0</v>
      </c>
      <c r="N6" s="995">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0.73709999999999998</v>
      </c>
      <c r="T6" s="1343">
        <f t="shared" si="0"/>
        <v>0</v>
      </c>
      <c r="U6" s="1344"/>
      <c r="V6" s="1343">
        <f t="shared" si="1"/>
        <v>0</v>
      </c>
      <c r="W6" s="1347"/>
      <c r="X6" s="1347"/>
      <c r="Y6" s="1347"/>
      <c r="Z6" s="1347"/>
      <c r="AA6" s="1347"/>
      <c r="AB6" s="1347"/>
      <c r="AC6" s="2165"/>
      <c r="AD6" s="2166"/>
      <c r="AE6" s="2166"/>
      <c r="AF6" s="2166"/>
      <c r="AG6" s="2166"/>
      <c r="AH6" s="2166"/>
      <c r="AI6" s="2166"/>
      <c r="AJ6" s="2167"/>
    </row>
    <row r="7" spans="1:36" ht="24">
      <c r="A7" s="3723" t="str">
        <f>IF(E2="商业",IF(C8="不临58条商业街","",2),"")</f>
        <v/>
      </c>
      <c r="B7" s="2175" t="s">
        <v>2591</v>
      </c>
      <c r="C7" s="856">
        <f>IF(C8="不临58条商业街",1,ROUND(1+(1.6*E8+1.2*E9+0.8*E10+0.4*E11)*C9,4))</f>
        <v>1</v>
      </c>
      <c r="D7" s="2176" t="s">
        <v>2592</v>
      </c>
      <c r="E7" s="880">
        <v>6</v>
      </c>
      <c r="F7" s="2177"/>
      <c r="G7" s="2178"/>
      <c r="H7" s="2178"/>
      <c r="I7" s="2178"/>
      <c r="J7" s="2179"/>
      <c r="K7" s="1535"/>
      <c r="L7" s="2156" t="s">
        <v>2593</v>
      </c>
      <c r="M7" s="993">
        <f>SUMPRODUCT((区片价!B158:B205=I2)*(区片价!C3:F3=E2)*(区片价!C158:F205))</f>
        <v>7210</v>
      </c>
      <c r="N7" s="995">
        <f>SUMPRODUCT((因素修正幅度!B158:B205=I2)*(因素修正幅度!C3:F3=E2)*(因素修正幅度!C158:F205))</f>
        <v>0.13</v>
      </c>
      <c r="O7" s="1249"/>
      <c r="P7" s="1249"/>
      <c r="Q7" s="1249"/>
      <c r="R7" s="1343">
        <v>6</v>
      </c>
      <c r="S7" s="1343">
        <f>ROUND(IF(G3&gt;1,IF(R7&lt;7,SUMPRODUCT((B93:B98=R7)*(C92:N92=G2)*(C93:N98)),SUMIF(C92:N92,G2,C100:N100)),IF(R7&lt;7,SUMPRODUCT((B102:B107=R7)*(C92:N92=G2)*(C102:N107)),SUMIF(C92:N92,G2,C109:N109))),4)</f>
        <v>0.6482</v>
      </c>
      <c r="T7" s="1343">
        <f t="shared" si="0"/>
        <v>0</v>
      </c>
      <c r="U7" s="1344"/>
      <c r="V7" s="1343">
        <f t="shared" si="1"/>
        <v>0</v>
      </c>
      <c r="W7" s="1509" t="s">
        <v>2594</v>
      </c>
      <c r="X7" s="1345" t="str">
        <f>G2</f>
        <v>七级</v>
      </c>
      <c r="Y7" s="1345" t="s">
        <v>2595</v>
      </c>
      <c r="Z7" s="1346">
        <f>G3</f>
        <v>2.5</v>
      </c>
      <c r="AA7" s="1347"/>
      <c r="AB7" s="1347"/>
      <c r="AC7" s="1348"/>
      <c r="AD7" s="1349"/>
      <c r="AE7" s="1349"/>
      <c r="AF7" s="1349"/>
      <c r="AG7" s="1349"/>
      <c r="AH7" s="1349"/>
      <c r="AI7" s="1349"/>
      <c r="AJ7" s="1350"/>
    </row>
    <row r="8" spans="1:36" ht="25.5">
      <c r="A8" s="3724"/>
      <c r="B8" s="174" t="s">
        <v>2596</v>
      </c>
      <c r="C8" s="2180" t="s">
        <v>3177</v>
      </c>
      <c r="D8" s="857" t="s">
        <v>139</v>
      </c>
      <c r="E8" s="858">
        <f>ROUND(C11/E7,4)</f>
        <v>0</v>
      </c>
      <c r="F8" s="2181" t="s">
        <v>2597</v>
      </c>
      <c r="G8" s="2182"/>
      <c r="H8" s="2182"/>
      <c r="I8" s="2182"/>
      <c r="J8" s="2183"/>
      <c r="K8" s="1249"/>
      <c r="L8" s="2156" t="s">
        <v>2598</v>
      </c>
      <c r="M8" s="993">
        <f>SUMPRODUCT((区片价!B206:B244=I2)*(区片价!C3:F3=E2)*(区片价!C206:F244))</f>
        <v>0</v>
      </c>
      <c r="N8" s="995">
        <f>SUMPRODUCT((因素修正幅度!B206:B244=I2)*(因素修正幅度!C3:F3=E2)*(因素修正幅度!C206:F244))</f>
        <v>0</v>
      </c>
      <c r="O8" s="1249"/>
      <c r="P8" s="1249"/>
      <c r="Q8" s="1249"/>
      <c r="R8" s="1343">
        <v>7</v>
      </c>
      <c r="S8" s="1344"/>
      <c r="T8" s="1343">
        <f t="shared" si="0"/>
        <v>0</v>
      </c>
      <c r="U8" s="1344"/>
      <c r="V8" s="1343">
        <f t="shared" si="1"/>
        <v>0</v>
      </c>
      <c r="W8" s="3716" t="s">
        <v>2599</v>
      </c>
      <c r="X8" s="3717"/>
      <c r="Y8" s="1351" t="s">
        <v>2600</v>
      </c>
      <c r="Z8" s="1351" t="s">
        <v>2601</v>
      </c>
      <c r="AA8" s="1351" t="s">
        <v>2602</v>
      </c>
      <c r="AB8" s="1351" t="s">
        <v>2603</v>
      </c>
      <c r="AC8" s="1351" t="s">
        <v>2604</v>
      </c>
      <c r="AD8" s="1351" t="s">
        <v>2605</v>
      </c>
      <c r="AE8" s="1351" t="s">
        <v>2606</v>
      </c>
      <c r="AF8" s="1351" t="s">
        <v>2607</v>
      </c>
      <c r="AG8" s="1351" t="s">
        <v>2608</v>
      </c>
      <c r="AH8" s="1351" t="s">
        <v>2609</v>
      </c>
      <c r="AI8" s="1351" t="s">
        <v>2610</v>
      </c>
      <c r="AJ8" s="1351" t="s">
        <v>2611</v>
      </c>
    </row>
    <row r="9" spans="1:36" ht="15">
      <c r="A9" s="3724"/>
      <c r="B9" s="174" t="s">
        <v>2612</v>
      </c>
      <c r="C9" s="859">
        <f>SUMIF(修正!C59:C119,C8,修正!E59:E119)</f>
        <v>0</v>
      </c>
      <c r="D9" s="175" t="s">
        <v>140</v>
      </c>
      <c r="E9" s="175">
        <f>ROUND(C11/E7,4)</f>
        <v>0</v>
      </c>
      <c r="F9" s="2181" t="s">
        <v>2613</v>
      </c>
      <c r="G9" s="2182"/>
      <c r="H9" s="2182"/>
      <c r="I9" s="2182"/>
      <c r="J9" s="2183"/>
      <c r="K9" s="1249"/>
      <c r="L9" s="2156" t="s">
        <v>2614</v>
      </c>
      <c r="M9" s="993">
        <f>SUMPRODUCT((区片价!B245:B289=I2)*(区片价!C3:F3=E2)*(区片价!C245:F289))</f>
        <v>0</v>
      </c>
      <c r="N9" s="995">
        <f>SUMPRODUCT((因素修正幅度!B245:B289=I2)*(因素修正幅度!C3:F3=E2)*(因素修正幅度!C245:F289))</f>
        <v>0</v>
      </c>
      <c r="O9" s="1249"/>
      <c r="P9" s="1249"/>
      <c r="Q9" s="1249"/>
      <c r="R9" s="1343">
        <v>8</v>
      </c>
      <c r="S9" s="1344"/>
      <c r="T9" s="1343">
        <f t="shared" si="0"/>
        <v>0</v>
      </c>
      <c r="U9" s="1344"/>
      <c r="V9" s="1343">
        <f t="shared" si="1"/>
        <v>0</v>
      </c>
      <c r="W9" s="3718" t="s">
        <v>2615</v>
      </c>
      <c r="X9" s="1352" t="s">
        <v>2616</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724"/>
      <c r="B10" s="174" t="s">
        <v>2617</v>
      </c>
      <c r="C10" s="175">
        <f>SUMIF(修正!C59:C119,C8,修正!F59:F119)</f>
        <v>0</v>
      </c>
      <c r="D10" s="175" t="s">
        <v>141</v>
      </c>
      <c r="E10" s="175">
        <f>ROUND(C11/E7,4)</f>
        <v>0</v>
      </c>
      <c r="F10" s="2181" t="s">
        <v>2618</v>
      </c>
      <c r="G10" s="2182"/>
      <c r="H10" s="2182"/>
      <c r="I10" s="2182"/>
      <c r="J10" s="2183"/>
      <c r="K10" s="1249"/>
      <c r="L10" s="2156" t="s">
        <v>2619</v>
      </c>
      <c r="M10" s="993">
        <f>SUMPRODUCT((区片价!B290:B316=I2)*(区片价!C3:F3=E2)*(区片价!C290:F316))</f>
        <v>0</v>
      </c>
      <c r="N10" s="995">
        <f>SUMPRODUCT((因素修正幅度!B290:B316=I2)*(因素修正幅度!C3:F3=E2)*(因素修正幅度!C290:F316))</f>
        <v>0</v>
      </c>
      <c r="O10" s="1249"/>
      <c r="P10" s="1249"/>
      <c r="Q10" s="1249"/>
      <c r="R10" s="1343">
        <v>9</v>
      </c>
      <c r="S10" s="1344"/>
      <c r="T10" s="1343">
        <f t="shared" si="0"/>
        <v>0</v>
      </c>
      <c r="U10" s="1344"/>
      <c r="V10" s="1343">
        <f t="shared" si="1"/>
        <v>0</v>
      </c>
      <c r="W10" s="3718"/>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724"/>
      <c r="B11" s="2184" t="s">
        <v>2620</v>
      </c>
      <c r="C11" s="860">
        <f>C10/4</f>
        <v>0</v>
      </c>
      <c r="D11" s="860" t="s">
        <v>142</v>
      </c>
      <c r="E11" s="860">
        <f>ROUND(C11/E7,4)</f>
        <v>0</v>
      </c>
      <c r="F11" s="2185" t="s">
        <v>2621</v>
      </c>
      <c r="G11" s="2186"/>
      <c r="H11" s="2186"/>
      <c r="I11" s="2186"/>
      <c r="J11" s="2187"/>
      <c r="K11" s="1249"/>
      <c r="L11" s="2156" t="s">
        <v>2622</v>
      </c>
      <c r="M11" s="993">
        <f>SUMPRODUCT((区片价!B317:B337=I2)*(区片价!C3:F3=E2)*(区片价!C317:F337))</f>
        <v>0</v>
      </c>
      <c r="N11" s="995">
        <f>SUMPRODUCT((因素修正幅度!B317:B337=I2)*(因素修正幅度!C3:F3=E2)*(因素修正幅度!C317:F337))</f>
        <v>0</v>
      </c>
      <c r="O11" s="1249"/>
      <c r="P11" s="1249"/>
      <c r="Q11" s="1249"/>
      <c r="R11" s="1343">
        <v>10</v>
      </c>
      <c r="S11" s="1344"/>
      <c r="T11" s="1343">
        <f t="shared" si="0"/>
        <v>0</v>
      </c>
      <c r="U11" s="1344"/>
      <c r="V11" s="1343">
        <f t="shared" si="1"/>
        <v>0</v>
      </c>
      <c r="W11" s="3718" t="s">
        <v>2623</v>
      </c>
      <c r="X11" s="1355" t="s">
        <v>2624</v>
      </c>
      <c r="Y11" s="1356">
        <f>$G$3</f>
        <v>2.5</v>
      </c>
      <c r="Z11" s="1356">
        <f t="shared" ref="Z11:AJ11" si="3">$G$3</f>
        <v>2.5</v>
      </c>
      <c r="AA11" s="1356">
        <f t="shared" si="3"/>
        <v>2.5</v>
      </c>
      <c r="AB11" s="1356">
        <f t="shared" si="3"/>
        <v>2.5</v>
      </c>
      <c r="AC11" s="1356">
        <f t="shared" si="3"/>
        <v>2.5</v>
      </c>
      <c r="AD11" s="1356">
        <f t="shared" si="3"/>
        <v>2.5</v>
      </c>
      <c r="AE11" s="1356">
        <f t="shared" si="3"/>
        <v>2.5</v>
      </c>
      <c r="AF11" s="1356">
        <f t="shared" si="3"/>
        <v>2.5</v>
      </c>
      <c r="AG11" s="1356">
        <f t="shared" si="3"/>
        <v>2.5</v>
      </c>
      <c r="AH11" s="1356">
        <f t="shared" si="3"/>
        <v>2.5</v>
      </c>
      <c r="AI11" s="1356">
        <f t="shared" si="3"/>
        <v>2.5</v>
      </c>
      <c r="AJ11" s="1356">
        <f t="shared" si="3"/>
        <v>2.5</v>
      </c>
    </row>
    <row r="12" spans="1:36" ht="25.5" thickBot="1">
      <c r="A12" s="3723" t="s">
        <v>2625</v>
      </c>
      <c r="B12" s="2188" t="s">
        <v>2626</v>
      </c>
      <c r="C12" s="856">
        <f>ROUND(C15*D15*E15*F15*G15*H15*I15*J15,4)</f>
        <v>1</v>
      </c>
      <c r="D12" s="2189" t="s">
        <v>2627</v>
      </c>
      <c r="E12" s="2190"/>
      <c r="F12" s="2190"/>
      <c r="G12" s="2191"/>
      <c r="H12" s="2191"/>
      <c r="I12" s="2191"/>
      <c r="J12" s="2192"/>
      <c r="K12" s="1249"/>
      <c r="L12" s="2193" t="s">
        <v>2628</v>
      </c>
      <c r="M12" s="994">
        <f>SUMPRODUCT((区片价!B338:B344=I2)*(区片价!C3:F3=E2)*(区片价!C338:F344))</f>
        <v>0</v>
      </c>
      <c r="N12" s="995">
        <f>SUMPRODUCT((因素修正幅度!B338:B344=I2)*(因素修正幅度!C3:F3=E2)*(因素修正幅度!C338:F344))</f>
        <v>0</v>
      </c>
      <c r="O12" s="1249"/>
      <c r="P12" s="1249"/>
      <c r="Q12" s="1249"/>
      <c r="R12" s="1343">
        <v>11</v>
      </c>
      <c r="S12" s="1344"/>
      <c r="T12" s="1343">
        <f t="shared" si="0"/>
        <v>0</v>
      </c>
      <c r="U12" s="1344"/>
      <c r="V12" s="1343">
        <f t="shared" si="1"/>
        <v>0</v>
      </c>
      <c r="W12" s="3718"/>
      <c r="X12" s="1357" t="s">
        <v>2629</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725"/>
      <c r="B13" s="2194" t="s">
        <v>2630</v>
      </c>
      <c r="C13" s="2195" t="s">
        <v>2631</v>
      </c>
      <c r="D13" s="1501" t="s">
        <v>2632</v>
      </c>
      <c r="E13" s="1501" t="s">
        <v>2633</v>
      </c>
      <c r="F13" s="30" t="s">
        <v>2634</v>
      </c>
      <c r="G13" s="2196" t="s">
        <v>2635</v>
      </c>
      <c r="H13" s="2196" t="s">
        <v>2635</v>
      </c>
      <c r="I13" s="2196" t="s">
        <v>2635</v>
      </c>
      <c r="J13" s="2197" t="s">
        <v>2635</v>
      </c>
      <c r="K13" s="1249"/>
      <c r="L13" s="1249"/>
      <c r="M13" s="1249"/>
      <c r="N13" s="1249"/>
      <c r="O13" s="1249"/>
      <c r="P13" s="1249"/>
      <c r="Q13" s="1249"/>
      <c r="R13" s="1343">
        <v>12</v>
      </c>
      <c r="S13" s="1344"/>
      <c r="T13" s="1343">
        <f t="shared" si="0"/>
        <v>0</v>
      </c>
      <c r="U13" s="1344"/>
      <c r="V13" s="1343">
        <f t="shared" si="1"/>
        <v>0</v>
      </c>
      <c r="W13" s="3718"/>
      <c r="X13" s="1357"/>
      <c r="Y13" s="1354">
        <f>(-0.163*(Y12^2)-0.59*Y12+7617)*(10^(-4))/Y11</f>
        <v>0.30468000000000001</v>
      </c>
      <c r="Z13" s="1354">
        <f t="shared" ref="Z13:AJ13" si="5">(-0.163*(Z12^2)-0.59*Z12+7617)*(10^(-4))/Z11</f>
        <v>0.30468000000000001</v>
      </c>
      <c r="AA13" s="1354">
        <f t="shared" si="5"/>
        <v>0.30468000000000001</v>
      </c>
      <c r="AB13" s="1354">
        <f t="shared" si="5"/>
        <v>0.30468000000000001</v>
      </c>
      <c r="AC13" s="1354">
        <f t="shared" si="5"/>
        <v>0.30468000000000001</v>
      </c>
      <c r="AD13" s="1354">
        <f t="shared" si="5"/>
        <v>0.30468000000000001</v>
      </c>
      <c r="AE13" s="1354">
        <f t="shared" si="5"/>
        <v>0.30468000000000001</v>
      </c>
      <c r="AF13" s="1354">
        <f t="shared" si="5"/>
        <v>0.30468000000000001</v>
      </c>
      <c r="AG13" s="1354">
        <f t="shared" si="5"/>
        <v>0.30468000000000001</v>
      </c>
      <c r="AH13" s="1354">
        <f t="shared" si="5"/>
        <v>0.30468000000000001</v>
      </c>
      <c r="AI13" s="1354">
        <f t="shared" si="5"/>
        <v>0.30468000000000001</v>
      </c>
      <c r="AJ13" s="1354">
        <f t="shared" si="5"/>
        <v>0.30468000000000001</v>
      </c>
    </row>
    <row r="14" spans="1:36" ht="15">
      <c r="A14" s="3725"/>
      <c r="B14" s="2198"/>
      <c r="C14" s="2199" t="s">
        <v>3178</v>
      </c>
      <c r="D14" s="2200" t="s">
        <v>3178</v>
      </c>
      <c r="E14" s="2200" t="s">
        <v>3178</v>
      </c>
      <c r="F14" s="2201" t="s">
        <v>3179</v>
      </c>
      <c r="G14" s="2202" t="s">
        <v>2636</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6"/>
      <c r="AE14" s="2986"/>
      <c r="AF14" s="2986"/>
      <c r="AG14" s="2986"/>
      <c r="AH14" s="2986"/>
      <c r="AI14" s="2986"/>
      <c r="AJ14" s="2987"/>
    </row>
    <row r="15" spans="1:36" ht="15.75" thickBot="1">
      <c r="A15" s="3726"/>
      <c r="B15" s="2206" t="s">
        <v>2637</v>
      </c>
      <c r="C15" s="192">
        <f>IF(C14="有",1.1,1)</f>
        <v>1</v>
      </c>
      <c r="D15" s="192">
        <f>IF(D14="有",1.1,1)</f>
        <v>1</v>
      </c>
      <c r="E15" s="192">
        <f>IF(E14="有",1.1,1)</f>
        <v>1</v>
      </c>
      <c r="F15" s="192">
        <f>IF(F14="500米范围内",1.2,IF(F14="500-1000米",1.1,1))</f>
        <v>1</v>
      </c>
      <c r="G15" s="881">
        <v>1</v>
      </c>
      <c r="H15" s="881">
        <v>1</v>
      </c>
      <c r="I15" s="881">
        <v>1</v>
      </c>
      <c r="J15" s="882">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6"/>
      <c r="AE15" s="2986"/>
      <c r="AF15" s="2986"/>
      <c r="AG15" s="2986"/>
      <c r="AH15" s="2986"/>
      <c r="AI15" s="2986"/>
      <c r="AJ15" s="2987"/>
    </row>
    <row r="16" spans="1:36" ht="24.6" customHeight="1">
      <c r="A16" s="3723" t="s">
        <v>2642</v>
      </c>
      <c r="B16" s="2175" t="s">
        <v>2643</v>
      </c>
      <c r="C16" s="2337">
        <f>ROUND(IF(F17="与级别开发程度一致",0,(G17-E17)/C17),0)</f>
        <v>0</v>
      </c>
      <c r="D16" s="3739" t="s">
        <v>2647</v>
      </c>
      <c r="E16" s="3740"/>
      <c r="F16" s="3739" t="s">
        <v>2644</v>
      </c>
      <c r="G16" s="3740"/>
      <c r="H16" s="2207" t="s">
        <v>3180</v>
      </c>
      <c r="I16" s="2207" t="s">
        <v>3181</v>
      </c>
      <c r="J16" s="2341" t="s">
        <v>3182</v>
      </c>
      <c r="K16" s="2207" t="s">
        <v>3183</v>
      </c>
      <c r="L16" s="2207" t="s">
        <v>3184</v>
      </c>
      <c r="M16" s="2207" t="s">
        <v>3185</v>
      </c>
      <c r="N16" s="2207" t="s">
        <v>3186</v>
      </c>
      <c r="O16" s="2208" t="s">
        <v>3187</v>
      </c>
      <c r="P16" s="2149"/>
      <c r="Q16" s="1249"/>
      <c r="R16" s="1343">
        <v>15</v>
      </c>
      <c r="S16" s="1344"/>
      <c r="T16" s="1343">
        <f t="shared" si="0"/>
        <v>0</v>
      </c>
      <c r="U16" s="1344"/>
      <c r="V16" s="1343">
        <f t="shared" si="1"/>
        <v>0</v>
      </c>
      <c r="W16" s="1347"/>
      <c r="X16" s="1347"/>
      <c r="Y16" s="1347"/>
      <c r="Z16" s="1347"/>
      <c r="AA16" s="1347"/>
      <c r="AB16" s="1347"/>
      <c r="AC16" s="1348"/>
      <c r="AD16" s="2986"/>
      <c r="AE16" s="2986"/>
      <c r="AF16" s="2986"/>
      <c r="AG16" s="2986"/>
      <c r="AH16" s="2986"/>
      <c r="AI16" s="2986"/>
      <c r="AJ16" s="2987"/>
    </row>
    <row r="17" spans="1:37" ht="26.25" thickBot="1">
      <c r="A17" s="3727"/>
      <c r="B17" s="2348" t="s">
        <v>2646</v>
      </c>
      <c r="C17" s="2349">
        <f>SUMPRODUCT((修正!A2:A5=E2)*(修正!B1:M1=G2)*(修正!B2:M5))</f>
        <v>2.5</v>
      </c>
      <c r="D17" s="192" t="str">
        <f>IF(OR(G2="八级",G2="九级",G2="十级",G2="十一级",G2="十二级"),"五通一平","七通一平")</f>
        <v>七通一平</v>
      </c>
      <c r="E17" s="2338">
        <f>SUMPRODUCT((修正!B1:M1=G2)*(修正!B15:M15))</f>
        <v>300</v>
      </c>
      <c r="F17" s="2339" t="s">
        <v>3188</v>
      </c>
      <c r="G17" s="2340">
        <f>SUM(H17:O17)</f>
        <v>300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50</v>
      </c>
      <c r="N17" s="2349">
        <f>SUMPRODUCT((七通一平=N16)*(修正!B1:M1=G2)*(修正!B6:M14))</f>
        <v>40</v>
      </c>
      <c r="O17" s="2351">
        <f>SUMPRODUCT((七通一平=O16)*(修正!B1:M1=G2)*(修正!B6:M14))</f>
        <v>15</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2649</v>
      </c>
      <c r="C18" s="2344">
        <f>SUMIF(修正!C18:C39,E3,修正!E18:E39)</f>
        <v>1</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9.25" thickBot="1">
      <c r="A19" s="2212" t="s">
        <v>809</v>
      </c>
      <c r="B19" s="2213" t="s">
        <v>2650</v>
      </c>
      <c r="C19" s="861">
        <f>ROUND(IF(H19="按公示增长率计算",SUMPRODUCT((地价!A3:A37=YEAR(G19)&amp;"-"&amp;ROUNDUP(MONTH(G19)/3,0))*(地价!X2:AB2=E2)*(地价!X3:AB37)),IF(H19="地价指数",M20/M19,(1+I19)^O19)),4)</f>
        <v>0</v>
      </c>
      <c r="D19" s="2217" t="s">
        <v>2651</v>
      </c>
      <c r="E19" s="862">
        <v>41640</v>
      </c>
      <c r="F19" s="2217" t="s">
        <v>2652</v>
      </c>
      <c r="G19" s="863">
        <f>'数据-取费表'!B2</f>
        <v>44762</v>
      </c>
      <c r="H19" s="2218" t="s">
        <v>3189</v>
      </c>
      <c r="I19" s="864" t="str">
        <f>IF(H19="季度增幅（自定义）",SUMIF(N21:N24,E2,O21:O24),"")</f>
        <v/>
      </c>
      <c r="J19" s="2215"/>
      <c r="K19" s="1256"/>
      <c r="L19" s="2219" t="s">
        <v>2653</v>
      </c>
      <c r="M19" s="1465">
        <f>ROUND(SUMIF(地价!B2:F2,E2,地价!B37:F37),0)</f>
        <v>258</v>
      </c>
      <c r="N19" s="2220" t="s">
        <v>2654</v>
      </c>
      <c r="O19" s="865">
        <f>ROUNDDOWN(DATEDIF(E19,G19,"M")/3,0)</f>
        <v>34</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2655</v>
      </c>
      <c r="C20" s="866">
        <f>ROUND(POWER(1+G20,J20-I20)*(POWER(1+G20,I20)-1)/(POWER(1+G20,J20)-1),4)</f>
        <v>0.95289999999999997</v>
      </c>
      <c r="D20" s="2224" t="s">
        <v>2656</v>
      </c>
      <c r="E20" s="1472">
        <f>存贷款利率!E20/100</f>
        <v>4.3499999999999997E-2</v>
      </c>
      <c r="F20" s="2224" t="s">
        <v>2648</v>
      </c>
      <c r="G20" s="871">
        <f>SUMIF(M26:P26,E2,M28:P28)</f>
        <v>5.3999999999999999E-2</v>
      </c>
      <c r="H20" s="2224" t="s">
        <v>2657</v>
      </c>
      <c r="I20" s="872">
        <f>SUMIF('数据-取费表'!C6:C15,E2,'数据-取费表'!F6:F15)/COUNTIF('数据-取费表'!C6:C15,E2)</f>
        <v>34.450000000000003</v>
      </c>
      <c r="J20" s="873">
        <f>IF(E2="住宅",70,IF(E2="商业",40,50))</f>
        <v>40</v>
      </c>
      <c r="K20" s="1256"/>
      <c r="L20" s="2225" t="s">
        <v>2658</v>
      </c>
      <c r="M20" s="1466">
        <f>ROUND(SUMPRODUCT((地价!A4:A37=YEAR(G19)&amp;"-"&amp;ROUNDUP(MONTH(G19)/3,0))*(地价!B2:F2=E2)*(地价!B4:F37)),0)</f>
        <v>0</v>
      </c>
      <c r="N20" s="2226" t="s">
        <v>2659</v>
      </c>
      <c r="O20" s="2227" t="s">
        <v>2660</v>
      </c>
      <c r="P20" s="2228" t="s">
        <v>2661</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3372</v>
      </c>
      <c r="C21" s="874">
        <f>IF(B21="容积率修正",IF(G3&lt;=10,D22,J22),C23)</f>
        <v>1.8629</v>
      </c>
      <c r="D21" s="2231"/>
      <c r="E21" s="2231"/>
      <c r="F21" s="2231"/>
      <c r="G21" s="2231"/>
      <c r="H21" s="2231"/>
      <c r="I21" s="2231"/>
      <c r="J21" s="2232"/>
      <c r="K21" s="1256"/>
      <c r="L21" s="2985"/>
      <c r="M21" s="2985"/>
      <c r="N21" s="2233" t="s">
        <v>2662</v>
      </c>
      <c r="O21" s="1304"/>
      <c r="P21" s="1305">
        <f>SUMPRODUCT((地价!A3:A37=YEAR(G19)&amp;"-"&amp;ROUNDUP(MONTH(G19)/3,0))*(地价!AD2:AH2=N21)*(地价!AD3:AH37))</f>
        <v>0</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7" t="s">
        <v>2663</v>
      </c>
      <c r="B22" s="2234" t="s">
        <v>2664</v>
      </c>
      <c r="C22" s="1503" t="s">
        <v>2665</v>
      </c>
      <c r="D22" s="1503">
        <f>IF(E22=G22,F22,IF(G3&lt;=10,ROUND(F22+(H22-F22)*(G3-E22)/(G22-E22),4),"——"))</f>
        <v>1</v>
      </c>
      <c r="E22" s="853">
        <f>ROUNDDOWN(G3,1)</f>
        <v>2.5</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2.5</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3" t="s">
        <v>155</v>
      </c>
      <c r="J22" s="875" t="str">
        <f>IF(G3&gt;10,D113,"——")</f>
        <v>——</v>
      </c>
      <c r="K22" s="1256"/>
      <c r="L22" s="2985"/>
      <c r="M22" s="2985"/>
      <c r="N22" s="2233" t="s">
        <v>2666</v>
      </c>
      <c r="O22" s="1304"/>
      <c r="P22" s="1305">
        <f>SUMPRODUCT((地价!A3:A37=YEAR(G19)&amp;"-"&amp;ROUNDUP(MONTH(G19)/3,0))*(地价!AD2:AH2=N22)*(地价!AD3:AH37))</f>
        <v>0</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7" t="s">
        <v>2667</v>
      </c>
      <c r="B23" s="2235" t="s">
        <v>2668</v>
      </c>
      <c r="C23" s="948">
        <f>ROUND(IF(G3&gt;1,IF(I3&lt;7,SUMPRODUCT((B93:B98=I3)*(C92:N92=G2)*(C93:N98)),SUMIF(C92:N92,G2,C100:N100)),IF(I3&lt;7,SUMPRODUCT((B102:B107=I3)*(C92:N92=G2)*(C102:N107)),SUMIF(C92:N92,G2,C109:N109))),4)</f>
        <v>1.8629</v>
      </c>
      <c r="D23" s="2203"/>
      <c r="E23" s="2203"/>
      <c r="F23" s="2236"/>
      <c r="G23" s="2237"/>
      <c r="H23" s="2238"/>
      <c r="I23" s="2239"/>
      <c r="J23" s="2240"/>
      <c r="K23" s="1249"/>
      <c r="L23" s="2149"/>
      <c r="M23" s="2149"/>
      <c r="N23" s="2233" t="s">
        <v>2669</v>
      </c>
      <c r="O23" s="1304"/>
      <c r="P23" s="1305">
        <f>SUMPRODUCT((地价!A3:A37=YEAR(G19)&amp;"-"&amp;ROUNDUP(MONTH(G19)/3,0))*(地价!AD2:AH2=N23)*(地价!AD3:AH37))</f>
        <v>0</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2670</v>
      </c>
      <c r="C24" s="861">
        <f>SUMIF(A45:A88,E2,B45:B88)</f>
        <v>1.0395000000000001</v>
      </c>
      <c r="D24" s="2214"/>
      <c r="E24" s="2241"/>
      <c r="F24" s="2241"/>
      <c r="G24" s="2241"/>
      <c r="H24" s="2241"/>
      <c r="I24" s="2241"/>
      <c r="J24" s="2242"/>
      <c r="K24" s="1256"/>
      <c r="L24" s="2985"/>
      <c r="M24" s="2985"/>
      <c r="N24" s="2243" t="s">
        <v>2671</v>
      </c>
      <c r="O24" s="1306"/>
      <c r="P24" s="1307">
        <f>SUMPRODUCT((地价!A3:A37=YEAR(G19)&amp;"-"&amp;ROUNDUP(MONTH(G19)/3,0))*(地价!AD2:AH2=N24)*(地价!AD3:AH37))</f>
        <v>0</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2672</v>
      </c>
      <c r="C25" s="867"/>
      <c r="D25" s="2178"/>
      <c r="E25" s="2178"/>
      <c r="F25" s="2245"/>
      <c r="G25" s="2178"/>
      <c r="H25" s="2178"/>
      <c r="I25" s="2178"/>
      <c r="J25" s="2179"/>
      <c r="K25" s="1249"/>
      <c r="L25" s="2149"/>
      <c r="M25" s="2149"/>
      <c r="N25" s="2980" t="s">
        <v>2673</v>
      </c>
      <c r="O25" s="2981"/>
      <c r="P25" s="2982">
        <f>SUMPRODUCT((地价!A3:A37=YEAR(G19)&amp;"-"&amp;ROUNDUP(MONTH(G19)/3,0))*(地价!AD2:AH2=N25)*(地价!AD3:AH37))</f>
        <v>0</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2674</v>
      </c>
      <c r="C26" s="2508">
        <f>IF(B21="容积率修正",E29+SUM(E33:E39),SUM(V2:V16)+SUM(E33:E39))</f>
        <v>0</v>
      </c>
      <c r="D26" s="2247"/>
      <c r="E26" s="2203"/>
      <c r="F26" s="2248"/>
      <c r="G26" s="2203"/>
      <c r="H26" s="2203"/>
      <c r="I26" s="2203"/>
      <c r="J26" s="2249"/>
      <c r="K26" s="1249"/>
      <c r="L26" s="2983" t="s">
        <v>2574</v>
      </c>
      <c r="M26" s="2176" t="s">
        <v>2638</v>
      </c>
      <c r="N26" s="2176" t="s">
        <v>2639</v>
      </c>
      <c r="O26" s="2176" t="s">
        <v>2640</v>
      </c>
      <c r="P26" s="2984" t="s">
        <v>2641</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2675</v>
      </c>
      <c r="C27" s="868">
        <f>E30+SUM(I33:I39)</f>
        <v>0</v>
      </c>
      <c r="D27" s="2251"/>
      <c r="E27" s="2252"/>
      <c r="F27" s="2253"/>
      <c r="G27" s="2252"/>
      <c r="H27" s="2252"/>
      <c r="I27" s="2252"/>
      <c r="J27" s="2254"/>
      <c r="K27" s="1249"/>
      <c r="L27" s="2209" t="s">
        <v>2645</v>
      </c>
      <c r="M27" s="859">
        <v>0.25</v>
      </c>
      <c r="N27" s="859">
        <v>0.2</v>
      </c>
      <c r="O27" s="859">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2676</v>
      </c>
      <c r="C28" s="2257" t="s">
        <v>2677</v>
      </c>
      <c r="D28" s="2257" t="s">
        <v>2678</v>
      </c>
      <c r="E28" s="2258" t="s">
        <v>2679</v>
      </c>
      <c r="F28" s="2259"/>
      <c r="G28" s="2191"/>
      <c r="H28" s="2191"/>
      <c r="I28" s="2191"/>
      <c r="J28" s="2192"/>
      <c r="K28" s="1249"/>
      <c r="L28" s="2210" t="s">
        <v>2648</v>
      </c>
      <c r="M28" s="182">
        <f>ROUND($E$20*(1+M27),3)</f>
        <v>5.3999999999999999E-2</v>
      </c>
      <c r="N28" s="182">
        <f>ROUND($E$20*(1+N27),3)</f>
        <v>5.1999999999999998E-2</v>
      </c>
      <c r="O28" s="182">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2680</v>
      </c>
      <c r="C29" s="179">
        <f>ROUND(C5*C18*C19*C20*C21*C24,0)</f>
        <v>0</v>
      </c>
      <c r="D29" s="2262">
        <f>'数据-基础表'!I14</f>
        <v>0</v>
      </c>
      <c r="E29" s="877">
        <f>ROUND(C29*D29/10000,0)</f>
        <v>0</v>
      </c>
      <c r="F29" s="2263" t="s">
        <v>2681</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2682</v>
      </c>
      <c r="C30" s="192">
        <f>ROUND(IF(E2="工业",C29*M39,C29*M38),0)</f>
        <v>0</v>
      </c>
      <c r="D30" s="2268"/>
      <c r="E30" s="877">
        <f>ROUND(C30*D30/10000,0)</f>
        <v>0</v>
      </c>
      <c r="F30" s="2269" t="s">
        <v>2683</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2684</v>
      </c>
      <c r="C31" s="2274" t="s">
        <v>2685</v>
      </c>
      <c r="D31" s="2191"/>
      <c r="E31" s="2274"/>
      <c r="F31" s="2274"/>
      <c r="G31" s="2189" t="s">
        <v>2686</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7" t="s">
        <v>2677</v>
      </c>
      <c r="D32" s="454" t="s">
        <v>2678</v>
      </c>
      <c r="E32" s="454" t="s">
        <v>2679</v>
      </c>
      <c r="F32" s="347" t="s">
        <v>2687</v>
      </c>
      <c r="G32" s="2277" t="s">
        <v>2677</v>
      </c>
      <c r="H32" s="2277" t="s">
        <v>2678</v>
      </c>
      <c r="I32" s="2277" t="s">
        <v>2679</v>
      </c>
      <c r="J32" s="248"/>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736"/>
      <c r="B33" s="2278" t="s">
        <v>2688</v>
      </c>
      <c r="C33" s="179">
        <f>ROUND(D5*C19*C20*C24*F33,0)</f>
        <v>0</v>
      </c>
      <c r="D33" s="2262"/>
      <c r="E33" s="175">
        <f>ROUND(C33*D33/10000,0)</f>
        <v>0</v>
      </c>
      <c r="F33" s="175">
        <f>SUMIF(修正!A45:A56,G2,修正!B45:B56)</f>
        <v>0.7</v>
      </c>
      <c r="G33" s="175">
        <f t="shared" ref="G33" si="6">ROUND(IF(E2="工业",C33*$M$39,C33*$M$38),0)</f>
        <v>0</v>
      </c>
      <c r="H33" s="175">
        <f>D33</f>
        <v>0</v>
      </c>
      <c r="I33" s="175">
        <f>ROUND(G33*H33/10000,0)</f>
        <v>0</v>
      </c>
      <c r="J33" s="3741" t="s">
        <v>2992</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737"/>
      <c r="B34" s="2195" t="s">
        <v>2689</v>
      </c>
      <c r="C34" s="179">
        <f>ROUND(D5*C19*C20*C24*F34,0)</f>
        <v>0</v>
      </c>
      <c r="D34" s="2262"/>
      <c r="E34" s="175">
        <f t="shared" ref="E34:E39" si="7">ROUND(C34*D34/10000,0)</f>
        <v>0</v>
      </c>
      <c r="F34" s="175">
        <f>SUMIF(修正!A45:A56,G2,修正!C45:C56)</f>
        <v>0.4</v>
      </c>
      <c r="G34" s="175">
        <f>ROUND(IF(E2="工业",C34*$M$39,C34*$M$38),0)</f>
        <v>0</v>
      </c>
      <c r="H34" s="175">
        <f t="shared" ref="H34:H39" si="8">D34</f>
        <v>0</v>
      </c>
      <c r="I34" s="175">
        <f t="shared" ref="I34:I39" si="9">ROUND(G34*H34/10000,0)</f>
        <v>0</v>
      </c>
      <c r="J34" s="3737"/>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737"/>
      <c r="B35" s="2195" t="s">
        <v>2690</v>
      </c>
      <c r="C35" s="179">
        <f>ROUND(D5*C19*C20*C24*F35,0)</f>
        <v>0</v>
      </c>
      <c r="D35" s="2262"/>
      <c r="E35" s="175">
        <f t="shared" si="7"/>
        <v>0</v>
      </c>
      <c r="F35" s="175">
        <f>SUMIF(修正!A45:A56,G2,修正!D45:D56)</f>
        <v>0.28000000000000003</v>
      </c>
      <c r="G35" s="175">
        <f>ROUND(IF(E2="工业",C35*$M$39,C35*$M$38),0)</f>
        <v>0</v>
      </c>
      <c r="H35" s="175">
        <f t="shared" si="8"/>
        <v>0</v>
      </c>
      <c r="I35" s="175">
        <f t="shared" si="9"/>
        <v>0</v>
      </c>
      <c r="J35" s="3737"/>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738"/>
      <c r="B36" s="2195" t="s">
        <v>2691</v>
      </c>
      <c r="C36" s="179">
        <f>ROUND(D5*C19*C20*C24*F36,0)</f>
        <v>0</v>
      </c>
      <c r="D36" s="2262"/>
      <c r="E36" s="175">
        <f t="shared" si="7"/>
        <v>0</v>
      </c>
      <c r="F36" s="175">
        <f>SUMIF(修正!A45:A56,G2,修正!E45:E56)</f>
        <v>0.25</v>
      </c>
      <c r="G36" s="175">
        <f>ROUND(IF(E2="工业",C36*$M$39,C36*$M$38),0)</f>
        <v>0</v>
      </c>
      <c r="H36" s="175">
        <f t="shared" si="8"/>
        <v>0</v>
      </c>
      <c r="I36" s="175">
        <f t="shared" si="9"/>
        <v>0</v>
      </c>
      <c r="J36" s="3738"/>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2692</v>
      </c>
      <c r="C37" s="175">
        <f>ROUND(D5*C19*C20*C24*F37,0)</f>
        <v>0</v>
      </c>
      <c r="D37" s="2262"/>
      <c r="E37" s="175">
        <f t="shared" si="7"/>
        <v>0</v>
      </c>
      <c r="F37" s="179">
        <f>SUMIF(修正!A45:A56,G2,修正!F45:F56)</f>
        <v>0.25</v>
      </c>
      <c r="G37" s="175">
        <f>ROUND(IF(E2="工业",C37*$M$39,C37*$M$38),0)</f>
        <v>0</v>
      </c>
      <c r="H37" s="175">
        <f t="shared" si="8"/>
        <v>0</v>
      </c>
      <c r="I37" s="175">
        <f t="shared" si="9"/>
        <v>0</v>
      </c>
      <c r="J37" s="2279"/>
      <c r="K37" s="1249"/>
      <c r="L37" s="2281" t="s">
        <v>2693</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2694</v>
      </c>
      <c r="C38" s="175">
        <f>ROUND(D5*C19*C41*C24*F38,0)</f>
        <v>0</v>
      </c>
      <c r="D38" s="2262"/>
      <c r="E38" s="175">
        <f t="shared" si="7"/>
        <v>0</v>
      </c>
      <c r="F38" s="179">
        <f>SUMIF(修正!A45:A56,G2,修正!G45:G56)</f>
        <v>0.25</v>
      </c>
      <c r="G38" s="175">
        <f>ROUND(IF(E2="工业",C38*$M$39,C38*$M$38),0)</f>
        <v>0</v>
      </c>
      <c r="H38" s="175">
        <f t="shared" si="8"/>
        <v>0</v>
      </c>
      <c r="I38" s="175">
        <f t="shared" si="9"/>
        <v>0</v>
      </c>
      <c r="J38" s="2279"/>
      <c r="K38" s="1249"/>
      <c r="L38" s="1572" t="s">
        <v>2695</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2696</v>
      </c>
      <c r="C39" s="192">
        <f>ROUND(D5*C19*C41*C24*F39,0)</f>
        <v>0</v>
      </c>
      <c r="D39" s="2268"/>
      <c r="E39" s="192">
        <f t="shared" si="7"/>
        <v>0</v>
      </c>
      <c r="F39" s="869">
        <f>SUMIF(修正!A45:A56,G2,修正!H45:H56)</f>
        <v>0.2</v>
      </c>
      <c r="G39" s="192">
        <f>ROUND(IF(E2="工业",C39*$M$39,C39*$M$38),0)</f>
        <v>0</v>
      </c>
      <c r="H39" s="192">
        <f t="shared" si="8"/>
        <v>0</v>
      </c>
      <c r="I39" s="192">
        <f t="shared" si="9"/>
        <v>0</v>
      </c>
      <c r="J39" s="2285"/>
      <c r="K39" s="1249"/>
      <c r="L39" s="2286" t="s">
        <v>2641</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2799</v>
      </c>
      <c r="C41" s="347">
        <f>ROUND(POWER(1+E41,H41-G41)*(POWER(1+E41,G41)-1)/(POWER(1+E41,H41)-1),4)</f>
        <v>1</v>
      </c>
      <c r="D41" s="175" t="s">
        <v>2648</v>
      </c>
      <c r="E41" s="2335">
        <f>G20</f>
        <v>5.3999999999999999E-2</v>
      </c>
      <c r="F41" s="175" t="s">
        <v>2657</v>
      </c>
      <c r="G41" s="188">
        <f>H41</f>
        <v>50</v>
      </c>
      <c r="H41" s="175">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2697</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2698</v>
      </c>
      <c r="B46" s="2292">
        <f>1+E48</f>
        <v>1.0395000000000001</v>
      </c>
      <c r="C46" s="2293"/>
      <c r="D46" s="751"/>
      <c r="E46" s="752"/>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2699</v>
      </c>
      <c r="B47" s="1502" t="s">
        <v>2700</v>
      </c>
      <c r="C47" s="1502" t="s">
        <v>2701</v>
      </c>
      <c r="D47" s="1502" t="s">
        <v>2702</v>
      </c>
      <c r="E47" s="756" t="s">
        <v>2703</v>
      </c>
      <c r="F47" s="2296" t="s">
        <v>2704</v>
      </c>
      <c r="G47" s="1502" t="s">
        <v>754</v>
      </c>
      <c r="H47" s="2297" t="s">
        <v>2705</v>
      </c>
      <c r="I47" s="1502" t="s">
        <v>2706</v>
      </c>
      <c r="J47" s="559" t="s">
        <v>2358</v>
      </c>
      <c r="K47" s="559" t="s">
        <v>2359</v>
      </c>
      <c r="L47" s="559" t="s">
        <v>2360</v>
      </c>
      <c r="M47" s="559" t="s">
        <v>2361</v>
      </c>
      <c r="N47" s="559" t="s">
        <v>2362</v>
      </c>
      <c r="AA47" s="1250"/>
      <c r="AB47" s="1250"/>
      <c r="AC47" s="1250"/>
      <c r="AD47" s="1250"/>
      <c r="AE47" s="1250"/>
      <c r="AF47" s="1250"/>
      <c r="AG47" s="1250"/>
      <c r="AH47" s="1250"/>
      <c r="AI47" s="1250"/>
      <c r="AJ47" s="1250"/>
      <c r="AK47" s="1250"/>
    </row>
    <row r="48" spans="1:37" s="1249" customFormat="1" ht="38.25">
      <c r="A48" s="2295" t="s">
        <v>2707</v>
      </c>
      <c r="B48" s="2298" t="str">
        <f>估价对象房地状况!C4</f>
        <v>估价对象位于XX商圈，周边商业氛围成熟，人流量大，商业繁华度好</v>
      </c>
      <c r="C48" s="2200" t="s">
        <v>3190</v>
      </c>
      <c r="D48" s="1194">
        <f t="shared" ref="D48:D56" si="10">SUMIF($J$47:$N$47,C48,J48:N48)</f>
        <v>0</v>
      </c>
      <c r="E48" s="758">
        <f>ROUND(SUM(D48:D56),4)</f>
        <v>3.95E-2</v>
      </c>
      <c r="F48" s="1966">
        <f>IF(E2="商业",SUMIF(L1:L12,G2,N1:N12),"——")</f>
        <v>0.13</v>
      </c>
      <c r="G48" s="1192">
        <f>H48</f>
        <v>2.1399999999999999E-2</v>
      </c>
      <c r="H48" s="1196">
        <f t="shared" ref="H48:H56" si="11">IFERROR(ROUNDDOWN($F$48*I48/2,4),"——")</f>
        <v>2.1399999999999999E-2</v>
      </c>
      <c r="I48" s="757">
        <v>0.33</v>
      </c>
      <c r="J48" s="1193">
        <f t="shared" ref="J48:J56" si="12">K48+$G48</f>
        <v>4.2799999999999998E-2</v>
      </c>
      <c r="K48" s="1193">
        <f t="shared" ref="K48:K56" si="13">$L48+$G48</f>
        <v>2.1399999999999999E-2</v>
      </c>
      <c r="L48" s="1193">
        <v>0</v>
      </c>
      <c r="M48" s="1193">
        <f t="shared" ref="M48:N56" si="14">L48-$G48</f>
        <v>-2.1399999999999999E-2</v>
      </c>
      <c r="N48" s="1193">
        <f t="shared" si="14"/>
        <v>-4.2799999999999998E-2</v>
      </c>
      <c r="AA48" s="1250"/>
      <c r="AB48" s="1250"/>
      <c r="AC48" s="1250"/>
      <c r="AD48" s="1250"/>
      <c r="AE48" s="1250"/>
      <c r="AF48" s="1250"/>
      <c r="AG48" s="1250"/>
      <c r="AH48" s="1250"/>
      <c r="AI48" s="1250"/>
      <c r="AJ48" s="1250"/>
      <c r="AK48" s="1250"/>
    </row>
    <row r="49" spans="1:37" s="1249" customFormat="1" ht="51">
      <c r="A49" s="2295" t="s">
        <v>2708</v>
      </c>
      <c r="B49" s="2299" t="str">
        <f>估价对象房地状况!C18</f>
        <v>估价对象周边道路状况、公共交通通达情况、停车便捷程度，综合评价交通便捷度较好</v>
      </c>
      <c r="C49" s="2200" t="s">
        <v>3154</v>
      </c>
      <c r="D49" s="1194">
        <f t="shared" si="10"/>
        <v>1.6199999999999999E-2</v>
      </c>
      <c r="E49" s="759"/>
      <c r="F49" s="1966"/>
      <c r="G49" s="1192">
        <f t="shared" ref="G49:G56" si="15">H49</f>
        <v>1.6199999999999999E-2</v>
      </c>
      <c r="H49" s="1196">
        <f t="shared" si="11"/>
        <v>1.6199999999999999E-2</v>
      </c>
      <c r="I49" s="757">
        <v>0.25</v>
      </c>
      <c r="J49" s="1193">
        <f t="shared" si="12"/>
        <v>3.2399999999999998E-2</v>
      </c>
      <c r="K49" s="1193">
        <f t="shared" si="13"/>
        <v>1.6199999999999999E-2</v>
      </c>
      <c r="L49" s="1193">
        <v>0</v>
      </c>
      <c r="M49" s="1193">
        <f t="shared" si="14"/>
        <v>-1.6199999999999999E-2</v>
      </c>
      <c r="N49" s="1193">
        <f t="shared" si="14"/>
        <v>-3.2399999999999998E-2</v>
      </c>
      <c r="AA49" s="1250"/>
      <c r="AB49" s="1250"/>
      <c r="AC49" s="1250"/>
      <c r="AD49" s="1250"/>
      <c r="AE49" s="1250"/>
      <c r="AF49" s="1250"/>
      <c r="AG49" s="1250"/>
      <c r="AH49" s="1250"/>
      <c r="AI49" s="1250"/>
      <c r="AJ49" s="1250"/>
      <c r="AK49" s="1250"/>
    </row>
    <row r="50" spans="1:37" s="1249" customFormat="1" ht="24">
      <c r="A50" s="2295" t="s">
        <v>2709</v>
      </c>
      <c r="B50" s="2299">
        <f>估价对象房地状况!C19</f>
        <v>0</v>
      </c>
      <c r="C50" s="2200" t="s">
        <v>3154</v>
      </c>
      <c r="D50" s="1194">
        <f t="shared" si="10"/>
        <v>3.2000000000000002E-3</v>
      </c>
      <c r="E50" s="759"/>
      <c r="F50" s="1966"/>
      <c r="G50" s="1192">
        <f t="shared" si="15"/>
        <v>3.2000000000000002E-3</v>
      </c>
      <c r="H50" s="1196">
        <f t="shared" si="11"/>
        <v>3.2000000000000002E-3</v>
      </c>
      <c r="I50" s="757">
        <v>0.05</v>
      </c>
      <c r="J50" s="1193">
        <f t="shared" si="12"/>
        <v>6.4000000000000003E-3</v>
      </c>
      <c r="K50" s="1193">
        <f t="shared" si="13"/>
        <v>3.2000000000000002E-3</v>
      </c>
      <c r="L50" s="1193">
        <v>0</v>
      </c>
      <c r="M50" s="1193">
        <f t="shared" si="14"/>
        <v>-3.2000000000000002E-3</v>
      </c>
      <c r="N50" s="1193">
        <f t="shared" si="14"/>
        <v>-6.4000000000000003E-3</v>
      </c>
      <c r="AA50" s="1250"/>
      <c r="AB50" s="1250"/>
      <c r="AC50" s="1250"/>
      <c r="AD50" s="1250"/>
      <c r="AE50" s="1250"/>
      <c r="AF50" s="1250"/>
      <c r="AG50" s="1250"/>
      <c r="AH50" s="1250"/>
      <c r="AI50" s="1250"/>
      <c r="AJ50" s="1250"/>
      <c r="AK50" s="1250"/>
    </row>
    <row r="51" spans="1:37" s="1249" customFormat="1" ht="36.75">
      <c r="A51" s="2295" t="s">
        <v>2710</v>
      </c>
      <c r="B51" s="2300" t="s">
        <v>2711</v>
      </c>
      <c r="C51" s="2200" t="s">
        <v>3190</v>
      </c>
      <c r="D51" s="1194">
        <f t="shared" si="10"/>
        <v>0</v>
      </c>
      <c r="E51" s="759"/>
      <c r="F51" s="1966"/>
      <c r="G51" s="1192">
        <f t="shared" si="15"/>
        <v>3.2000000000000002E-3</v>
      </c>
      <c r="H51" s="1196">
        <f t="shared" si="11"/>
        <v>3.2000000000000002E-3</v>
      </c>
      <c r="I51" s="757">
        <v>0.05</v>
      </c>
      <c r="J51" s="1193">
        <f t="shared" si="12"/>
        <v>6.4000000000000003E-3</v>
      </c>
      <c r="K51" s="1193">
        <f t="shared" si="13"/>
        <v>3.2000000000000002E-3</v>
      </c>
      <c r="L51" s="1193">
        <v>0</v>
      </c>
      <c r="M51" s="1193">
        <f t="shared" si="14"/>
        <v>-3.2000000000000002E-3</v>
      </c>
      <c r="N51" s="1193">
        <f t="shared" si="14"/>
        <v>-6.4000000000000003E-3</v>
      </c>
      <c r="AA51" s="1250"/>
      <c r="AB51" s="1250"/>
      <c r="AC51" s="1250"/>
      <c r="AD51" s="1250"/>
      <c r="AE51" s="1250"/>
      <c r="AF51" s="1250"/>
      <c r="AG51" s="1250"/>
      <c r="AH51" s="1250"/>
      <c r="AI51" s="1250"/>
      <c r="AJ51" s="1250"/>
      <c r="AK51" s="1250"/>
    </row>
    <row r="52" spans="1:37" s="1249" customFormat="1" ht="24">
      <c r="A52" s="2295" t="s">
        <v>2712</v>
      </c>
      <c r="B52" s="2299">
        <f>估价对象房地状况!C24</f>
        <v>0</v>
      </c>
      <c r="C52" s="2200" t="s">
        <v>3154</v>
      </c>
      <c r="D52" s="1194">
        <f t="shared" si="10"/>
        <v>5.1999999999999998E-3</v>
      </c>
      <c r="E52" s="759"/>
      <c r="F52" s="1966"/>
      <c r="G52" s="1192">
        <f t="shared" si="15"/>
        <v>5.1999999999999998E-3</v>
      </c>
      <c r="H52" s="1196">
        <f t="shared" si="11"/>
        <v>5.1999999999999998E-3</v>
      </c>
      <c r="I52" s="757">
        <v>0.08</v>
      </c>
      <c r="J52" s="1193">
        <f t="shared" si="12"/>
        <v>1.04E-2</v>
      </c>
      <c r="K52" s="1193">
        <f t="shared" si="13"/>
        <v>5.1999999999999998E-3</v>
      </c>
      <c r="L52" s="1193">
        <v>0</v>
      </c>
      <c r="M52" s="1193">
        <f t="shared" si="14"/>
        <v>-5.1999999999999998E-3</v>
      </c>
      <c r="N52" s="1193">
        <f t="shared" si="14"/>
        <v>-1.04E-2</v>
      </c>
      <c r="AA52" s="1250"/>
      <c r="AB52" s="1250"/>
      <c r="AC52" s="1250"/>
      <c r="AD52" s="1250"/>
      <c r="AE52" s="1250"/>
      <c r="AF52" s="1250"/>
      <c r="AG52" s="1250"/>
      <c r="AH52" s="1250"/>
      <c r="AI52" s="1250"/>
      <c r="AJ52" s="1250"/>
      <c r="AK52" s="1250"/>
    </row>
    <row r="53" spans="1:37" s="1249" customFormat="1" ht="24">
      <c r="A53" s="2295" t="s">
        <v>2713</v>
      </c>
      <c r="B53" s="2301" t="s">
        <v>2714</v>
      </c>
      <c r="C53" s="2200" t="s">
        <v>3154</v>
      </c>
      <c r="D53" s="1194">
        <f t="shared" si="10"/>
        <v>1.9E-3</v>
      </c>
      <c r="E53" s="759"/>
      <c r="F53" s="1966"/>
      <c r="G53" s="1192">
        <f t="shared" si="15"/>
        <v>1.9E-3</v>
      </c>
      <c r="H53" s="1196">
        <f t="shared" si="11"/>
        <v>1.9E-3</v>
      </c>
      <c r="I53" s="757">
        <v>0.03</v>
      </c>
      <c r="J53" s="1193">
        <f t="shared" si="12"/>
        <v>3.8E-3</v>
      </c>
      <c r="K53" s="1193">
        <f t="shared" si="13"/>
        <v>1.9E-3</v>
      </c>
      <c r="L53" s="1193">
        <v>0</v>
      </c>
      <c r="M53" s="1193">
        <f t="shared" si="14"/>
        <v>-1.9E-3</v>
      </c>
      <c r="N53" s="1193">
        <f t="shared" si="14"/>
        <v>-3.8E-3</v>
      </c>
      <c r="AA53" s="1250"/>
      <c r="AB53" s="1250"/>
      <c r="AC53" s="1250"/>
      <c r="AD53" s="1250"/>
      <c r="AE53" s="1250"/>
      <c r="AF53" s="1250"/>
      <c r="AG53" s="1250"/>
      <c r="AH53" s="1250"/>
      <c r="AI53" s="1250"/>
      <c r="AJ53" s="1250"/>
      <c r="AK53" s="1250"/>
    </row>
    <row r="54" spans="1:37" s="1249" customFormat="1" ht="25.5">
      <c r="A54" s="2302" t="s">
        <v>2715</v>
      </c>
      <c r="B54" s="1463" t="str">
        <f>估价对象房地状况!C21</f>
        <v>估价对象所在区域公共配套设施齐备情况</v>
      </c>
      <c r="C54" s="2200" t="s">
        <v>3190</v>
      </c>
      <c r="D54" s="1194">
        <f t="shared" si="10"/>
        <v>0</v>
      </c>
      <c r="E54" s="759"/>
      <c r="F54" s="1966"/>
      <c r="G54" s="1192">
        <f t="shared" si="15"/>
        <v>3.2000000000000002E-3</v>
      </c>
      <c r="H54" s="1196">
        <f t="shared" si="11"/>
        <v>3.2000000000000002E-3</v>
      </c>
      <c r="I54" s="757">
        <v>0.05</v>
      </c>
      <c r="J54" s="1193">
        <f t="shared" si="12"/>
        <v>6.4000000000000003E-3</v>
      </c>
      <c r="K54" s="1193">
        <f t="shared" si="13"/>
        <v>3.2000000000000002E-3</v>
      </c>
      <c r="L54" s="1193">
        <v>0</v>
      </c>
      <c r="M54" s="1193">
        <f t="shared" si="14"/>
        <v>-3.2000000000000002E-3</v>
      </c>
      <c r="N54" s="1193">
        <f t="shared" si="14"/>
        <v>-6.4000000000000003E-3</v>
      </c>
      <c r="AA54" s="1250"/>
      <c r="AB54" s="1250"/>
      <c r="AC54" s="1250"/>
      <c r="AD54" s="1250"/>
      <c r="AE54" s="1250"/>
      <c r="AF54" s="1250"/>
      <c r="AG54" s="1250"/>
      <c r="AH54" s="1250"/>
      <c r="AI54" s="1250"/>
      <c r="AJ54" s="1250"/>
      <c r="AK54" s="1250"/>
    </row>
    <row r="55" spans="1:37" s="1249" customFormat="1" ht="25.5">
      <c r="A55" s="2302" t="s">
        <v>2716</v>
      </c>
      <c r="B55" s="2299" t="str">
        <f>估价对象房地状况!C22</f>
        <v>估价对象所在区域基础设施水平</v>
      </c>
      <c r="C55" s="2200" t="s">
        <v>3191</v>
      </c>
      <c r="D55" s="1194">
        <f t="shared" si="10"/>
        <v>1.2999999999999999E-2</v>
      </c>
      <c r="E55" s="759"/>
      <c r="F55" s="1966"/>
      <c r="G55" s="1192">
        <f t="shared" si="15"/>
        <v>6.4999999999999997E-3</v>
      </c>
      <c r="H55" s="1196">
        <f t="shared" si="11"/>
        <v>6.4999999999999997E-3</v>
      </c>
      <c r="I55" s="757">
        <v>0.1</v>
      </c>
      <c r="J55" s="1193">
        <f t="shared" si="12"/>
        <v>1.2999999999999999E-2</v>
      </c>
      <c r="K55" s="1193">
        <f t="shared" si="13"/>
        <v>6.4999999999999997E-3</v>
      </c>
      <c r="L55" s="1193">
        <v>0</v>
      </c>
      <c r="M55" s="1193">
        <f t="shared" si="14"/>
        <v>-6.4999999999999997E-3</v>
      </c>
      <c r="N55" s="1193">
        <f t="shared" si="14"/>
        <v>-1.2999999999999999E-2</v>
      </c>
      <c r="AA55" s="1250"/>
      <c r="AB55" s="1250"/>
      <c r="AC55" s="1250"/>
      <c r="AD55" s="1250"/>
      <c r="AE55" s="1250"/>
      <c r="AF55" s="1250"/>
      <c r="AG55" s="1250"/>
      <c r="AH55" s="1250"/>
      <c r="AI55" s="1250"/>
      <c r="AJ55" s="1250"/>
      <c r="AK55" s="1250"/>
    </row>
    <row r="56" spans="1:37" s="1249" customFormat="1" ht="39" thickBot="1">
      <c r="A56" s="2303" t="s">
        <v>2717</v>
      </c>
      <c r="B56" s="2304" t="str">
        <f>估价对象房地状况!C20</f>
        <v>区域自然环境：；人文环境；综合评价环境状况一般</v>
      </c>
      <c r="C56" s="2200" t="s">
        <v>3190</v>
      </c>
      <c r="D56" s="1194">
        <f t="shared" si="10"/>
        <v>0</v>
      </c>
      <c r="E56" s="762"/>
      <c r="F56" s="1966"/>
      <c r="G56" s="1192">
        <f t="shared" si="15"/>
        <v>3.8999999999999998E-3</v>
      </c>
      <c r="H56" s="1196">
        <f t="shared" si="11"/>
        <v>3.8999999999999998E-3</v>
      </c>
      <c r="I56" s="761">
        <v>0.06</v>
      </c>
      <c r="J56" s="1193">
        <f t="shared" si="12"/>
        <v>7.7999999999999996E-3</v>
      </c>
      <c r="K56" s="1193">
        <f t="shared" si="13"/>
        <v>3.8999999999999998E-3</v>
      </c>
      <c r="L56" s="1193">
        <v>0</v>
      </c>
      <c r="M56" s="1193">
        <f t="shared" si="14"/>
        <v>-3.8999999999999998E-3</v>
      </c>
      <c r="N56" s="1193">
        <f t="shared" si="14"/>
        <v>-7.7999999999999996E-3</v>
      </c>
      <c r="AA56" s="1250"/>
      <c r="AB56" s="1250"/>
      <c r="AC56" s="1250"/>
      <c r="AD56" s="1250"/>
      <c r="AE56" s="1250"/>
      <c r="AF56" s="1250"/>
      <c r="AG56" s="1250"/>
      <c r="AH56" s="1250"/>
      <c r="AI56" s="1250"/>
      <c r="AJ56" s="1250"/>
      <c r="AK56" s="1250"/>
    </row>
    <row r="57" spans="1:37" s="1249" customFormat="1" ht="15">
      <c r="A57" s="2291" t="s">
        <v>2718</v>
      </c>
      <c r="B57" s="2292">
        <f>1+E59</f>
        <v>1</v>
      </c>
      <c r="C57" s="751"/>
      <c r="D57" s="751"/>
      <c r="E57" s="752"/>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2699</v>
      </c>
      <c r="B58" s="1502"/>
      <c r="C58" s="1502" t="s">
        <v>2701</v>
      </c>
      <c r="D58" s="1502" t="s">
        <v>2702</v>
      </c>
      <c r="E58" s="756" t="s">
        <v>2703</v>
      </c>
      <c r="F58" s="2296" t="s">
        <v>2719</v>
      </c>
      <c r="G58" s="1502" t="s">
        <v>754</v>
      </c>
      <c r="H58" s="2297" t="s">
        <v>2705</v>
      </c>
      <c r="I58" s="1502" t="s">
        <v>2706</v>
      </c>
      <c r="J58" s="559" t="s">
        <v>2358</v>
      </c>
      <c r="K58" s="559" t="s">
        <v>2359</v>
      </c>
      <c r="L58" s="559" t="s">
        <v>2360</v>
      </c>
      <c r="M58" s="559" t="s">
        <v>2361</v>
      </c>
      <c r="N58" s="559" t="s">
        <v>2362</v>
      </c>
      <c r="AA58" s="1250"/>
      <c r="AB58" s="1250"/>
      <c r="AC58" s="1250"/>
      <c r="AD58" s="1250"/>
      <c r="AE58" s="1250"/>
      <c r="AF58" s="1250"/>
      <c r="AG58" s="1250"/>
      <c r="AH58" s="1250"/>
      <c r="AI58" s="1250"/>
      <c r="AJ58" s="1250"/>
      <c r="AK58" s="1250"/>
    </row>
    <row r="59" spans="1:37" s="1249" customFormat="1" ht="38.25">
      <c r="A59" s="2295" t="s">
        <v>2720</v>
      </c>
      <c r="B59" s="2298" t="str">
        <f>估价对象房地状况!C17</f>
        <v>估价对象位于XX商圈，周边办公楼项目较多，入驻率高，办公集聚程度较好</v>
      </c>
      <c r="C59" s="2200"/>
      <c r="D59" s="1194">
        <f t="shared" ref="D59:D67" si="16">SUMIF($J$58:$N$58,C59,J59:N59)</f>
        <v>0</v>
      </c>
      <c r="E59" s="758">
        <f>ROUND(SUM(D59:D67),4)</f>
        <v>0</v>
      </c>
      <c r="F59" s="1966"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50"/>
      <c r="AB59" s="1250"/>
      <c r="AC59" s="1250"/>
      <c r="AD59" s="1250"/>
      <c r="AE59" s="1250"/>
      <c r="AF59" s="1250"/>
      <c r="AG59" s="1250"/>
      <c r="AH59" s="1250"/>
      <c r="AI59" s="1250"/>
      <c r="AJ59" s="1250"/>
      <c r="AK59" s="1250"/>
    </row>
    <row r="60" spans="1:37" s="1249" customFormat="1" ht="51">
      <c r="A60" s="2295" t="s">
        <v>2708</v>
      </c>
      <c r="B60" s="2299" t="str">
        <f>估价对象房地状况!C18</f>
        <v>估价对象周边道路状况、公共交通通达情况、停车便捷程度，综合评价交通便捷度较好</v>
      </c>
      <c r="C60" s="2200"/>
      <c r="D60" s="1194">
        <f t="shared" si="16"/>
        <v>0</v>
      </c>
      <c r="E60" s="759"/>
      <c r="F60" s="1966"/>
      <c r="G60" s="1192"/>
      <c r="H60" s="1196" t="str">
        <f t="shared" si="17"/>
        <v>——</v>
      </c>
      <c r="I60" s="757">
        <v>0.3</v>
      </c>
      <c r="J60" s="1193">
        <f t="shared" si="18"/>
        <v>0</v>
      </c>
      <c r="K60" s="1193">
        <f t="shared" si="19"/>
        <v>0</v>
      </c>
      <c r="L60" s="1193">
        <v>0</v>
      </c>
      <c r="M60" s="1193">
        <f t="shared" si="20"/>
        <v>0</v>
      </c>
      <c r="N60" s="1193">
        <f t="shared" si="20"/>
        <v>0</v>
      </c>
      <c r="AA60" s="1250"/>
      <c r="AB60" s="1250"/>
      <c r="AC60" s="1250"/>
      <c r="AD60" s="1250"/>
      <c r="AE60" s="1250"/>
      <c r="AF60" s="1250"/>
      <c r="AG60" s="1250"/>
      <c r="AH60" s="1250"/>
      <c r="AI60" s="1250"/>
      <c r="AJ60" s="1250"/>
      <c r="AK60" s="1250"/>
    </row>
    <row r="61" spans="1:37" s="1249" customFormat="1" ht="24">
      <c r="A61" s="2295" t="s">
        <v>2709</v>
      </c>
      <c r="B61" s="2299">
        <f>估价对象房地状况!C19</f>
        <v>0</v>
      </c>
      <c r="C61" s="2200"/>
      <c r="D61" s="1194">
        <f t="shared" si="16"/>
        <v>0</v>
      </c>
      <c r="E61" s="759"/>
      <c r="F61" s="1966"/>
      <c r="G61" s="1192"/>
      <c r="H61" s="1196" t="str">
        <f t="shared" si="17"/>
        <v>——</v>
      </c>
      <c r="I61" s="757">
        <v>0.08</v>
      </c>
      <c r="J61" s="1193">
        <f t="shared" si="18"/>
        <v>0</v>
      </c>
      <c r="K61" s="1193">
        <f t="shared" si="19"/>
        <v>0</v>
      </c>
      <c r="L61" s="1193">
        <v>0</v>
      </c>
      <c r="M61" s="1193">
        <f t="shared" si="20"/>
        <v>0</v>
      </c>
      <c r="N61" s="1193">
        <f t="shared" si="20"/>
        <v>0</v>
      </c>
      <c r="AA61" s="1250"/>
      <c r="AB61" s="1250"/>
      <c r="AC61" s="1250"/>
      <c r="AD61" s="1250"/>
      <c r="AE61" s="1250"/>
      <c r="AF61" s="1250"/>
      <c r="AG61" s="1250"/>
      <c r="AH61" s="1250"/>
      <c r="AI61" s="1250"/>
      <c r="AJ61" s="1250"/>
      <c r="AK61" s="1250"/>
    </row>
    <row r="62" spans="1:37" s="1249" customFormat="1" ht="36.75">
      <c r="A62" s="2295" t="s">
        <v>2710</v>
      </c>
      <c r="B62" s="2300" t="s">
        <v>2711</v>
      </c>
      <c r="C62" s="2200"/>
      <c r="D62" s="1194">
        <f t="shared" si="16"/>
        <v>0</v>
      </c>
      <c r="E62" s="759"/>
      <c r="F62" s="1966"/>
      <c r="G62" s="1192"/>
      <c r="H62" s="1196" t="str">
        <f t="shared" si="17"/>
        <v>——</v>
      </c>
      <c r="I62" s="757">
        <v>0.04</v>
      </c>
      <c r="J62" s="1193">
        <f t="shared" si="18"/>
        <v>0</v>
      </c>
      <c r="K62" s="1193">
        <f t="shared" si="19"/>
        <v>0</v>
      </c>
      <c r="L62" s="1193">
        <v>0</v>
      </c>
      <c r="M62" s="1193">
        <f t="shared" si="20"/>
        <v>0</v>
      </c>
      <c r="N62" s="1193">
        <f t="shared" si="20"/>
        <v>0</v>
      </c>
      <c r="AA62" s="1250"/>
      <c r="AB62" s="1250"/>
      <c r="AC62" s="1250"/>
      <c r="AD62" s="1250"/>
      <c r="AE62" s="1250"/>
      <c r="AF62" s="1250"/>
      <c r="AG62" s="1250"/>
      <c r="AH62" s="1250"/>
      <c r="AI62" s="1250"/>
      <c r="AJ62" s="1250"/>
      <c r="AK62" s="1250"/>
    </row>
    <row r="63" spans="1:37" s="1249" customFormat="1" ht="24">
      <c r="A63" s="2295" t="s">
        <v>2712</v>
      </c>
      <c r="B63" s="2299">
        <f>估价对象房地状况!C24</f>
        <v>0</v>
      </c>
      <c r="C63" s="2200"/>
      <c r="D63" s="1194">
        <f t="shared" si="16"/>
        <v>0</v>
      </c>
      <c r="E63" s="759"/>
      <c r="F63" s="1966"/>
      <c r="G63" s="1192"/>
      <c r="H63" s="1196" t="str">
        <f t="shared" si="17"/>
        <v>——</v>
      </c>
      <c r="I63" s="757">
        <v>0.05</v>
      </c>
      <c r="J63" s="1193">
        <f t="shared" si="18"/>
        <v>0</v>
      </c>
      <c r="K63" s="1193">
        <f t="shared" si="19"/>
        <v>0</v>
      </c>
      <c r="L63" s="1193">
        <v>0</v>
      </c>
      <c r="M63" s="1193">
        <f t="shared" si="20"/>
        <v>0</v>
      </c>
      <c r="N63" s="1193">
        <f t="shared" si="20"/>
        <v>0</v>
      </c>
      <c r="AA63" s="1250"/>
      <c r="AB63" s="1250"/>
      <c r="AC63" s="1250"/>
      <c r="AD63" s="1250"/>
      <c r="AE63" s="1250"/>
      <c r="AF63" s="1250"/>
      <c r="AG63" s="1250"/>
      <c r="AH63" s="1250"/>
      <c r="AI63" s="1250"/>
      <c r="AJ63" s="1250"/>
      <c r="AK63" s="1250"/>
    </row>
    <row r="64" spans="1:37" s="1249" customFormat="1" ht="24">
      <c r="A64" s="2295" t="s">
        <v>2713</v>
      </c>
      <c r="B64" s="2301" t="s">
        <v>2714</v>
      </c>
      <c r="C64" s="2200"/>
      <c r="D64" s="1194">
        <f t="shared" si="16"/>
        <v>0</v>
      </c>
      <c r="E64" s="759"/>
      <c r="F64" s="1966"/>
      <c r="G64" s="1192"/>
      <c r="H64" s="1196" t="str">
        <f t="shared" si="17"/>
        <v>——</v>
      </c>
      <c r="I64" s="757">
        <v>0.05</v>
      </c>
      <c r="J64" s="1193">
        <f t="shared" si="18"/>
        <v>0</v>
      </c>
      <c r="K64" s="1193">
        <f t="shared" si="19"/>
        <v>0</v>
      </c>
      <c r="L64" s="1193">
        <v>0</v>
      </c>
      <c r="M64" s="1193">
        <f t="shared" si="20"/>
        <v>0</v>
      </c>
      <c r="N64" s="1193">
        <f t="shared" si="20"/>
        <v>0</v>
      </c>
      <c r="AA64" s="1250"/>
      <c r="AB64" s="1250"/>
      <c r="AC64" s="1250"/>
      <c r="AD64" s="1250"/>
      <c r="AE64" s="1250"/>
      <c r="AF64" s="1250"/>
      <c r="AG64" s="1250"/>
      <c r="AH64" s="1250"/>
      <c r="AI64" s="1250"/>
      <c r="AJ64" s="1250"/>
      <c r="AK64" s="1250"/>
    </row>
    <row r="65" spans="1:37" s="1249" customFormat="1" ht="25.5">
      <c r="A65" s="2295" t="s">
        <v>2715</v>
      </c>
      <c r="B65" s="1463" t="str">
        <f>估价对象房地状况!C21</f>
        <v>估价对象所在区域公共配套设施齐备情况</v>
      </c>
      <c r="C65" s="2200"/>
      <c r="D65" s="1194">
        <f t="shared" si="16"/>
        <v>0</v>
      </c>
      <c r="E65" s="759"/>
      <c r="F65" s="1966"/>
      <c r="G65" s="1192"/>
      <c r="H65" s="1196" t="str">
        <f t="shared" si="17"/>
        <v>——</v>
      </c>
      <c r="I65" s="757">
        <v>0.06</v>
      </c>
      <c r="J65" s="1193">
        <f t="shared" si="18"/>
        <v>0</v>
      </c>
      <c r="K65" s="1193">
        <f t="shared" si="19"/>
        <v>0</v>
      </c>
      <c r="L65" s="1193">
        <v>0</v>
      </c>
      <c r="M65" s="1193">
        <f t="shared" si="20"/>
        <v>0</v>
      </c>
      <c r="N65" s="1193">
        <f t="shared" si="20"/>
        <v>0</v>
      </c>
      <c r="AA65" s="1250"/>
      <c r="AB65" s="1250"/>
      <c r="AC65" s="1250"/>
      <c r="AD65" s="1250"/>
      <c r="AE65" s="1250"/>
      <c r="AF65" s="1250"/>
      <c r="AG65" s="1250"/>
      <c r="AH65" s="1250"/>
      <c r="AI65" s="1250"/>
      <c r="AJ65" s="1250"/>
      <c r="AK65" s="1250"/>
    </row>
    <row r="66" spans="1:37" s="1249" customFormat="1" ht="25.5">
      <c r="A66" s="2295" t="s">
        <v>2716</v>
      </c>
      <c r="B66" s="1463" t="str">
        <f>估价对象房地状况!C22</f>
        <v>估价对象所在区域基础设施水平</v>
      </c>
      <c r="C66" s="2200"/>
      <c r="D66" s="1194">
        <f t="shared" si="16"/>
        <v>0</v>
      </c>
      <c r="E66" s="759"/>
      <c r="F66" s="1966"/>
      <c r="G66" s="1192"/>
      <c r="H66" s="1196" t="str">
        <f t="shared" si="17"/>
        <v>——</v>
      </c>
      <c r="I66" s="757">
        <v>0.12</v>
      </c>
      <c r="J66" s="1193">
        <f t="shared" si="18"/>
        <v>0</v>
      </c>
      <c r="K66" s="1193">
        <f t="shared" si="19"/>
        <v>0</v>
      </c>
      <c r="L66" s="1193">
        <v>0</v>
      </c>
      <c r="M66" s="1193">
        <f t="shared" si="20"/>
        <v>0</v>
      </c>
      <c r="N66" s="1193">
        <f t="shared" si="20"/>
        <v>0</v>
      </c>
      <c r="AA66" s="1250"/>
      <c r="AB66" s="1250"/>
      <c r="AC66" s="1250"/>
      <c r="AD66" s="1250"/>
      <c r="AE66" s="1250"/>
      <c r="AF66" s="1250"/>
      <c r="AG66" s="1250"/>
      <c r="AH66" s="1250"/>
      <c r="AI66" s="1250"/>
      <c r="AJ66" s="1250"/>
      <c r="AK66" s="1250"/>
    </row>
    <row r="67" spans="1:37" s="1249" customFormat="1" ht="39" thickBot="1">
      <c r="A67" s="2303" t="s">
        <v>2717</v>
      </c>
      <c r="B67" s="2305" t="str">
        <f>估价对象房地状况!C20</f>
        <v>区域自然环境：；人文环境；综合评价环境状况一般</v>
      </c>
      <c r="C67" s="2200"/>
      <c r="D67" s="1194">
        <f t="shared" si="16"/>
        <v>0</v>
      </c>
      <c r="E67" s="762"/>
      <c r="F67" s="1966"/>
      <c r="G67" s="1192"/>
      <c r="H67" s="1196" t="str">
        <f t="shared" si="17"/>
        <v>——</v>
      </c>
      <c r="I67" s="761">
        <v>0.06</v>
      </c>
      <c r="J67" s="1193">
        <f t="shared" si="18"/>
        <v>0</v>
      </c>
      <c r="K67" s="1193">
        <f t="shared" si="19"/>
        <v>0</v>
      </c>
      <c r="L67" s="1193">
        <v>0</v>
      </c>
      <c r="M67" s="1193">
        <f t="shared" si="20"/>
        <v>0</v>
      </c>
      <c r="N67" s="1193">
        <f t="shared" si="20"/>
        <v>0</v>
      </c>
      <c r="AA67" s="1250"/>
      <c r="AB67" s="1250"/>
      <c r="AC67" s="1250"/>
      <c r="AD67" s="1250"/>
      <c r="AE67" s="1250"/>
      <c r="AF67" s="1250"/>
      <c r="AG67" s="1250"/>
      <c r="AH67" s="1250"/>
      <c r="AI67" s="1250"/>
      <c r="AJ67" s="1250"/>
      <c r="AK67" s="1250"/>
    </row>
    <row r="68" spans="1:37" s="1249" customFormat="1" ht="15">
      <c r="A68" s="2291" t="s">
        <v>2721</v>
      </c>
      <c r="B68" s="2292" t="e">
        <f>1+E70</f>
        <v>#VALUE!</v>
      </c>
      <c r="C68" s="751"/>
      <c r="D68" s="751"/>
      <c r="E68" s="752"/>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2699</v>
      </c>
      <c r="B69" s="1502"/>
      <c r="C69" s="1502" t="s">
        <v>2701</v>
      </c>
      <c r="D69" s="1502" t="s">
        <v>2702</v>
      </c>
      <c r="E69" s="756" t="s">
        <v>2703</v>
      </c>
      <c r="F69" s="2296" t="s">
        <v>2719</v>
      </c>
      <c r="G69" s="1502" t="s">
        <v>754</v>
      </c>
      <c r="H69" s="2297" t="s">
        <v>2705</v>
      </c>
      <c r="I69" s="1502" t="s">
        <v>2706</v>
      </c>
      <c r="J69" s="559" t="s">
        <v>2358</v>
      </c>
      <c r="K69" s="559" t="s">
        <v>2359</v>
      </c>
      <c r="L69" s="559" t="s">
        <v>2360</v>
      </c>
      <c r="M69" s="559" t="s">
        <v>2361</v>
      </c>
      <c r="N69" s="559" t="s">
        <v>2362</v>
      </c>
      <c r="AA69" s="1250"/>
      <c r="AB69" s="1250"/>
      <c r="AC69" s="1250"/>
      <c r="AD69" s="1250"/>
      <c r="AE69" s="1250"/>
      <c r="AF69" s="1250"/>
      <c r="AG69" s="1250"/>
      <c r="AH69" s="1250"/>
      <c r="AI69" s="1250"/>
      <c r="AJ69" s="1250"/>
      <c r="AK69" s="1250"/>
    </row>
    <row r="70" spans="1:37" s="1249" customFormat="1" ht="51">
      <c r="A70" s="2295" t="s">
        <v>2722</v>
      </c>
      <c r="B70" s="2298" t="str">
        <f>估价对象房地状况!C15</f>
        <v>估价对象周边居住用地比例、居住小区规模和社区发展完善程度，综合评价居住社区成熟度一般</v>
      </c>
      <c r="C70" s="2200" t="s">
        <v>3154</v>
      </c>
      <c r="D70" s="1194" t="e">
        <f t="shared" ref="D70:D78" si="21">SUMIF($J$69:$N$69,C70,J70:N70)</f>
        <v>#VALUE!</v>
      </c>
      <c r="E70" s="758" t="e">
        <f>ROUND(SUM(D70:D78),4)</f>
        <v>#VALUE!</v>
      </c>
      <c r="F70" s="1966" t="str">
        <f>IF(E2="住宅",SUMIF(L1:L12,G2,N1:N12),"——")</f>
        <v>——</v>
      </c>
      <c r="G70" s="1192" t="str">
        <f>H70</f>
        <v>——</v>
      </c>
      <c r="H70" s="1196" t="str">
        <f t="shared" ref="H70:H78" si="22">IFERROR(ROUNDDOWN($F$70*I70/2,4),"——")</f>
        <v>——</v>
      </c>
      <c r="I70" s="757">
        <v>0.14000000000000001</v>
      </c>
      <c r="J70" s="1193" t="e">
        <f t="shared" ref="J70:J78" si="23">K70+$G70</f>
        <v>#VALUE!</v>
      </c>
      <c r="K70" s="1193" t="e">
        <f t="shared" ref="K70:K78" si="24">$L70+$G70</f>
        <v>#VALUE!</v>
      </c>
      <c r="L70" s="1193">
        <v>0</v>
      </c>
      <c r="M70" s="1193" t="e">
        <f t="shared" ref="M70:N78" si="25">L70-$G70</f>
        <v>#VALUE!</v>
      </c>
      <c r="N70" s="1193" t="e">
        <f t="shared" si="25"/>
        <v>#VALUE!</v>
      </c>
      <c r="AA70" s="1250"/>
      <c r="AB70" s="1250"/>
      <c r="AC70" s="1250"/>
      <c r="AD70" s="1250"/>
      <c r="AE70" s="1250"/>
      <c r="AF70" s="1250"/>
      <c r="AG70" s="1250"/>
      <c r="AH70" s="1250"/>
      <c r="AI70" s="1250"/>
      <c r="AJ70" s="1250"/>
      <c r="AK70" s="1250"/>
    </row>
    <row r="71" spans="1:37" s="1249" customFormat="1" ht="51">
      <c r="A71" s="2295" t="s">
        <v>2708</v>
      </c>
      <c r="B71" s="2299" t="str">
        <f>估价对象房地状况!C18</f>
        <v>估价对象周边道路状况、公共交通通达情况、停车便捷程度，综合评价交通便捷度较好</v>
      </c>
      <c r="C71" s="2200" t="s">
        <v>3154</v>
      </c>
      <c r="D71" s="1194" t="e">
        <f t="shared" si="21"/>
        <v>#VALUE!</v>
      </c>
      <c r="E71" s="763"/>
      <c r="F71" s="1966"/>
      <c r="G71" s="1192" t="str">
        <f t="shared" ref="G71:G78" si="26">H71</f>
        <v>——</v>
      </c>
      <c r="H71" s="1196" t="str">
        <f t="shared" si="22"/>
        <v>——</v>
      </c>
      <c r="I71" s="757">
        <v>0.3</v>
      </c>
      <c r="J71" s="1193" t="e">
        <f t="shared" si="23"/>
        <v>#VALUE!</v>
      </c>
      <c r="K71" s="1193" t="e">
        <f t="shared" si="24"/>
        <v>#VALUE!</v>
      </c>
      <c r="L71" s="1193">
        <v>0</v>
      </c>
      <c r="M71" s="1193" t="e">
        <f t="shared" si="25"/>
        <v>#VALUE!</v>
      </c>
      <c r="N71" s="1193" t="e">
        <f t="shared" si="25"/>
        <v>#VALUE!</v>
      </c>
      <c r="AA71" s="1250"/>
      <c r="AB71" s="1250"/>
      <c r="AC71" s="1250"/>
      <c r="AD71" s="1250"/>
      <c r="AE71" s="1250"/>
      <c r="AF71" s="1250"/>
      <c r="AG71" s="1250"/>
      <c r="AH71" s="1250"/>
      <c r="AI71" s="1250"/>
      <c r="AJ71" s="1250"/>
      <c r="AK71" s="1250"/>
    </row>
    <row r="72" spans="1:37" s="1249" customFormat="1" ht="24">
      <c r="A72" s="2295" t="s">
        <v>2709</v>
      </c>
      <c r="B72" s="2299">
        <f>估价对象房地状况!C19</f>
        <v>0</v>
      </c>
      <c r="C72" s="2200" t="s">
        <v>3154</v>
      </c>
      <c r="D72" s="1194" t="e">
        <f t="shared" si="21"/>
        <v>#VALUE!</v>
      </c>
      <c r="E72" s="763"/>
      <c r="F72" s="1966"/>
      <c r="G72" s="1192" t="str">
        <f t="shared" si="26"/>
        <v>——</v>
      </c>
      <c r="H72" s="1196" t="str">
        <f t="shared" si="22"/>
        <v>——</v>
      </c>
      <c r="I72" s="757">
        <v>0.08</v>
      </c>
      <c r="J72" s="1193" t="e">
        <f t="shared" si="23"/>
        <v>#VALUE!</v>
      </c>
      <c r="K72" s="1193" t="e">
        <f t="shared" si="24"/>
        <v>#VALUE!</v>
      </c>
      <c r="L72" s="1193">
        <v>0</v>
      </c>
      <c r="M72" s="1193" t="e">
        <f t="shared" si="25"/>
        <v>#VALUE!</v>
      </c>
      <c r="N72" s="1193" t="e">
        <f t="shared" si="25"/>
        <v>#VALUE!</v>
      </c>
      <c r="AA72" s="1250"/>
      <c r="AB72" s="1250"/>
      <c r="AC72" s="1250"/>
      <c r="AD72" s="1250"/>
      <c r="AE72" s="1250"/>
      <c r="AF72" s="1250"/>
      <c r="AG72" s="1250"/>
      <c r="AH72" s="1250"/>
      <c r="AI72" s="1250"/>
      <c r="AJ72" s="1250"/>
      <c r="AK72" s="1250"/>
    </row>
    <row r="73" spans="1:37" s="1249" customFormat="1" ht="14.25">
      <c r="A73" s="2295" t="s">
        <v>2723</v>
      </c>
      <c r="B73" s="2299">
        <f>估价对象房地状况!C24</f>
        <v>0</v>
      </c>
      <c r="C73" s="2200" t="s">
        <v>3190</v>
      </c>
      <c r="D73" s="1194">
        <f t="shared" si="21"/>
        <v>0</v>
      </c>
      <c r="E73" s="763"/>
      <c r="F73" s="1966"/>
      <c r="G73" s="1192" t="str">
        <f t="shared" si="26"/>
        <v>——</v>
      </c>
      <c r="H73" s="1196" t="str">
        <f t="shared" si="22"/>
        <v>——</v>
      </c>
      <c r="I73" s="757">
        <v>0.04</v>
      </c>
      <c r="J73" s="1193" t="e">
        <f t="shared" si="23"/>
        <v>#VALUE!</v>
      </c>
      <c r="K73" s="1193" t="e">
        <f t="shared" si="24"/>
        <v>#VALUE!</v>
      </c>
      <c r="L73" s="1193">
        <v>0</v>
      </c>
      <c r="M73" s="1193" t="e">
        <f t="shared" si="25"/>
        <v>#VALUE!</v>
      </c>
      <c r="N73" s="1193" t="e">
        <f t="shared" si="25"/>
        <v>#VALUE!</v>
      </c>
      <c r="AA73" s="1250"/>
      <c r="AB73" s="1250"/>
      <c r="AC73" s="1250"/>
      <c r="AD73" s="1250"/>
      <c r="AE73" s="1250"/>
      <c r="AF73" s="1250"/>
      <c r="AG73" s="1250"/>
      <c r="AH73" s="1250"/>
      <c r="AI73" s="1250"/>
      <c r="AJ73" s="1250"/>
      <c r="AK73" s="1250"/>
    </row>
    <row r="74" spans="1:37" s="1249" customFormat="1" ht="25.5">
      <c r="A74" s="2295" t="s">
        <v>2715</v>
      </c>
      <c r="B74" s="1463" t="str">
        <f>估价对象房地状况!C21</f>
        <v>估价对象所在区域公共配套设施齐备情况</v>
      </c>
      <c r="C74" s="2200" t="s">
        <v>3154</v>
      </c>
      <c r="D74" s="1194" t="e">
        <f t="shared" si="21"/>
        <v>#VALUE!</v>
      </c>
      <c r="E74" s="763"/>
      <c r="F74" s="1966"/>
      <c r="G74" s="1192" t="str">
        <f t="shared" si="26"/>
        <v>——</v>
      </c>
      <c r="H74" s="1196" t="str">
        <f t="shared" si="22"/>
        <v>——</v>
      </c>
      <c r="I74" s="757">
        <v>0.08</v>
      </c>
      <c r="J74" s="1193" t="e">
        <f t="shared" si="23"/>
        <v>#VALUE!</v>
      </c>
      <c r="K74" s="1193" t="e">
        <f t="shared" si="24"/>
        <v>#VALUE!</v>
      </c>
      <c r="L74" s="1193">
        <v>0</v>
      </c>
      <c r="M74" s="1193" t="e">
        <f t="shared" si="25"/>
        <v>#VALUE!</v>
      </c>
      <c r="N74" s="1193" t="e">
        <f t="shared" si="25"/>
        <v>#VALUE!</v>
      </c>
      <c r="AA74" s="1250"/>
      <c r="AB74" s="1250"/>
      <c r="AC74" s="1250"/>
      <c r="AD74" s="1250"/>
      <c r="AE74" s="1250"/>
      <c r="AF74" s="1250"/>
      <c r="AG74" s="1250"/>
      <c r="AH74" s="1250"/>
      <c r="AI74" s="1250"/>
      <c r="AJ74" s="1250"/>
      <c r="AK74" s="1250"/>
    </row>
    <row r="75" spans="1:37" s="1249" customFormat="1" ht="25.5">
      <c r="A75" s="2295" t="s">
        <v>2716</v>
      </c>
      <c r="B75" s="1463" t="str">
        <f>估价对象房地状况!C22</f>
        <v>估价对象所在区域基础设施水平</v>
      </c>
      <c r="C75" s="2200" t="s">
        <v>3191</v>
      </c>
      <c r="D75" s="1194" t="e">
        <f t="shared" si="21"/>
        <v>#VALUE!</v>
      </c>
      <c r="E75" s="763"/>
      <c r="F75" s="1966"/>
      <c r="G75" s="1192" t="str">
        <f t="shared" si="26"/>
        <v>——</v>
      </c>
      <c r="H75" s="1196" t="str">
        <f t="shared" si="22"/>
        <v>——</v>
      </c>
      <c r="I75" s="757">
        <v>0.12</v>
      </c>
      <c r="J75" s="1193" t="e">
        <f t="shared" si="23"/>
        <v>#VALUE!</v>
      </c>
      <c r="K75" s="1193" t="e">
        <f t="shared" si="24"/>
        <v>#VALUE!</v>
      </c>
      <c r="L75" s="1193">
        <v>0</v>
      </c>
      <c r="M75" s="1193" t="e">
        <f t="shared" si="25"/>
        <v>#VALUE!</v>
      </c>
      <c r="N75" s="1193" t="e">
        <f t="shared" si="25"/>
        <v>#VALUE!</v>
      </c>
      <c r="AA75" s="1250"/>
      <c r="AB75" s="1250"/>
      <c r="AC75" s="1250"/>
      <c r="AD75" s="1250"/>
      <c r="AE75" s="1250"/>
      <c r="AF75" s="1250"/>
      <c r="AG75" s="1250"/>
      <c r="AH75" s="1250"/>
      <c r="AI75" s="1250"/>
      <c r="AJ75" s="1250"/>
      <c r="AK75" s="1250"/>
    </row>
    <row r="76" spans="1:37" s="2149" customFormat="1" ht="24">
      <c r="A76" s="2295" t="s">
        <v>2713</v>
      </c>
      <c r="B76" s="2301" t="s">
        <v>2714</v>
      </c>
      <c r="C76" s="2200" t="s">
        <v>3154</v>
      </c>
      <c r="D76" s="1194" t="e">
        <f t="shared" si="21"/>
        <v>#VALUE!</v>
      </c>
      <c r="E76" s="763"/>
      <c r="F76" s="1966"/>
      <c r="G76" s="1192" t="str">
        <f t="shared" si="26"/>
        <v>——</v>
      </c>
      <c r="H76" s="1196" t="str">
        <f t="shared" si="22"/>
        <v>——</v>
      </c>
      <c r="I76" s="757">
        <v>0.05</v>
      </c>
      <c r="J76" s="1193" t="e">
        <f t="shared" si="23"/>
        <v>#VALUE!</v>
      </c>
      <c r="K76" s="1193" t="e">
        <f t="shared" si="24"/>
        <v>#VALUE!</v>
      </c>
      <c r="L76" s="1193">
        <v>0</v>
      </c>
      <c r="M76" s="1193" t="e">
        <f t="shared" si="25"/>
        <v>#VALUE!</v>
      </c>
      <c r="N76" s="1193" t="e">
        <f t="shared" si="25"/>
        <v>#VALUE!</v>
      </c>
      <c r="AA76" s="2306"/>
      <c r="AB76" s="1250"/>
      <c r="AC76" s="1250"/>
      <c r="AD76" s="1250"/>
      <c r="AE76" s="1250"/>
      <c r="AF76" s="1250"/>
      <c r="AG76" s="1250"/>
      <c r="AH76" s="2306"/>
      <c r="AI76" s="2306"/>
      <c r="AJ76" s="2306"/>
      <c r="AK76" s="2306"/>
    </row>
    <row r="77" spans="1:37" ht="38.25">
      <c r="A77" s="2295" t="s">
        <v>2717</v>
      </c>
      <c r="B77" s="2298" t="str">
        <f>估价对象房地状况!C20</f>
        <v>区域自然环境：；人文环境；综合评价环境状况一般</v>
      </c>
      <c r="C77" s="2200" t="s">
        <v>3154</v>
      </c>
      <c r="D77" s="1194" t="e">
        <f t="shared" si="21"/>
        <v>#VALUE!</v>
      </c>
      <c r="E77" s="763"/>
      <c r="F77" s="1966"/>
      <c r="G77" s="1192" t="str">
        <f t="shared" si="26"/>
        <v>——</v>
      </c>
      <c r="H77" s="1196" t="str">
        <f t="shared" si="22"/>
        <v>——</v>
      </c>
      <c r="I77" s="757">
        <v>0.15</v>
      </c>
      <c r="J77" s="1193" t="e">
        <f t="shared" si="23"/>
        <v>#VALUE!</v>
      </c>
      <c r="K77" s="1193" t="e">
        <f t="shared" si="24"/>
        <v>#VALUE!</v>
      </c>
      <c r="L77" s="1193">
        <v>0</v>
      </c>
      <c r="M77" s="1193" t="e">
        <f t="shared" si="25"/>
        <v>#VALUE!</v>
      </c>
      <c r="N77" s="1193" t="e">
        <f t="shared" si="25"/>
        <v>#VALUE!</v>
      </c>
      <c r="Z77" s="2150"/>
      <c r="AA77" s="2216"/>
      <c r="AG77" s="1251"/>
      <c r="AK77" s="2216"/>
    </row>
    <row r="78" spans="1:37" ht="24.75" thickBot="1">
      <c r="A78" s="2303" t="s">
        <v>2724</v>
      </c>
      <c r="B78" s="2307"/>
      <c r="C78" s="2200" t="s">
        <v>3190</v>
      </c>
      <c r="D78" s="1194">
        <f t="shared" si="21"/>
        <v>0</v>
      </c>
      <c r="E78" s="764"/>
      <c r="F78" s="1966"/>
      <c r="G78" s="1192" t="str">
        <f t="shared" si="26"/>
        <v>——</v>
      </c>
      <c r="H78" s="1196" t="str">
        <f t="shared" si="22"/>
        <v>——</v>
      </c>
      <c r="I78" s="761">
        <v>0.04</v>
      </c>
      <c r="J78" s="1193" t="e">
        <f t="shared" si="23"/>
        <v>#VALUE!</v>
      </c>
      <c r="K78" s="1193" t="e">
        <f t="shared" si="24"/>
        <v>#VALUE!</v>
      </c>
      <c r="L78" s="1193">
        <v>0</v>
      </c>
      <c r="M78" s="1193" t="e">
        <f t="shared" si="25"/>
        <v>#VALUE!</v>
      </c>
      <c r="N78" s="1193" t="e">
        <f t="shared" si="25"/>
        <v>#VALUE!</v>
      </c>
      <c r="Z78" s="2150"/>
      <c r="AA78" s="2216"/>
      <c r="AG78" s="1251"/>
      <c r="AK78" s="2216"/>
    </row>
    <row r="79" spans="1:37" ht="15">
      <c r="A79" s="2291" t="s">
        <v>2725</v>
      </c>
      <c r="B79" s="2292">
        <f>1+E81</f>
        <v>1</v>
      </c>
      <c r="C79" s="751"/>
      <c r="D79" s="751"/>
      <c r="E79" s="752"/>
      <c r="F79" s="2294"/>
      <c r="G79" s="6"/>
      <c r="H79" s="6"/>
      <c r="I79" s="6"/>
      <c r="J79" s="7"/>
      <c r="K79" s="7"/>
      <c r="L79" s="7"/>
      <c r="M79" s="7"/>
      <c r="N79" s="7"/>
      <c r="Z79" s="2150"/>
      <c r="AA79" s="2216"/>
      <c r="AG79" s="1251"/>
      <c r="AK79" s="2216"/>
    </row>
    <row r="80" spans="1:37" ht="24.75">
      <c r="A80" s="2295" t="s">
        <v>2699</v>
      </c>
      <c r="B80" s="1502"/>
      <c r="C80" s="1502" t="s">
        <v>2701</v>
      </c>
      <c r="D80" s="1502" t="s">
        <v>2702</v>
      </c>
      <c r="E80" s="756" t="s">
        <v>2703</v>
      </c>
      <c r="F80" s="2296" t="s">
        <v>2719</v>
      </c>
      <c r="G80" s="1502" t="s">
        <v>754</v>
      </c>
      <c r="H80" s="2297" t="s">
        <v>2705</v>
      </c>
      <c r="I80" s="1502" t="s">
        <v>2706</v>
      </c>
      <c r="J80" s="559" t="s">
        <v>2358</v>
      </c>
      <c r="K80" s="559" t="s">
        <v>2359</v>
      </c>
      <c r="L80" s="559" t="s">
        <v>2360</v>
      </c>
      <c r="M80" s="559" t="s">
        <v>2361</v>
      </c>
      <c r="N80" s="559" t="s">
        <v>2362</v>
      </c>
      <c r="Z80" s="2150"/>
      <c r="AA80" s="2216"/>
      <c r="AG80" s="1251"/>
      <c r="AK80" s="2216"/>
    </row>
    <row r="81" spans="1:37" ht="38.25">
      <c r="A81" s="2295" t="s">
        <v>2726</v>
      </c>
      <c r="B81" s="2299" t="str">
        <f>估价对象房地状况!G15</f>
        <v>估价对象位于XX开发区，园区建设成熟度XX，产业集聚程度XX</v>
      </c>
      <c r="C81" s="2200"/>
      <c r="D81" s="1194">
        <f t="shared" ref="D81:D88" si="27">SUMIF($J$80:$N$80,C81,J81:N81)</f>
        <v>0</v>
      </c>
      <c r="E81" s="758">
        <f>ROUND(SUM(D81:D88),4)</f>
        <v>0</v>
      </c>
      <c r="F81" s="1966" t="str">
        <f>IF(E2="工业",SUMIF(L1:L12,G2,N1:N12),"——")</f>
        <v>——</v>
      </c>
      <c r="G81" s="1192"/>
      <c r="H81" s="1196" t="str">
        <f t="shared" ref="H81:H88" si="28">IFERROR(ROUNDDOWN($F$81*I81/2,4),"——")</f>
        <v>——</v>
      </c>
      <c r="I81" s="757">
        <v>0.26</v>
      </c>
      <c r="J81" s="1193">
        <f t="shared" ref="J81:J88" si="29">K81+$G81</f>
        <v>0</v>
      </c>
      <c r="K81" s="1193">
        <f t="shared" ref="K81:K88" si="30">$L81+$G81</f>
        <v>0</v>
      </c>
      <c r="L81" s="1193">
        <v>0</v>
      </c>
      <c r="M81" s="1193">
        <f t="shared" ref="M81:N88" si="31">L81-$G81</f>
        <v>0</v>
      </c>
      <c r="N81" s="1193">
        <f t="shared" si="31"/>
        <v>0</v>
      </c>
      <c r="Z81" s="2150"/>
      <c r="AA81" s="2216"/>
      <c r="AG81" s="1251"/>
      <c r="AK81" s="2216"/>
    </row>
    <row r="82" spans="1:37" ht="51">
      <c r="A82" s="2295" t="s">
        <v>2708</v>
      </c>
      <c r="B82" s="2299" t="str">
        <f>估价对象房地状况!G16</f>
        <v>估价对象周边道路状况、公共交通通达情况、停车便捷程度，综合评价交通便捷度较好</v>
      </c>
      <c r="C82" s="2200"/>
      <c r="D82" s="1194">
        <f t="shared" si="27"/>
        <v>0</v>
      </c>
      <c r="E82" s="763"/>
      <c r="F82" s="1966"/>
      <c r="G82" s="1192"/>
      <c r="H82" s="1196" t="str">
        <f t="shared" si="28"/>
        <v>——</v>
      </c>
      <c r="I82" s="757">
        <v>0.33</v>
      </c>
      <c r="J82" s="1193">
        <f t="shared" si="29"/>
        <v>0</v>
      </c>
      <c r="K82" s="1193">
        <f t="shared" si="30"/>
        <v>0</v>
      </c>
      <c r="L82" s="1193">
        <v>0</v>
      </c>
      <c r="M82" s="1193">
        <f t="shared" si="31"/>
        <v>0</v>
      </c>
      <c r="N82" s="1193">
        <f t="shared" si="31"/>
        <v>0</v>
      </c>
      <c r="Z82" s="2150"/>
      <c r="AA82" s="2216"/>
      <c r="AG82" s="1251"/>
      <c r="AK82" s="2216"/>
    </row>
    <row r="83" spans="1:37" ht="24">
      <c r="A83" s="2295" t="s">
        <v>2709</v>
      </c>
      <c r="B83" s="2299">
        <f>估价对象房地状况!G17</f>
        <v>0</v>
      </c>
      <c r="C83" s="2200"/>
      <c r="D83" s="1194">
        <f t="shared" si="27"/>
        <v>0</v>
      </c>
      <c r="E83" s="763"/>
      <c r="F83" s="1966"/>
      <c r="G83" s="1192"/>
      <c r="H83" s="1196" t="str">
        <f t="shared" si="28"/>
        <v>——</v>
      </c>
      <c r="I83" s="757">
        <v>0.05</v>
      </c>
      <c r="J83" s="1193">
        <f t="shared" si="29"/>
        <v>0</v>
      </c>
      <c r="K83" s="1193">
        <f t="shared" si="30"/>
        <v>0</v>
      </c>
      <c r="L83" s="1193">
        <v>0</v>
      </c>
      <c r="M83" s="1193">
        <f t="shared" si="31"/>
        <v>0</v>
      </c>
      <c r="N83" s="1193">
        <f t="shared" si="31"/>
        <v>0</v>
      </c>
      <c r="Z83" s="2150"/>
      <c r="AA83" s="2216"/>
      <c r="AG83" s="1251"/>
      <c r="AK83" s="2216"/>
    </row>
    <row r="84" spans="1:37" ht="14.25">
      <c r="A84" s="2295" t="s">
        <v>2723</v>
      </c>
      <c r="B84" s="2299">
        <f>估价对象房地状况!G22</f>
        <v>0</v>
      </c>
      <c r="C84" s="2200"/>
      <c r="D84" s="1194">
        <f t="shared" si="27"/>
        <v>0</v>
      </c>
      <c r="E84" s="763"/>
      <c r="F84" s="1966"/>
      <c r="G84" s="1192"/>
      <c r="H84" s="1196" t="str">
        <f t="shared" si="28"/>
        <v>——</v>
      </c>
      <c r="I84" s="757">
        <v>0.04</v>
      </c>
      <c r="J84" s="1193">
        <f t="shared" si="29"/>
        <v>0</v>
      </c>
      <c r="K84" s="1193">
        <f t="shared" si="30"/>
        <v>0</v>
      </c>
      <c r="L84" s="1193">
        <v>0</v>
      </c>
      <c r="M84" s="1193">
        <f t="shared" si="31"/>
        <v>0</v>
      </c>
      <c r="N84" s="1193">
        <f t="shared" si="31"/>
        <v>0</v>
      </c>
      <c r="Z84" s="2150"/>
      <c r="AA84" s="2216"/>
      <c r="AG84" s="1251"/>
      <c r="AK84" s="2216"/>
    </row>
    <row r="85" spans="1:37" ht="25.5">
      <c r="A85" s="2295" t="s">
        <v>2715</v>
      </c>
      <c r="B85" s="1463" t="str">
        <f>估价对象房地状况!G19</f>
        <v>估价对象所在区域公共配套设施齐备情况</v>
      </c>
      <c r="C85" s="2200"/>
      <c r="D85" s="1194">
        <f t="shared" si="27"/>
        <v>0</v>
      </c>
      <c r="E85" s="763"/>
      <c r="F85" s="1966"/>
      <c r="G85" s="1192"/>
      <c r="H85" s="1196" t="str">
        <f t="shared" si="28"/>
        <v>——</v>
      </c>
      <c r="I85" s="757">
        <v>0.06</v>
      </c>
      <c r="J85" s="1193">
        <f t="shared" si="29"/>
        <v>0</v>
      </c>
      <c r="K85" s="1193">
        <f t="shared" si="30"/>
        <v>0</v>
      </c>
      <c r="L85" s="1193">
        <v>0</v>
      </c>
      <c r="M85" s="1193">
        <f t="shared" si="31"/>
        <v>0</v>
      </c>
      <c r="N85" s="1193">
        <f t="shared" si="31"/>
        <v>0</v>
      </c>
      <c r="Z85" s="2150"/>
      <c r="AA85" s="2216"/>
      <c r="AG85" s="1251"/>
      <c r="AK85" s="2216"/>
    </row>
    <row r="86" spans="1:37" ht="25.5">
      <c r="A86" s="2295" t="s">
        <v>2716</v>
      </c>
      <c r="B86" s="1463" t="str">
        <f>估价对象房地状况!G20</f>
        <v>估价对象所在区域基础设施水平</v>
      </c>
      <c r="C86" s="2200"/>
      <c r="D86" s="1194">
        <f t="shared" si="27"/>
        <v>0</v>
      </c>
      <c r="E86" s="763"/>
      <c r="F86" s="1966"/>
      <c r="G86" s="1192"/>
      <c r="H86" s="1196" t="str">
        <f t="shared" si="28"/>
        <v>——</v>
      </c>
      <c r="I86" s="757">
        <v>0.15</v>
      </c>
      <c r="J86" s="1193">
        <f t="shared" si="29"/>
        <v>0</v>
      </c>
      <c r="K86" s="1193">
        <f t="shared" si="30"/>
        <v>0</v>
      </c>
      <c r="L86" s="1193">
        <v>0</v>
      </c>
      <c r="M86" s="1193">
        <f t="shared" si="31"/>
        <v>0</v>
      </c>
      <c r="N86" s="1193">
        <f t="shared" si="31"/>
        <v>0</v>
      </c>
      <c r="Z86" s="2150"/>
      <c r="AA86" s="2216"/>
      <c r="AG86" s="1251"/>
      <c r="AK86" s="2216"/>
    </row>
    <row r="87" spans="1:37" ht="24">
      <c r="A87" s="2295" t="s">
        <v>2713</v>
      </c>
      <c r="B87" s="2301" t="s">
        <v>2727</v>
      </c>
      <c r="C87" s="2200"/>
      <c r="D87" s="1194">
        <f t="shared" si="27"/>
        <v>0</v>
      </c>
      <c r="E87" s="763"/>
      <c r="F87" s="1966"/>
      <c r="G87" s="1192"/>
      <c r="H87" s="1196" t="str">
        <f t="shared" si="28"/>
        <v>——</v>
      </c>
      <c r="I87" s="757">
        <v>0.05</v>
      </c>
      <c r="J87" s="1193">
        <f t="shared" si="29"/>
        <v>0</v>
      </c>
      <c r="K87" s="1193">
        <f t="shared" si="30"/>
        <v>0</v>
      </c>
      <c r="L87" s="1193">
        <v>0</v>
      </c>
      <c r="M87" s="1193">
        <f t="shared" si="31"/>
        <v>0</v>
      </c>
      <c r="N87" s="1193">
        <f t="shared" si="31"/>
        <v>0</v>
      </c>
      <c r="Z87" s="2150"/>
      <c r="AA87" s="2216"/>
      <c r="AG87" s="1251"/>
      <c r="AK87" s="2216"/>
    </row>
    <row r="88" spans="1:37" ht="39" thickBot="1">
      <c r="A88" s="2303" t="s">
        <v>2728</v>
      </c>
      <c r="B88" s="2308" t="str">
        <f>估价对象房地状况!G18</f>
        <v>该园区内是否有污染型企业，绿化情况，卫生条件，整体环境状况判断</v>
      </c>
      <c r="C88" s="2200"/>
      <c r="D88" s="1194">
        <f t="shared" si="27"/>
        <v>0</v>
      </c>
      <c r="E88" s="764"/>
      <c r="F88" s="1966"/>
      <c r="G88" s="1192"/>
      <c r="H88" s="1196" t="str">
        <f t="shared" si="28"/>
        <v>——</v>
      </c>
      <c r="I88" s="761">
        <v>0.06</v>
      </c>
      <c r="J88" s="1193">
        <f t="shared" si="29"/>
        <v>0</v>
      </c>
      <c r="K88" s="1193">
        <f t="shared" si="30"/>
        <v>0</v>
      </c>
      <c r="L88" s="1193">
        <v>0</v>
      </c>
      <c r="M88" s="1193">
        <f t="shared" si="31"/>
        <v>0</v>
      </c>
      <c r="N88" s="1193">
        <f t="shared" si="31"/>
        <v>0</v>
      </c>
      <c r="Z88" s="2150"/>
      <c r="AA88" s="2216"/>
      <c r="AG88" s="1251"/>
      <c r="AK88" s="2216"/>
    </row>
    <row r="90" spans="1:37">
      <c r="A90" s="3728" t="s">
        <v>2729</v>
      </c>
      <c r="B90" s="3728"/>
      <c r="C90" s="3728"/>
      <c r="D90" s="3728"/>
      <c r="E90" s="3728"/>
      <c r="F90" s="3728"/>
      <c r="G90" s="3728"/>
      <c r="H90" s="3728"/>
      <c r="I90" s="3728"/>
      <c r="J90" s="3728"/>
      <c r="K90" s="2309"/>
      <c r="L90" s="2309"/>
      <c r="M90" s="2309"/>
      <c r="N90" s="2309"/>
    </row>
    <row r="91" spans="1:37">
      <c r="A91" s="3730" t="s">
        <v>2730</v>
      </c>
      <c r="B91" s="3730" t="s">
        <v>2731</v>
      </c>
      <c r="C91" s="2263" t="s">
        <v>2732</v>
      </c>
      <c r="D91" s="2264"/>
      <c r="E91" s="2264"/>
      <c r="F91" s="2264"/>
      <c r="G91" s="2264"/>
      <c r="H91" s="2264"/>
      <c r="I91" s="2264"/>
      <c r="J91" s="2310"/>
      <c r="K91" s="2311"/>
      <c r="L91" s="2311"/>
      <c r="M91" s="2311"/>
      <c r="N91" s="2311"/>
    </row>
    <row r="92" spans="1:37">
      <c r="A92" s="3730"/>
      <c r="B92" s="3730"/>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731" t="s">
        <v>2733</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732"/>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732"/>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732"/>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732"/>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732"/>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732"/>
      <c r="B99" s="2312" t="s">
        <v>2616</v>
      </c>
      <c r="C99" s="2314">
        <f>$I$3</f>
        <v>1</v>
      </c>
      <c r="D99" s="2314">
        <f t="shared" ref="D99:M99" si="32">$I$3</f>
        <v>1</v>
      </c>
      <c r="E99" s="2314">
        <f t="shared" si="32"/>
        <v>1</v>
      </c>
      <c r="F99" s="2314">
        <f t="shared" si="32"/>
        <v>1</v>
      </c>
      <c r="G99" s="2314">
        <f t="shared" si="32"/>
        <v>1</v>
      </c>
      <c r="H99" s="2314">
        <f t="shared" si="32"/>
        <v>1</v>
      </c>
      <c r="I99" s="2314">
        <f t="shared" si="32"/>
        <v>1</v>
      </c>
      <c r="J99" s="2314">
        <f t="shared" si="32"/>
        <v>1</v>
      </c>
      <c r="K99" s="2314">
        <f t="shared" si="32"/>
        <v>1</v>
      </c>
      <c r="L99" s="2314">
        <f t="shared" si="32"/>
        <v>1</v>
      </c>
      <c r="M99" s="2314">
        <f t="shared" si="32"/>
        <v>1</v>
      </c>
      <c r="N99" s="2314">
        <f>$I$3</f>
        <v>1</v>
      </c>
    </row>
    <row r="100" spans="1:14">
      <c r="A100" s="3733"/>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731" t="s">
        <v>2734</v>
      </c>
      <c r="B101" s="2316" t="s">
        <v>2735</v>
      </c>
      <c r="C101" s="2317">
        <f>$G$3</f>
        <v>2.5</v>
      </c>
      <c r="D101" s="2317">
        <f t="shared" ref="D101:N101" si="33">$G$3</f>
        <v>2.5</v>
      </c>
      <c r="E101" s="2317">
        <f t="shared" si="33"/>
        <v>2.5</v>
      </c>
      <c r="F101" s="2317">
        <f t="shared" si="33"/>
        <v>2.5</v>
      </c>
      <c r="G101" s="2317">
        <f t="shared" si="33"/>
        <v>2.5</v>
      </c>
      <c r="H101" s="2317">
        <f t="shared" si="33"/>
        <v>2.5</v>
      </c>
      <c r="I101" s="2317">
        <f t="shared" si="33"/>
        <v>2.5</v>
      </c>
      <c r="J101" s="2317">
        <f t="shared" si="33"/>
        <v>2.5</v>
      </c>
      <c r="K101" s="2317">
        <f t="shared" si="33"/>
        <v>2.5</v>
      </c>
      <c r="L101" s="2317">
        <f t="shared" si="33"/>
        <v>2.5</v>
      </c>
      <c r="M101" s="2317">
        <f t="shared" si="33"/>
        <v>2.5</v>
      </c>
      <c r="N101" s="2317">
        <f t="shared" si="33"/>
        <v>2.5</v>
      </c>
    </row>
    <row r="102" spans="1:14">
      <c r="A102" s="3732"/>
      <c r="B102" s="2312">
        <v>1</v>
      </c>
      <c r="C102" s="2313">
        <f>1.9362/C101</f>
        <v>0.77447999999999995</v>
      </c>
      <c r="D102" s="2313">
        <f>1.9362/D101</f>
        <v>0.77447999999999995</v>
      </c>
      <c r="E102" s="2313">
        <f>1.8629/E101</f>
        <v>0.74516000000000004</v>
      </c>
      <c r="F102" s="2313">
        <f>1.8629/F101</f>
        <v>0.74516000000000004</v>
      </c>
      <c r="G102" s="2313">
        <f>1.8629/G101</f>
        <v>0.74516000000000004</v>
      </c>
      <c r="H102" s="2313">
        <f>1.8629/H101</f>
        <v>0.74516000000000004</v>
      </c>
      <c r="I102" s="2313">
        <f>1.8629/I101</f>
        <v>0.74516000000000004</v>
      </c>
      <c r="J102" s="2313">
        <f>1.942/J101</f>
        <v>0.77679999999999993</v>
      </c>
      <c r="K102" s="2313">
        <f>1.942/K101</f>
        <v>0.77679999999999993</v>
      </c>
      <c r="L102" s="2313">
        <f>1.942/L101</f>
        <v>0.77679999999999993</v>
      </c>
      <c r="M102" s="2313">
        <f>1.942/M101</f>
        <v>0.77679999999999993</v>
      </c>
      <c r="N102" s="2313">
        <f>1.942/N101</f>
        <v>0.77679999999999993</v>
      </c>
    </row>
    <row r="103" spans="1:14">
      <c r="A103" s="3732"/>
      <c r="B103" s="2312">
        <v>2</v>
      </c>
      <c r="C103" s="2313">
        <f>1.4198/C101</f>
        <v>0.56791999999999998</v>
      </c>
      <c r="D103" s="2313">
        <f>1.4198/D101</f>
        <v>0.56791999999999998</v>
      </c>
      <c r="E103" s="2313">
        <f>1.3372/E101</f>
        <v>0.53488000000000002</v>
      </c>
      <c r="F103" s="2313">
        <f>1.3372/F101</f>
        <v>0.53488000000000002</v>
      </c>
      <c r="G103" s="2313">
        <f>1.3372/G101</f>
        <v>0.53488000000000002</v>
      </c>
      <c r="H103" s="2313">
        <f>1.3372/H101</f>
        <v>0.53488000000000002</v>
      </c>
      <c r="I103" s="2313">
        <f>1.3372/I101</f>
        <v>0.53488000000000002</v>
      </c>
      <c r="J103" s="2313">
        <f>1.2799/J101</f>
        <v>0.51195999999999997</v>
      </c>
      <c r="K103" s="2313">
        <f>1.2799/K101</f>
        <v>0.51195999999999997</v>
      </c>
      <c r="L103" s="2313">
        <f>1.2799/L101</f>
        <v>0.51195999999999997</v>
      </c>
      <c r="M103" s="2313">
        <f>1.2799/M101</f>
        <v>0.51195999999999997</v>
      </c>
      <c r="N103" s="2313">
        <f>1.2799/N101</f>
        <v>0.51195999999999997</v>
      </c>
    </row>
    <row r="104" spans="1:14">
      <c r="A104" s="3732"/>
      <c r="B104" s="2312">
        <v>3</v>
      </c>
      <c r="C104" s="2313">
        <f>1.1594/C101</f>
        <v>0.46376000000000001</v>
      </c>
      <c r="D104" s="2313">
        <f>1.1594/D101</f>
        <v>0.46376000000000001</v>
      </c>
      <c r="E104" s="2313">
        <f>1.0788/E101</f>
        <v>0.43152000000000001</v>
      </c>
      <c r="F104" s="2313">
        <f>1.0788/F101</f>
        <v>0.43152000000000001</v>
      </c>
      <c r="G104" s="2313">
        <f>1.0788/G101</f>
        <v>0.43152000000000001</v>
      </c>
      <c r="H104" s="2313">
        <f>1.0788/H101</f>
        <v>0.43152000000000001</v>
      </c>
      <c r="I104" s="2313">
        <f>1.0788/I101</f>
        <v>0.43152000000000001</v>
      </c>
      <c r="J104" s="2313">
        <f>1.0072/J101</f>
        <v>0.40288000000000002</v>
      </c>
      <c r="K104" s="2313">
        <f>1.0072/K101</f>
        <v>0.40288000000000002</v>
      </c>
      <c r="L104" s="2313">
        <f>1.0072/L101</f>
        <v>0.40288000000000002</v>
      </c>
      <c r="M104" s="2313">
        <f>1.0072/M101</f>
        <v>0.40288000000000002</v>
      </c>
      <c r="N104" s="2313">
        <f>1.0072/N101</f>
        <v>0.40288000000000002</v>
      </c>
    </row>
    <row r="105" spans="1:14">
      <c r="A105" s="3732"/>
      <c r="B105" s="2312">
        <v>4</v>
      </c>
      <c r="C105" s="2313">
        <f>0.9622/C101</f>
        <v>0.38488</v>
      </c>
      <c r="D105" s="2313">
        <f>0.9622/D101</f>
        <v>0.38488</v>
      </c>
      <c r="E105" s="2313">
        <f>0.8656/E101</f>
        <v>0.34623999999999999</v>
      </c>
      <c r="F105" s="2313">
        <f>0.8656/F101</f>
        <v>0.34623999999999999</v>
      </c>
      <c r="G105" s="2313">
        <f>0.8656/G101</f>
        <v>0.34623999999999999</v>
      </c>
      <c r="H105" s="2313">
        <f>0.8656/H101</f>
        <v>0.34623999999999999</v>
      </c>
      <c r="I105" s="2313">
        <f>0.8656/I101</f>
        <v>0.34623999999999999</v>
      </c>
      <c r="J105" s="2313">
        <f>0.7525/J101</f>
        <v>0.30099999999999999</v>
      </c>
      <c r="K105" s="2313">
        <f>0.7525/K101</f>
        <v>0.30099999999999999</v>
      </c>
      <c r="L105" s="2313">
        <f>0.7525/L101</f>
        <v>0.30099999999999999</v>
      </c>
      <c r="M105" s="2313">
        <f>0.7525/M101</f>
        <v>0.30099999999999999</v>
      </c>
      <c r="N105" s="2313">
        <f>0.7525/N101</f>
        <v>0.30099999999999999</v>
      </c>
    </row>
    <row r="106" spans="1:14">
      <c r="A106" s="3732"/>
      <c r="B106" s="2312">
        <v>5</v>
      </c>
      <c r="C106" s="2313">
        <f>0.8417/C101</f>
        <v>0.33667999999999998</v>
      </c>
      <c r="D106" s="2313">
        <f>0.8417/D101</f>
        <v>0.33667999999999998</v>
      </c>
      <c r="E106" s="2313">
        <f>0.7371/E101</f>
        <v>0.29483999999999999</v>
      </c>
      <c r="F106" s="2313">
        <f>0.7371/F101</f>
        <v>0.29483999999999999</v>
      </c>
      <c r="G106" s="2313">
        <f>0.7371/G101</f>
        <v>0.29483999999999999</v>
      </c>
      <c r="H106" s="2313">
        <f>0.7371/H101</f>
        <v>0.29483999999999999</v>
      </c>
      <c r="I106" s="2313">
        <f>0.7371/I101</f>
        <v>0.29483999999999999</v>
      </c>
      <c r="J106" s="2313">
        <f>0.5659/J101</f>
        <v>0.22635999999999998</v>
      </c>
      <c r="K106" s="2313">
        <f>0.5659/K101</f>
        <v>0.22635999999999998</v>
      </c>
      <c r="L106" s="2313">
        <f>0.5659/L101</f>
        <v>0.22635999999999998</v>
      </c>
      <c r="M106" s="2313">
        <f>0.5659/M101</f>
        <v>0.22635999999999998</v>
      </c>
      <c r="N106" s="2313">
        <f>0.5659/N101</f>
        <v>0.22635999999999998</v>
      </c>
    </row>
    <row r="107" spans="1:14">
      <c r="A107" s="3732"/>
      <c r="B107" s="2312">
        <v>6</v>
      </c>
      <c r="C107" s="2313">
        <f>0.7608/C101</f>
        <v>0.30432000000000003</v>
      </c>
      <c r="D107" s="2313">
        <f>0.7608/D101</f>
        <v>0.30432000000000003</v>
      </c>
      <c r="E107" s="2313">
        <f>0.6482/E101</f>
        <v>0.25928000000000001</v>
      </c>
      <c r="F107" s="2313">
        <f>0.6482/F101</f>
        <v>0.25928000000000001</v>
      </c>
      <c r="G107" s="2313">
        <f>0.6482/G101</f>
        <v>0.25928000000000001</v>
      </c>
      <c r="H107" s="2313">
        <f>0.6482/H101</f>
        <v>0.25928000000000001</v>
      </c>
      <c r="I107" s="2313">
        <f>0.6482/I101</f>
        <v>0.25928000000000001</v>
      </c>
      <c r="J107" s="2313">
        <f>0.4525/J101</f>
        <v>0.18099999999999999</v>
      </c>
      <c r="K107" s="2313">
        <f>0.4525/K101</f>
        <v>0.18099999999999999</v>
      </c>
      <c r="L107" s="2313">
        <f>0.4525/L101</f>
        <v>0.18099999999999999</v>
      </c>
      <c r="M107" s="2313">
        <f>0.4525/M101</f>
        <v>0.18099999999999999</v>
      </c>
      <c r="N107" s="2313">
        <f>0.4525/N101</f>
        <v>0.18099999999999999</v>
      </c>
    </row>
    <row r="108" spans="1:14">
      <c r="A108" s="3732"/>
      <c r="B108" s="3734" t="s">
        <v>2736</v>
      </c>
      <c r="C108" s="2314">
        <f>C99</f>
        <v>1</v>
      </c>
      <c r="D108" s="2314">
        <f t="shared" ref="D108:N108" si="34">D99</f>
        <v>1</v>
      </c>
      <c r="E108" s="2314">
        <f t="shared" si="34"/>
        <v>1</v>
      </c>
      <c r="F108" s="2314">
        <f t="shared" si="34"/>
        <v>1</v>
      </c>
      <c r="G108" s="2314">
        <f t="shared" si="34"/>
        <v>1</v>
      </c>
      <c r="H108" s="2314">
        <f t="shared" si="34"/>
        <v>1</v>
      </c>
      <c r="I108" s="2314">
        <f t="shared" si="34"/>
        <v>1</v>
      </c>
      <c r="J108" s="2314">
        <f t="shared" si="34"/>
        <v>1</v>
      </c>
      <c r="K108" s="2314">
        <f t="shared" si="34"/>
        <v>1</v>
      </c>
      <c r="L108" s="2314">
        <f t="shared" si="34"/>
        <v>1</v>
      </c>
      <c r="M108" s="2314">
        <f t="shared" si="34"/>
        <v>1</v>
      </c>
      <c r="N108" s="2314">
        <f t="shared" si="34"/>
        <v>1</v>
      </c>
    </row>
    <row r="109" spans="1:14">
      <c r="A109" s="3733"/>
      <c r="B109" s="3735"/>
      <c r="C109" s="2315">
        <f>(-0.163*(C108^2)-0.59*C108+7617)*(10^(-4))/C101</f>
        <v>0.30464988000000004</v>
      </c>
      <c r="D109" s="2315">
        <f>(-0.163*(D108^2)-0.59*D108+7617)*(10^(-4))/D101</f>
        <v>0.30464988000000004</v>
      </c>
      <c r="E109" s="2315">
        <f>(-0.161*(E108^2)-7.509*E108+6533)*(10^(-4))/E101</f>
        <v>0.2610132</v>
      </c>
      <c r="F109" s="2315">
        <f>(-0.161*(F108^2)-7.509*F108+6533)*(10^(-4))/F101</f>
        <v>0.2610132</v>
      </c>
      <c r="G109" s="2315">
        <f>(-0.161*(G108^2)-7.509*G108+6533)*(10^(-4))/G101</f>
        <v>0.2610132</v>
      </c>
      <c r="H109" s="2315">
        <f>(-0.161*(H108^2)-7.509*H108+6533)*(10^(-4))/H101</f>
        <v>0.2610132</v>
      </c>
      <c r="I109" s="2315">
        <f>(-0.161*(I108^2)-7.509*I108+6533)*(10^(-4))/I101</f>
        <v>0.2610132</v>
      </c>
      <c r="J109" s="2315">
        <f>(-0.214*(J108^2)-21.991*J108+4665)*(10^(-4))/J101</f>
        <v>0.18571180000000001</v>
      </c>
      <c r="K109" s="2315">
        <f>(-0.214*(K108^2)-21.991*K108+4665)*(10^(-4))/K101</f>
        <v>0.18571180000000001</v>
      </c>
      <c r="L109" s="2315">
        <f>(-0.214*(L108^2)-21.991*L108+4665)*(10^(-4))/L101</f>
        <v>0.18571180000000001</v>
      </c>
      <c r="M109" s="2315">
        <f>(-0.214*(M108^2)-21.991*M108+4665)*(10^(-4))/M101</f>
        <v>0.18571180000000001</v>
      </c>
      <c r="N109" s="2315">
        <f>(-0.214*(N108^2)-21.991*N108+4665)*(10^(-4))/N101</f>
        <v>0.18571180000000001</v>
      </c>
    </row>
    <row r="110" spans="1:14">
      <c r="A110" s="3729" t="s">
        <v>2737</v>
      </c>
      <c r="B110" s="3729"/>
      <c r="C110" s="3729"/>
      <c r="D110" s="3729"/>
      <c r="E110" s="3729"/>
      <c r="F110" s="3729"/>
      <c r="G110" s="3729"/>
      <c r="H110" s="3729"/>
      <c r="I110" s="3729"/>
      <c r="J110" s="3729"/>
      <c r="K110" s="2318"/>
      <c r="L110" s="2318"/>
      <c r="M110" s="2318"/>
      <c r="N110" s="2318"/>
    </row>
    <row r="112" spans="1:14" ht="13.5" thickBot="1"/>
    <row r="113" spans="1:13" ht="25.5" thickBot="1">
      <c r="A113" s="840" t="s">
        <v>2738</v>
      </c>
      <c r="B113" s="1195">
        <f>G3</f>
        <v>2.5</v>
      </c>
      <c r="C113" s="841" t="s">
        <v>2739</v>
      </c>
      <c r="D113" s="842">
        <f>SUMPRODUCT((A115:A118=F113)*(B114:M114=H113)*B115:M118)</f>
        <v>0.80589999999999995</v>
      </c>
      <c r="E113" s="2154" t="s">
        <v>2574</v>
      </c>
      <c r="F113" s="2320" t="str">
        <f>E2</f>
        <v>商业</v>
      </c>
      <c r="G113" s="2154" t="s">
        <v>2575</v>
      </c>
      <c r="H113" s="2320" t="str">
        <f>G2</f>
        <v>七级</v>
      </c>
      <c r="I113" s="2154"/>
      <c r="J113" s="2321"/>
      <c r="K113" s="2321"/>
      <c r="L113" s="2321"/>
      <c r="M113" s="2321"/>
    </row>
    <row r="114" spans="1:13">
      <c r="A114" s="845"/>
      <c r="B114" s="2322" t="s">
        <v>2740</v>
      </c>
      <c r="C114" s="2322" t="s">
        <v>2741</v>
      </c>
      <c r="D114" s="2322" t="s">
        <v>2742</v>
      </c>
      <c r="E114" s="2323" t="s">
        <v>2743</v>
      </c>
      <c r="F114" s="2323" t="s">
        <v>2744</v>
      </c>
      <c r="G114" s="2323" t="s">
        <v>2745</v>
      </c>
      <c r="H114" s="2324" t="s">
        <v>2746</v>
      </c>
      <c r="I114" s="2324" t="s">
        <v>2747</v>
      </c>
      <c r="J114" s="2325" t="s">
        <v>2748</v>
      </c>
      <c r="K114" s="2325" t="s">
        <v>2749</v>
      </c>
      <c r="L114" s="2325" t="s">
        <v>2750</v>
      </c>
      <c r="M114" s="2326" t="s">
        <v>2751</v>
      </c>
    </row>
    <row r="115" spans="1:13">
      <c r="A115" s="846" t="s">
        <v>2638</v>
      </c>
      <c r="B115" s="847">
        <f>ROUND(0.9335-0.0094*B113,4)</f>
        <v>0.91</v>
      </c>
      <c r="C115" s="847">
        <f>B115</f>
        <v>0.91</v>
      </c>
      <c r="D115" s="847">
        <f>ROUND(0.8331-0.0109*B113,4)</f>
        <v>0.80589999999999995</v>
      </c>
      <c r="E115" s="847">
        <f>D115</f>
        <v>0.80589999999999995</v>
      </c>
      <c r="F115" s="847">
        <f>E115</f>
        <v>0.80589999999999995</v>
      </c>
      <c r="G115" s="847">
        <f>F115</f>
        <v>0.80589999999999995</v>
      </c>
      <c r="H115" s="847">
        <f>G115</f>
        <v>0.80589999999999995</v>
      </c>
      <c r="I115" s="847">
        <f>ROUND(0.689-0.0155*B113,4)</f>
        <v>0.65029999999999999</v>
      </c>
      <c r="J115" s="847">
        <f t="shared" ref="J115:M118" si="35">I115</f>
        <v>0.65029999999999999</v>
      </c>
      <c r="K115" s="847">
        <f t="shared" si="35"/>
        <v>0.65029999999999999</v>
      </c>
      <c r="L115" s="847">
        <f t="shared" si="35"/>
        <v>0.65029999999999999</v>
      </c>
      <c r="M115" s="848">
        <f t="shared" si="35"/>
        <v>0.65029999999999999</v>
      </c>
    </row>
    <row r="116" spans="1:13">
      <c r="A116" s="846" t="s">
        <v>2639</v>
      </c>
      <c r="B116" s="847">
        <f>ROUND(0.949-0.012*B113,4)</f>
        <v>0.91900000000000004</v>
      </c>
      <c r="C116" s="847">
        <f>B116</f>
        <v>0.91900000000000004</v>
      </c>
      <c r="D116" s="847">
        <f>ROUND(0.8567-0.013*B113,4)</f>
        <v>0.82420000000000004</v>
      </c>
      <c r="E116" s="847">
        <f t="shared" ref="E116:H117" si="36">D116</f>
        <v>0.82420000000000004</v>
      </c>
      <c r="F116" s="847">
        <f t="shared" si="36"/>
        <v>0.82420000000000004</v>
      </c>
      <c r="G116" s="847">
        <f t="shared" si="36"/>
        <v>0.82420000000000004</v>
      </c>
      <c r="H116" s="847">
        <f t="shared" si="36"/>
        <v>0.82420000000000004</v>
      </c>
      <c r="I116" s="847">
        <f>ROUND(0.7694-0.014*B113,4)</f>
        <v>0.73440000000000005</v>
      </c>
      <c r="J116" s="847">
        <f t="shared" si="35"/>
        <v>0.73440000000000005</v>
      </c>
      <c r="K116" s="847">
        <f t="shared" si="35"/>
        <v>0.73440000000000005</v>
      </c>
      <c r="L116" s="847">
        <f t="shared" si="35"/>
        <v>0.73440000000000005</v>
      </c>
      <c r="M116" s="848">
        <f t="shared" si="35"/>
        <v>0.73440000000000005</v>
      </c>
    </row>
    <row r="117" spans="1:13">
      <c r="A117" s="846" t="s">
        <v>2640</v>
      </c>
      <c r="B117" s="847">
        <f>ROUND(0.8808-0.006*B113,4)</f>
        <v>0.86580000000000001</v>
      </c>
      <c r="C117" s="847">
        <f>B117</f>
        <v>0.86580000000000001</v>
      </c>
      <c r="D117" s="847">
        <f>ROUND(0.8748-0.008*B113,4)</f>
        <v>0.8548</v>
      </c>
      <c r="E117" s="847">
        <f t="shared" si="36"/>
        <v>0.8548</v>
      </c>
      <c r="F117" s="847">
        <f t="shared" si="36"/>
        <v>0.8548</v>
      </c>
      <c r="G117" s="847">
        <f t="shared" si="36"/>
        <v>0.8548</v>
      </c>
      <c r="H117" s="847">
        <f t="shared" si="36"/>
        <v>0.8548</v>
      </c>
      <c r="I117" s="847">
        <f>ROUND(0.7412-0.0095*B113,4)</f>
        <v>0.71750000000000003</v>
      </c>
      <c r="J117" s="847">
        <f t="shared" si="35"/>
        <v>0.71750000000000003</v>
      </c>
      <c r="K117" s="847">
        <f t="shared" si="35"/>
        <v>0.71750000000000003</v>
      </c>
      <c r="L117" s="847">
        <f t="shared" si="35"/>
        <v>0.71750000000000003</v>
      </c>
      <c r="M117" s="848">
        <f t="shared" si="35"/>
        <v>0.71750000000000003</v>
      </c>
    </row>
    <row r="118" spans="1:13" ht="13.5" thickBot="1">
      <c r="A118" s="669" t="s">
        <v>2641</v>
      </c>
      <c r="B118" s="849">
        <f>ROUND(0.7275-0.01*B113,4)</f>
        <v>0.70250000000000001</v>
      </c>
      <c r="C118" s="849">
        <f>B118</f>
        <v>0.70250000000000001</v>
      </c>
      <c r="D118" s="849">
        <f>ROUND(0.7043-0.012*B113,4)</f>
        <v>0.67430000000000001</v>
      </c>
      <c r="E118" s="849">
        <f>D118</f>
        <v>0.67430000000000001</v>
      </c>
      <c r="F118" s="849">
        <f>E118</f>
        <v>0.67430000000000001</v>
      </c>
      <c r="G118" s="849">
        <f>ROUND(0.6299-0.0122*B113,4)</f>
        <v>0.59940000000000004</v>
      </c>
      <c r="H118" s="849">
        <f>G118</f>
        <v>0.59940000000000004</v>
      </c>
      <c r="I118" s="849">
        <f>ROUND(0.5667-0.0136*B113,4)</f>
        <v>0.53269999999999995</v>
      </c>
      <c r="J118" s="849">
        <f t="shared" si="35"/>
        <v>0.53269999999999995</v>
      </c>
      <c r="K118" s="849">
        <f t="shared" si="35"/>
        <v>0.53269999999999995</v>
      </c>
      <c r="L118" s="849">
        <f t="shared" si="35"/>
        <v>0.53269999999999995</v>
      </c>
      <c r="M118" s="850">
        <f t="shared" si="35"/>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topLeftCell="A10" zoomScale="90" zoomScaleNormal="60" zoomScaleSheetLayoutView="90" workbookViewId="0">
      <selection activeCell="F32" sqref="F32"/>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5.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t="s">
        <v>3134</v>
      </c>
      <c r="C1" s="1361" t="s">
        <v>2291</v>
      </c>
      <c r="D1" s="1362" t="s">
        <v>3134</v>
      </c>
      <c r="E1" s="1363"/>
      <c r="F1" s="2031" t="s">
        <v>3142</v>
      </c>
      <c r="G1" s="1364" t="s">
        <v>2404</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7" customFormat="1" ht="19.5" customHeight="1" thickTop="1">
      <c r="A2" s="1358" t="s">
        <v>2088</v>
      </c>
      <c r="B2" s="1295" t="e">
        <f>IF(C2="——",IF(B37="元/平方米",ROUND(C39*D3/10000,0),ROUND(F3*C39/10000,0)),IF(B37="元/平方米",ROUND(C39*D3/10000,0),ROUND(F3*C39/10000,0))-D2)</f>
        <v>#DIV/0!</v>
      </c>
      <c r="C2" s="2033" t="s">
        <v>70</v>
      </c>
      <c r="D2" s="1036" t="e">
        <f ca="1">SUMIF(INDIRECT("'"&amp;F2&amp;"'"&amp;"!A:A"),"承租人权益价值",INDIRECT("'"&amp;F2&amp;"'"&amp;"!c:c"))</f>
        <v>#REF!</v>
      </c>
      <c r="E2" s="2034" t="s">
        <v>2089</v>
      </c>
      <c r="F2" s="2035" t="s">
        <v>3137</v>
      </c>
      <c r="G2" s="1037"/>
      <c r="H2" s="1037"/>
      <c r="I2" s="1037"/>
      <c r="J2" s="1037"/>
      <c r="K2" s="1039"/>
      <c r="L2" s="2929"/>
      <c r="M2" s="2930"/>
      <c r="N2" s="2930"/>
      <c r="O2" s="2930"/>
      <c r="P2" s="1296"/>
      <c r="Q2" s="706"/>
      <c r="R2" s="706"/>
      <c r="S2" s="706"/>
      <c r="T2" s="706"/>
      <c r="U2" s="706"/>
      <c r="V2" s="706"/>
      <c r="W2" s="706"/>
      <c r="X2" s="706"/>
      <c r="Y2" s="706"/>
      <c r="Z2" s="706"/>
      <c r="AA2" s="706"/>
      <c r="AB2" s="706"/>
      <c r="AC2" s="707"/>
    </row>
    <row r="3" spans="1:29" s="357" customFormat="1" ht="18.75" customHeight="1" thickBot="1">
      <c r="A3" s="208" t="s">
        <v>2090</v>
      </c>
      <c r="B3" s="565" t="e">
        <f>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9"/>
      <c r="M3" s="2930"/>
      <c r="N3" s="2930"/>
      <c r="O3" s="2930"/>
      <c r="P3" s="129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4.25" customHeight="1" thickBot="1">
      <c r="A5" s="363"/>
      <c r="B5" s="364"/>
      <c r="C5" s="3658" t="s">
        <v>3143</v>
      </c>
      <c r="D5" s="3659"/>
      <c r="E5" s="3653" t="s">
        <v>3145</v>
      </c>
      <c r="F5" s="3654"/>
      <c r="G5" s="3658" t="s">
        <v>3146</v>
      </c>
      <c r="H5" s="3659"/>
      <c r="I5" s="3658" t="s">
        <v>3147</v>
      </c>
      <c r="J5" s="3659"/>
      <c r="K5" s="566"/>
      <c r="L5" s="2910"/>
      <c r="M5" s="2911"/>
      <c r="N5" s="2911"/>
      <c r="O5" s="2911"/>
      <c r="P5" s="3641"/>
      <c r="Q5" s="3642"/>
      <c r="R5" s="3647"/>
      <c r="S5" s="3648"/>
      <c r="T5" s="3647"/>
      <c r="U5" s="3648"/>
      <c r="V5" s="3630"/>
      <c r="W5" s="3630"/>
      <c r="X5" s="1506"/>
      <c r="Y5" s="3647"/>
      <c r="Z5" s="3648"/>
      <c r="AA5" s="3633"/>
      <c r="AB5" s="3633"/>
      <c r="AC5" s="3633"/>
    </row>
    <row r="6" spans="1:29" ht="15.75" hidden="1" thickBot="1">
      <c r="A6" s="365"/>
      <c r="B6" s="366"/>
      <c r="C6" s="3744" t="s">
        <v>3144</v>
      </c>
      <c r="D6" s="3652"/>
      <c r="E6" s="3660" t="str">
        <f>C6</f>
        <v>西红门</v>
      </c>
      <c r="F6" s="3661"/>
      <c r="G6" s="3651" t="str">
        <f>C6</f>
        <v>西红门</v>
      </c>
      <c r="H6" s="3652"/>
      <c r="I6" s="3651" t="str">
        <f>C6</f>
        <v>西红门</v>
      </c>
      <c r="J6" s="3652"/>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44762</v>
      </c>
      <c r="D7" s="370">
        <v>100</v>
      </c>
      <c r="E7" s="371">
        <v>44617</v>
      </c>
      <c r="F7" s="372">
        <f>SUMIF(48:48,YEAR(E7)&amp;"-"&amp;MONTH(E7),49:49)</f>
        <v>0</v>
      </c>
      <c r="G7" s="371">
        <v>44613</v>
      </c>
      <c r="H7" s="370">
        <f>SUMIF(48:48,YEAR(G7)&amp;"-"&amp;MONTH(G7),49:49)</f>
        <v>0</v>
      </c>
      <c r="I7" s="371">
        <v>44617</v>
      </c>
      <c r="J7" s="370">
        <f>SUMIF(48:48,YEAR(I7)&amp;"-"&amp;MONTH(I7),49:49)</f>
        <v>0</v>
      </c>
      <c r="K7" s="567"/>
      <c r="L7" s="2912"/>
      <c r="M7" s="2913"/>
      <c r="N7" s="2913"/>
      <c r="O7" s="2913"/>
      <c r="P7" s="3655" t="s">
        <v>2310</v>
      </c>
      <c r="Q7" s="3657"/>
      <c r="R7" s="708" t="s">
        <v>17</v>
      </c>
      <c r="S7" s="709">
        <f t="shared" ref="S7:S14" si="0">F7</f>
        <v>0</v>
      </c>
      <c r="T7" s="708" t="s">
        <v>17</v>
      </c>
      <c r="U7" s="709">
        <f t="shared" ref="U7:U14" si="1">H7</f>
        <v>0</v>
      </c>
      <c r="V7" s="708" t="s">
        <v>17</v>
      </c>
      <c r="W7" s="709">
        <f t="shared" ref="W7:W14" si="2">J7</f>
        <v>0</v>
      </c>
      <c r="X7" s="710"/>
      <c r="Y7" s="3655" t="s">
        <v>2310</v>
      </c>
      <c r="Z7" s="3656"/>
      <c r="AA7" s="711" t="e">
        <f>D7/F7</f>
        <v>#DIV/0!</v>
      </c>
      <c r="AB7" s="711" t="e">
        <f>D7/H7</f>
        <v>#DIV/0!</v>
      </c>
      <c r="AC7" s="711" t="e">
        <f>D7/J7</f>
        <v>#DIV/0!</v>
      </c>
    </row>
    <row r="8" spans="1:29" s="113" customFormat="1" ht="15.75" thickBot="1">
      <c r="A8" s="367" t="s">
        <v>2311</v>
      </c>
      <c r="B8" s="368"/>
      <c r="C8" s="373" t="s">
        <v>2413</v>
      </c>
      <c r="D8" s="370">
        <v>100</v>
      </c>
      <c r="E8" s="373" t="s">
        <v>3148</v>
      </c>
      <c r="F8" s="372">
        <f>SUMIF(51:51,E8,52:52)-SUMIF(51:51,C8,52:52)+100</f>
        <v>100</v>
      </c>
      <c r="G8" s="373" t="s">
        <v>3148</v>
      </c>
      <c r="H8" s="370">
        <f>SUMIF(51:51,G8,52:52)-SUMIF(51:51,C8,52:52)+100</f>
        <v>100</v>
      </c>
      <c r="I8" s="373" t="s">
        <v>3148</v>
      </c>
      <c r="J8" s="370">
        <f>SUMIF(51:51,I8,52:52)-SUMIF(51:51,C8,52:52)+100</f>
        <v>100</v>
      </c>
      <c r="K8" s="567"/>
      <c r="L8" s="2912"/>
      <c r="M8" s="2913"/>
      <c r="N8" s="2913"/>
      <c r="O8" s="2913"/>
      <c r="P8" s="3655" t="s">
        <v>2313</v>
      </c>
      <c r="Q8" s="3656"/>
      <c r="R8" s="708" t="s">
        <v>17</v>
      </c>
      <c r="S8" s="709">
        <f t="shared" si="0"/>
        <v>100</v>
      </c>
      <c r="T8" s="708" t="s">
        <v>17</v>
      </c>
      <c r="U8" s="709">
        <f t="shared" si="1"/>
        <v>100</v>
      </c>
      <c r="V8" s="708" t="s">
        <v>17</v>
      </c>
      <c r="W8" s="709">
        <f t="shared" si="2"/>
        <v>100</v>
      </c>
      <c r="X8" s="710"/>
      <c r="Y8" s="3655" t="s">
        <v>2313</v>
      </c>
      <c r="Z8" s="3656"/>
      <c r="AA8" s="711">
        <f t="shared" ref="AA8:AA36" si="3">D8/F8</f>
        <v>1</v>
      </c>
      <c r="AB8" s="711">
        <f t="shared" ref="AB8:AB36" si="4">D8/H8</f>
        <v>1</v>
      </c>
      <c r="AC8" s="711">
        <f t="shared" ref="AC8:AC36" si="5">D8/J8</f>
        <v>1</v>
      </c>
    </row>
    <row r="9" spans="1:29" s="113" customFormat="1">
      <c r="A9" s="64" t="s">
        <v>2314</v>
      </c>
      <c r="B9" s="595" t="s">
        <v>2315</v>
      </c>
      <c r="C9" s="3215" t="s">
        <v>3150</v>
      </c>
      <c r="D9" s="131">
        <v>100</v>
      </c>
      <c r="E9" s="378" t="s">
        <v>3149</v>
      </c>
      <c r="F9" s="131">
        <f>SUMIF(53:53,E9,54:54)-SUMIF(53:53,C9,54:54)+100</f>
        <v>100</v>
      </c>
      <c r="G9" s="378" t="s">
        <v>3149</v>
      </c>
      <c r="H9" s="131">
        <f>SUMIF(53:53,G9,54:54)-SUMIF(53:53,C9,54:54)+100</f>
        <v>100</v>
      </c>
      <c r="I9" s="378" t="s">
        <v>3149</v>
      </c>
      <c r="J9" s="131">
        <f>SUMIF(53:53,I9,54:54)-SUMIF(53:53,C9,54:54)+100</f>
        <v>100</v>
      </c>
      <c r="K9" s="567"/>
      <c r="L9" s="2912"/>
      <c r="M9" s="2913"/>
      <c r="N9" s="2913"/>
      <c r="O9" s="2913"/>
      <c r="P9" s="3616" t="s">
        <v>2316</v>
      </c>
      <c r="Q9" s="1494" t="str">
        <f t="shared" ref="Q9:Q14" si="6">B9</f>
        <v>用途</v>
      </c>
      <c r="R9" s="708" t="s">
        <v>17</v>
      </c>
      <c r="S9" s="709">
        <f t="shared" si="0"/>
        <v>100</v>
      </c>
      <c r="T9" s="708" t="s">
        <v>17</v>
      </c>
      <c r="U9" s="709">
        <f t="shared" si="1"/>
        <v>100</v>
      </c>
      <c r="V9" s="708" t="s">
        <v>17</v>
      </c>
      <c r="W9" s="709">
        <f t="shared" si="2"/>
        <v>100</v>
      </c>
      <c r="X9" s="710"/>
      <c r="Y9" s="3520" t="s">
        <v>2317</v>
      </c>
      <c r="Z9" s="55" t="str">
        <f t="shared" ref="Z9:Z14" si="7">Q9</f>
        <v>用途</v>
      </c>
      <c r="AA9" s="711">
        <f t="shared" si="3"/>
        <v>1</v>
      </c>
      <c r="AB9" s="711">
        <f t="shared" si="4"/>
        <v>1</v>
      </c>
      <c r="AC9" s="711">
        <f t="shared" si="5"/>
        <v>1</v>
      </c>
    </row>
    <row r="10" spans="1:29" s="385" customFormat="1" ht="27.75" thickBot="1">
      <c r="A10" s="596"/>
      <c r="B10" s="597" t="s">
        <v>2318</v>
      </c>
      <c r="C10" s="381" t="s">
        <v>3151</v>
      </c>
      <c r="D10" s="132">
        <v>100</v>
      </c>
      <c r="E10" s="381" t="s">
        <v>3151</v>
      </c>
      <c r="F10" s="132">
        <f>SUMIF(55:55,E10,56:56)-SUMIF(55:55,C10,56:56)+100</f>
        <v>100</v>
      </c>
      <c r="G10" s="382" t="s">
        <v>3151</v>
      </c>
      <c r="H10" s="132">
        <f>SUMIF(55:55,G10,56:56)-SUMIF(55:55,C10,56:56)+100</f>
        <v>100</v>
      </c>
      <c r="I10" s="381" t="s">
        <v>3152</v>
      </c>
      <c r="J10" s="132">
        <f>SUMIF(55:55,I10,56:56)-SUMIF(55:55,C10,56:56)+100</f>
        <v>98</v>
      </c>
      <c r="K10" s="568">
        <v>2</v>
      </c>
      <c r="L10" s="2914"/>
      <c r="M10" s="2915"/>
      <c r="N10" s="2915"/>
      <c r="O10" s="2915"/>
      <c r="P10" s="3616"/>
      <c r="Q10" s="1494" t="str">
        <f t="shared" si="6"/>
        <v>土地使用年限（年）</v>
      </c>
      <c r="R10" s="708" t="s">
        <v>17</v>
      </c>
      <c r="S10" s="709">
        <f t="shared" si="0"/>
        <v>100</v>
      </c>
      <c r="T10" s="708" t="s">
        <v>17</v>
      </c>
      <c r="U10" s="709">
        <f t="shared" si="1"/>
        <v>100</v>
      </c>
      <c r="V10" s="708" t="s">
        <v>17</v>
      </c>
      <c r="W10" s="709">
        <f t="shared" si="2"/>
        <v>98</v>
      </c>
      <c r="X10" s="710"/>
      <c r="Y10" s="3520"/>
      <c r="Z10" s="55" t="str">
        <f t="shared" si="7"/>
        <v>土地使用年限（年）</v>
      </c>
      <c r="AA10" s="711">
        <f t="shared" si="3"/>
        <v>1</v>
      </c>
      <c r="AB10" s="711">
        <f t="shared" si="4"/>
        <v>1</v>
      </c>
      <c r="AC10" s="711">
        <f t="shared" si="5"/>
        <v>1.0204081632653061</v>
      </c>
    </row>
    <row r="11" spans="1:29" ht="15" hidden="1">
      <c r="A11" s="598"/>
      <c r="B11" s="3216" t="s">
        <v>3153</v>
      </c>
      <c r="C11" s="390"/>
      <c r="D11" s="132">
        <v>100</v>
      </c>
      <c r="E11" s="390"/>
      <c r="F11" s="132">
        <f>SUMIF(57:57,E11,58:58)-SUMIF(57:57,C11,58:58)+100</f>
        <v>100</v>
      </c>
      <c r="G11" s="390"/>
      <c r="H11" s="132">
        <f>SUMIF(57:57,G11,58:58)-SUMIF(57:57,C11,58:58)+100</f>
        <v>100</v>
      </c>
      <c r="I11" s="390"/>
      <c r="J11" s="132">
        <f>SUMIF(57:57,I11,58:58)-SUMIF(57:57,C11,58:58)+100</f>
        <v>100</v>
      </c>
      <c r="K11" s="569"/>
      <c r="L11" s="2916"/>
      <c r="M11" s="2911"/>
      <c r="N11" s="2911"/>
      <c r="O11" s="2911"/>
      <c r="P11" s="3616"/>
      <c r="Q11" s="1494" t="str">
        <f t="shared" si="6"/>
        <v>容积率</v>
      </c>
      <c r="R11" s="708" t="s">
        <v>17</v>
      </c>
      <c r="S11" s="709">
        <f t="shared" si="0"/>
        <v>100</v>
      </c>
      <c r="T11" s="708" t="s">
        <v>17</v>
      </c>
      <c r="U11" s="709">
        <f t="shared" si="1"/>
        <v>100</v>
      </c>
      <c r="V11" s="708" t="s">
        <v>17</v>
      </c>
      <c r="W11" s="709">
        <f t="shared" si="2"/>
        <v>100</v>
      </c>
      <c r="X11" s="710"/>
      <c r="Y11" s="3520"/>
      <c r="Z11" s="55" t="str">
        <f t="shared" si="7"/>
        <v>容积率</v>
      </c>
      <c r="AA11" s="711">
        <f t="shared" si="3"/>
        <v>1</v>
      </c>
      <c r="AB11" s="711">
        <f t="shared" si="4"/>
        <v>1</v>
      </c>
      <c r="AC11" s="711">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2"/>
      <c r="M12" s="2913"/>
      <c r="N12" s="2913"/>
      <c r="O12" s="2913"/>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7"/>
      <c r="M13" s="2911"/>
      <c r="N13" s="2911"/>
      <c r="O13" s="2911"/>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2.75" customHeight="1">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7"/>
      <c r="M14" s="2911"/>
      <c r="N14" s="2911"/>
      <c r="O14" s="2911"/>
      <c r="P14" s="3623" t="s">
        <v>2321</v>
      </c>
      <c r="Q14" s="1503" t="str">
        <f t="shared" si="6"/>
        <v>交通便捷度</v>
      </c>
      <c r="R14" s="712" t="s">
        <v>17</v>
      </c>
      <c r="S14" s="713">
        <f t="shared" si="0"/>
        <v>100</v>
      </c>
      <c r="T14" s="712" t="s">
        <v>17</v>
      </c>
      <c r="U14" s="713">
        <f t="shared" si="1"/>
        <v>100</v>
      </c>
      <c r="V14" s="712" t="s">
        <v>17</v>
      </c>
      <c r="W14" s="713">
        <f t="shared" si="2"/>
        <v>100</v>
      </c>
      <c r="X14" s="1506"/>
      <c r="Y14" s="3623" t="s">
        <v>2321</v>
      </c>
      <c r="Z14" s="1507" t="str">
        <f t="shared" si="7"/>
        <v>交通便捷度</v>
      </c>
      <c r="AA14" s="1504">
        <f t="shared" si="3"/>
        <v>1</v>
      </c>
      <c r="AB14" s="1504">
        <f t="shared" si="4"/>
        <v>1</v>
      </c>
      <c r="AC14" s="1504">
        <f t="shared" si="5"/>
        <v>1</v>
      </c>
    </row>
    <row r="15" spans="1:29" ht="12.75" customHeight="1">
      <c r="A15" s="363"/>
      <c r="B15" s="602"/>
      <c r="C15" s="405" t="s">
        <v>3154</v>
      </c>
      <c r="D15" s="406"/>
      <c r="E15" s="405" t="s">
        <v>3154</v>
      </c>
      <c r="F15" s="407"/>
      <c r="G15" s="405" t="s">
        <v>3154</v>
      </c>
      <c r="H15" s="408"/>
      <c r="I15" s="405" t="s">
        <v>3154</v>
      </c>
      <c r="J15" s="406"/>
      <c r="K15" s="571"/>
      <c r="L15" s="2917"/>
      <c r="M15" s="2911"/>
      <c r="N15" s="2911"/>
      <c r="O15" s="2911"/>
      <c r="P15" s="3624"/>
      <c r="Q15" s="1503"/>
      <c r="R15" s="712"/>
      <c r="S15" s="713"/>
      <c r="T15" s="712"/>
      <c r="U15" s="713"/>
      <c r="V15" s="712"/>
      <c r="W15" s="713"/>
      <c r="X15" s="1506"/>
      <c r="Y15" s="3624"/>
      <c r="Z15" s="1507"/>
      <c r="AA15" s="1504">
        <v>1</v>
      </c>
      <c r="AB15" s="1504">
        <v>1</v>
      </c>
      <c r="AC15" s="1504">
        <v>1</v>
      </c>
    </row>
    <row r="16" spans="1:29" ht="12.75" customHeight="1">
      <c r="A16" s="363"/>
      <c r="B16" s="586" t="s">
        <v>2449</v>
      </c>
      <c r="C16" s="205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7"/>
      <c r="M16" s="2911"/>
      <c r="N16" s="2911"/>
      <c r="O16" s="2911"/>
      <c r="P16" s="3624"/>
      <c r="Q16" s="1503" t="str">
        <f>B16</f>
        <v>公共配套设施</v>
      </c>
      <c r="R16" s="712" t="s">
        <v>17</v>
      </c>
      <c r="S16" s="713">
        <f>F16</f>
        <v>100</v>
      </c>
      <c r="T16" s="712" t="s">
        <v>17</v>
      </c>
      <c r="U16" s="713">
        <f>H16</f>
        <v>100</v>
      </c>
      <c r="V16" s="712" t="s">
        <v>17</v>
      </c>
      <c r="W16" s="713">
        <f>J16</f>
        <v>100</v>
      </c>
      <c r="X16" s="1506"/>
      <c r="Y16" s="3624"/>
      <c r="Z16" s="1507" t="str">
        <f>Q16</f>
        <v>公共配套设施</v>
      </c>
      <c r="AA16" s="1504">
        <f t="shared" si="3"/>
        <v>1</v>
      </c>
      <c r="AB16" s="1504">
        <f t="shared" si="4"/>
        <v>1</v>
      </c>
      <c r="AC16" s="1504">
        <f t="shared" si="5"/>
        <v>1</v>
      </c>
    </row>
    <row r="17" spans="1:29" ht="12.75" customHeight="1">
      <c r="A17" s="363"/>
      <c r="B17" s="587"/>
      <c r="C17" s="405" t="s">
        <v>3154</v>
      </c>
      <c r="D17" s="406"/>
      <c r="E17" s="405" t="s">
        <v>3154</v>
      </c>
      <c r="F17" s="407"/>
      <c r="G17" s="405" t="s">
        <v>3154</v>
      </c>
      <c r="H17" s="406"/>
      <c r="I17" s="405" t="s">
        <v>3154</v>
      </c>
      <c r="J17" s="406"/>
      <c r="K17" s="571"/>
      <c r="L17" s="2917"/>
      <c r="M17" s="2911"/>
      <c r="N17" s="2911"/>
      <c r="O17" s="2911"/>
      <c r="P17" s="3624"/>
      <c r="Q17" s="1503"/>
      <c r="R17" s="712"/>
      <c r="S17" s="713"/>
      <c r="T17" s="712"/>
      <c r="U17" s="713"/>
      <c r="V17" s="712"/>
      <c r="W17" s="713"/>
      <c r="X17" s="1506"/>
      <c r="Y17" s="3624"/>
      <c r="Z17" s="1507"/>
      <c r="AA17" s="1504">
        <v>1</v>
      </c>
      <c r="AB17" s="1504">
        <v>1</v>
      </c>
      <c r="AC17" s="1504">
        <v>1</v>
      </c>
    </row>
    <row r="18" spans="1:29" ht="12.75" customHeight="1">
      <c r="A18" s="363"/>
      <c r="B18" s="588" t="s">
        <v>2450</v>
      </c>
      <c r="C18" s="205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7"/>
      <c r="M18" s="2911"/>
      <c r="N18" s="2911"/>
      <c r="O18" s="2911"/>
      <c r="P18" s="3624"/>
      <c r="Q18" s="1503" t="str">
        <f>B18</f>
        <v>基础设施水平</v>
      </c>
      <c r="R18" s="712" t="s">
        <v>17</v>
      </c>
      <c r="S18" s="713">
        <f>F18</f>
        <v>100</v>
      </c>
      <c r="T18" s="712" t="s">
        <v>17</v>
      </c>
      <c r="U18" s="713">
        <f>H18</f>
        <v>100</v>
      </c>
      <c r="V18" s="712" t="s">
        <v>17</v>
      </c>
      <c r="W18" s="713">
        <f>J18</f>
        <v>100</v>
      </c>
      <c r="X18" s="1506"/>
      <c r="Y18" s="3624"/>
      <c r="Z18" s="1507" t="str">
        <f>Q18</f>
        <v>基础设施水平</v>
      </c>
      <c r="AA18" s="1504">
        <f t="shared" ref="AA18" si="8">D18/F18</f>
        <v>1</v>
      </c>
      <c r="AB18" s="1504">
        <f t="shared" ref="AB18" si="9">D18/H18</f>
        <v>1</v>
      </c>
      <c r="AC18" s="1504">
        <f t="shared" ref="AC18" si="10">D18/J18</f>
        <v>1</v>
      </c>
    </row>
    <row r="19" spans="1:29" ht="12.75" customHeight="1">
      <c r="A19" s="363"/>
      <c r="B19" s="588"/>
      <c r="C19" s="2053" t="s">
        <v>3155</v>
      </c>
      <c r="D19" s="408"/>
      <c r="E19" s="2053" t="s">
        <v>3155</v>
      </c>
      <c r="F19" s="411"/>
      <c r="G19" s="2053" t="s">
        <v>3155</v>
      </c>
      <c r="H19" s="406"/>
      <c r="I19" s="2053" t="s">
        <v>3155</v>
      </c>
      <c r="J19" s="406"/>
      <c r="K19" s="1261"/>
      <c r="L19" s="2917"/>
      <c r="M19" s="2911"/>
      <c r="N19" s="2911"/>
      <c r="O19" s="2911"/>
      <c r="P19" s="3624"/>
      <c r="Q19" s="1503"/>
      <c r="R19" s="712"/>
      <c r="S19" s="713"/>
      <c r="T19" s="712"/>
      <c r="U19" s="713"/>
      <c r="V19" s="712"/>
      <c r="W19" s="713"/>
      <c r="X19" s="1506"/>
      <c r="Y19" s="3624"/>
      <c r="Z19" s="1507"/>
      <c r="AA19" s="1504">
        <v>1</v>
      </c>
      <c r="AB19" s="1504">
        <v>1</v>
      </c>
      <c r="AC19" s="1504">
        <v>1</v>
      </c>
    </row>
    <row r="20" spans="1:29" ht="12.75" customHeight="1">
      <c r="A20" s="363"/>
      <c r="B20" s="586" t="s">
        <v>2471</v>
      </c>
      <c r="C20" s="205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7"/>
      <c r="M20" s="2911"/>
      <c r="N20" s="2911"/>
      <c r="O20" s="2911"/>
      <c r="P20" s="3624"/>
      <c r="Q20" s="1503" t="str">
        <f>B20</f>
        <v>自然及人文环境</v>
      </c>
      <c r="R20" s="712" t="s">
        <v>17</v>
      </c>
      <c r="S20" s="713">
        <f>F20</f>
        <v>100</v>
      </c>
      <c r="T20" s="712" t="s">
        <v>17</v>
      </c>
      <c r="U20" s="713">
        <f>H20</f>
        <v>100</v>
      </c>
      <c r="V20" s="712" t="s">
        <v>17</v>
      </c>
      <c r="W20" s="713">
        <f>J20</f>
        <v>100</v>
      </c>
      <c r="X20" s="1506"/>
      <c r="Y20" s="3624"/>
      <c r="Z20" s="1507" t="str">
        <f>Q20</f>
        <v>自然及人文环境</v>
      </c>
      <c r="AA20" s="1504">
        <f t="shared" si="3"/>
        <v>1</v>
      </c>
      <c r="AB20" s="1504">
        <f t="shared" si="4"/>
        <v>1</v>
      </c>
      <c r="AC20" s="1504">
        <f t="shared" si="5"/>
        <v>1</v>
      </c>
    </row>
    <row r="21" spans="1:29" ht="12.75" customHeight="1">
      <c r="A21" s="363"/>
      <c r="B21" s="587"/>
      <c r="C21" s="405" t="s">
        <v>3154</v>
      </c>
      <c r="D21" s="406"/>
      <c r="E21" s="405" t="s">
        <v>3154</v>
      </c>
      <c r="F21" s="407"/>
      <c r="G21" s="405" t="s">
        <v>3154</v>
      </c>
      <c r="H21" s="406"/>
      <c r="I21" s="405" t="s">
        <v>3154</v>
      </c>
      <c r="J21" s="406"/>
      <c r="K21" s="571"/>
      <c r="L21" s="2917"/>
      <c r="M21" s="2911"/>
      <c r="N21" s="2911"/>
      <c r="O21" s="2911"/>
      <c r="P21" s="3624"/>
      <c r="Q21" s="1503"/>
      <c r="R21" s="712"/>
      <c r="S21" s="713"/>
      <c r="T21" s="712"/>
      <c r="U21" s="713"/>
      <c r="V21" s="712"/>
      <c r="W21" s="713"/>
      <c r="X21" s="1506"/>
      <c r="Y21" s="3624"/>
      <c r="Z21" s="1507"/>
      <c r="AA21" s="1504">
        <v>1</v>
      </c>
      <c r="AB21" s="1504">
        <v>1</v>
      </c>
      <c r="AC21" s="1504">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7"/>
      <c r="M22" s="2911"/>
      <c r="N22" s="2911"/>
      <c r="O22" s="2911"/>
      <c r="P22" s="3624"/>
      <c r="Q22" s="1503" t="str">
        <f>B22</f>
        <v>楼层</v>
      </c>
      <c r="R22" s="712" t="s">
        <v>17</v>
      </c>
      <c r="S22" s="713">
        <f>F22</f>
        <v>100</v>
      </c>
      <c r="T22" s="712" t="s">
        <v>17</v>
      </c>
      <c r="U22" s="713">
        <f>H22</f>
        <v>100</v>
      </c>
      <c r="V22" s="712" t="s">
        <v>17</v>
      </c>
      <c r="W22" s="713">
        <f>J22</f>
        <v>100</v>
      </c>
      <c r="X22" s="1506"/>
      <c r="Y22" s="3624"/>
      <c r="Z22" s="1507" t="str">
        <f>Q22</f>
        <v>楼层</v>
      </c>
      <c r="AA22" s="1504">
        <f t="shared" si="3"/>
        <v>1</v>
      </c>
      <c r="AB22" s="1504">
        <f t="shared" si="4"/>
        <v>1</v>
      </c>
      <c r="AC22" s="1504">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7"/>
      <c r="M23" s="2911"/>
      <c r="N23" s="2911"/>
      <c r="O23" s="2911"/>
      <c r="P23" s="3624"/>
      <c r="Q23" s="1503">
        <f>B23</f>
        <v>111</v>
      </c>
      <c r="R23" s="712" t="s">
        <v>17</v>
      </c>
      <c r="S23" s="713">
        <f>F23</f>
        <v>100</v>
      </c>
      <c r="T23" s="712" t="s">
        <v>17</v>
      </c>
      <c r="U23" s="713">
        <f>H23</f>
        <v>100</v>
      </c>
      <c r="V23" s="712" t="s">
        <v>17</v>
      </c>
      <c r="W23" s="713">
        <f>J23</f>
        <v>100</v>
      </c>
      <c r="X23" s="1506"/>
      <c r="Y23" s="3624"/>
      <c r="Z23" s="1507">
        <f>Q23</f>
        <v>111</v>
      </c>
      <c r="AA23" s="1504">
        <f t="shared" si="3"/>
        <v>1</v>
      </c>
      <c r="AB23" s="1504">
        <f t="shared" si="4"/>
        <v>1</v>
      </c>
      <c r="AC23" s="1504">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7"/>
      <c r="M24" s="2911"/>
      <c r="N24" s="2911"/>
      <c r="O24" s="2911"/>
      <c r="P24" s="3624"/>
      <c r="Q24" s="1503">
        <f t="shared" ref="Q24:Q36" si="11">B24</f>
        <v>111</v>
      </c>
      <c r="R24" s="712" t="s">
        <v>17</v>
      </c>
      <c r="S24" s="713">
        <f>F24</f>
        <v>100</v>
      </c>
      <c r="T24" s="712" t="s">
        <v>17</v>
      </c>
      <c r="U24" s="713">
        <f>H24</f>
        <v>100</v>
      </c>
      <c r="V24" s="712" t="s">
        <v>17</v>
      </c>
      <c r="W24" s="713">
        <f>J24</f>
        <v>100</v>
      </c>
      <c r="X24" s="1506"/>
      <c r="Y24" s="3624"/>
      <c r="Z24" s="1507">
        <f>Q24</f>
        <v>111</v>
      </c>
      <c r="AA24" s="1504">
        <f t="shared" si="3"/>
        <v>1</v>
      </c>
      <c r="AB24" s="1504">
        <f t="shared" si="4"/>
        <v>1</v>
      </c>
      <c r="AC24" s="1504">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2"/>
      <c r="M25" s="2913"/>
      <c r="N25" s="2913"/>
      <c r="O25" s="2913"/>
      <c r="P25" s="3624"/>
      <c r="Q25" s="1494">
        <f t="shared" si="11"/>
        <v>111</v>
      </c>
      <c r="R25" s="708" t="s">
        <v>17</v>
      </c>
      <c r="S25" s="709">
        <f>F25</f>
        <v>100</v>
      </c>
      <c r="T25" s="708" t="s">
        <v>17</v>
      </c>
      <c r="U25" s="709">
        <f>H25</f>
        <v>100</v>
      </c>
      <c r="V25" s="708" t="s">
        <v>17</v>
      </c>
      <c r="W25" s="709">
        <f>J25</f>
        <v>100</v>
      </c>
      <c r="X25" s="710"/>
      <c r="Y25" s="3624"/>
      <c r="Z25" s="55">
        <f>Q25</f>
        <v>111</v>
      </c>
      <c r="AA25" s="1504">
        <f>D25/F25</f>
        <v>1</v>
      </c>
      <c r="AB25" s="1504">
        <f>D25/H25</f>
        <v>1</v>
      </c>
      <c r="AC25" s="1504">
        <f>D25/J25</f>
        <v>1</v>
      </c>
    </row>
    <row r="26" spans="1:29" ht="12.75" customHeight="1">
      <c r="A26" s="607" t="s">
        <v>2324</v>
      </c>
      <c r="B26" s="66" t="s">
        <v>2473</v>
      </c>
      <c r="C26" s="2124" t="str">
        <f>B1</f>
        <v>车库</v>
      </c>
      <c r="D26" s="406">
        <v>100</v>
      </c>
      <c r="E26" s="405" t="s">
        <v>3134</v>
      </c>
      <c r="F26" s="407">
        <f>SUMIF(79:79,E26,80:80)-SUMIF(79:79,C26,80:80)+100</f>
        <v>100</v>
      </c>
      <c r="G26" s="405" t="s">
        <v>3134</v>
      </c>
      <c r="H26" s="406">
        <f>SUMIF(79:79,G26,80:80)-SUMIF(79:79,C26,80:80)+100</f>
        <v>100</v>
      </c>
      <c r="I26" s="405" t="s">
        <v>3134</v>
      </c>
      <c r="J26" s="406">
        <f>SUMIF(79:79,I26,80:80)-SUMIF(79:79,C26,80:80)+100</f>
        <v>100</v>
      </c>
      <c r="K26" s="568">
        <v>2</v>
      </c>
      <c r="L26" s="2917"/>
      <c r="M26" s="2911"/>
      <c r="N26" s="2911"/>
      <c r="O26" s="2911"/>
      <c r="P26" s="3743" t="s">
        <v>2326</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628" t="s">
        <v>2326</v>
      </c>
      <c r="Z26" s="1507" t="str">
        <f t="shared" ref="Z26:Z36" si="15">Q26</f>
        <v>配套类型</v>
      </c>
      <c r="AA26" s="1504">
        <f t="shared" si="3"/>
        <v>1</v>
      </c>
      <c r="AB26" s="1504">
        <f t="shared" si="4"/>
        <v>1</v>
      </c>
      <c r="AC26" s="1504">
        <f t="shared" si="5"/>
        <v>1</v>
      </c>
    </row>
    <row r="27" spans="1:29" s="429" customFormat="1" ht="12.75" customHeight="1">
      <c r="A27" s="608"/>
      <c r="B27" s="609" t="s">
        <v>2474</v>
      </c>
      <c r="C27" s="610" t="e">
        <f>#REF!</f>
        <v>#REF!</v>
      </c>
      <c r="D27" s="132">
        <v>100</v>
      </c>
      <c r="E27" s="610" t="e">
        <f>#REF!</f>
        <v>#REF!</v>
      </c>
      <c r="F27" s="419">
        <f>SUMIF(81:81,E27,82:82)-SUMIF(81:81,C27,82:82)+100</f>
        <v>100</v>
      </c>
      <c r="G27" s="610" t="e">
        <f>#REF!</f>
        <v>#REF!</v>
      </c>
      <c r="H27" s="393">
        <f>SUMIF(81:81,G27,82:82)-SUMIF(81:81,C27,82:82)+100</f>
        <v>100</v>
      </c>
      <c r="I27" s="610" t="e">
        <f>#REF!</f>
        <v>#REF!</v>
      </c>
      <c r="J27" s="393">
        <f>SUMIF(81:81,I27,82:82)-SUMIF(81:81,C27,82:82)+100</f>
        <v>100</v>
      </c>
      <c r="K27" s="569"/>
      <c r="L27" s="2916"/>
      <c r="M27" s="2918"/>
      <c r="N27" s="2918"/>
      <c r="O27" s="2918"/>
      <c r="P27" s="3628"/>
      <c r="Q27" s="714" t="str">
        <f t="shared" si="11"/>
        <v>项目停车位配比</v>
      </c>
      <c r="R27" s="715" t="s">
        <v>17</v>
      </c>
      <c r="S27" s="716">
        <f t="shared" si="12"/>
        <v>100</v>
      </c>
      <c r="T27" s="715" t="s">
        <v>17</v>
      </c>
      <c r="U27" s="716">
        <f t="shared" si="13"/>
        <v>100</v>
      </c>
      <c r="V27" s="715" t="s">
        <v>17</v>
      </c>
      <c r="W27" s="716">
        <f t="shared" si="14"/>
        <v>100</v>
      </c>
      <c r="X27" s="717"/>
      <c r="Y27" s="3628"/>
      <c r="Z27" s="718" t="str">
        <f t="shared" si="15"/>
        <v>项目停车位配比</v>
      </c>
      <c r="AA27" s="1504">
        <f t="shared" si="3"/>
        <v>1</v>
      </c>
      <c r="AB27" s="1504">
        <f t="shared" si="4"/>
        <v>1</v>
      </c>
      <c r="AC27" s="1504">
        <f t="shared" si="5"/>
        <v>1</v>
      </c>
    </row>
    <row r="28" spans="1:29" ht="12.75" customHeight="1">
      <c r="A28" s="611"/>
      <c r="B28" s="609" t="s">
        <v>2475</v>
      </c>
      <c r="C28" s="418" t="s">
        <v>3156</v>
      </c>
      <c r="D28" s="393">
        <v>100</v>
      </c>
      <c r="E28" s="418" t="s">
        <v>3156</v>
      </c>
      <c r="F28" s="419">
        <f>SUMIF(83:83,E28,84:84)-SUMIF(83:83,C28,84:84)+100</f>
        <v>100</v>
      </c>
      <c r="G28" s="418" t="s">
        <v>3156</v>
      </c>
      <c r="H28" s="393">
        <f>SUMIF(83:83,G28,84:84)-SUMIF(83:83,C28,84:84)+100</f>
        <v>100</v>
      </c>
      <c r="I28" s="418" t="s">
        <v>3156</v>
      </c>
      <c r="J28" s="393">
        <f>SUMIF(83:83,I28,84:84)-SUMIF(83:83,C28,84:84)+100</f>
        <v>100</v>
      </c>
      <c r="K28" s="568">
        <v>1</v>
      </c>
      <c r="L28" s="2917"/>
      <c r="M28" s="2911"/>
      <c r="N28" s="2911"/>
      <c r="O28" s="2911"/>
      <c r="P28" s="3628"/>
      <c r="Q28" s="1503" t="str">
        <f t="shared" si="11"/>
        <v>公共部分装修</v>
      </c>
      <c r="R28" s="712" t="s">
        <v>17</v>
      </c>
      <c r="S28" s="713">
        <f t="shared" si="12"/>
        <v>100</v>
      </c>
      <c r="T28" s="712" t="s">
        <v>17</v>
      </c>
      <c r="U28" s="713">
        <f t="shared" si="13"/>
        <v>100</v>
      </c>
      <c r="V28" s="712" t="s">
        <v>17</v>
      </c>
      <c r="W28" s="713">
        <f t="shared" si="14"/>
        <v>100</v>
      </c>
      <c r="X28" s="1506"/>
      <c r="Y28" s="3628"/>
      <c r="Z28" s="1507" t="str">
        <f t="shared" si="15"/>
        <v>公共部分装修</v>
      </c>
      <c r="AA28" s="1504">
        <f t="shared" si="3"/>
        <v>1</v>
      </c>
      <c r="AB28" s="1504">
        <f t="shared" si="4"/>
        <v>1</v>
      </c>
      <c r="AC28" s="1504">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17"/>
      <c r="M29" s="2911"/>
      <c r="N29" s="2911"/>
      <c r="O29" s="2911"/>
      <c r="P29" s="3628"/>
      <c r="Q29" s="1503" t="str">
        <f t="shared" si="11"/>
        <v>成新率</v>
      </c>
      <c r="R29" s="712" t="s">
        <v>17</v>
      </c>
      <c r="S29" s="713">
        <f t="shared" si="12"/>
        <v>100</v>
      </c>
      <c r="T29" s="712" t="s">
        <v>17</v>
      </c>
      <c r="U29" s="713">
        <f t="shared" si="13"/>
        <v>100</v>
      </c>
      <c r="V29" s="712" t="s">
        <v>17</v>
      </c>
      <c r="W29" s="713">
        <f t="shared" si="14"/>
        <v>95</v>
      </c>
      <c r="X29" s="1506"/>
      <c r="Y29" s="3628"/>
      <c r="Z29" s="1507" t="str">
        <f t="shared" si="15"/>
        <v>成新率</v>
      </c>
      <c r="AA29" s="1504">
        <f t="shared" si="3"/>
        <v>1</v>
      </c>
      <c r="AB29" s="1504">
        <f t="shared" si="4"/>
        <v>1</v>
      </c>
      <c r="AC29" s="1504">
        <f t="shared" si="5"/>
        <v>1.0526315789473684</v>
      </c>
    </row>
    <row r="30" spans="1:29" ht="12.75" customHeight="1">
      <c r="A30" s="611"/>
      <c r="B30" s="609" t="s">
        <v>2477</v>
      </c>
      <c r="C30" s="612" t="s">
        <v>3159</v>
      </c>
      <c r="D30" s="393">
        <v>100</v>
      </c>
      <c r="E30" s="612" t="s">
        <v>3159</v>
      </c>
      <c r="F30" s="419">
        <f>SUMIF(88:88,E30,89:89)-SUMIF(88:88,C30,89:89)+100</f>
        <v>100</v>
      </c>
      <c r="G30" s="612" t="s">
        <v>3159</v>
      </c>
      <c r="H30" s="393">
        <f>SUMIF(88:88,E30,89:89)-SUMIF(88:88,C30,89:89)+100</f>
        <v>100</v>
      </c>
      <c r="I30" s="612" t="s">
        <v>3159</v>
      </c>
      <c r="J30" s="393">
        <f>SUMIF(88:88,E30,89:89)-SUMIF(88:88,C30,89:89)+100</f>
        <v>100</v>
      </c>
      <c r="K30" s="568">
        <v>2</v>
      </c>
      <c r="L30" s="2917"/>
      <c r="M30" s="2911"/>
      <c r="N30" s="2911"/>
      <c r="O30" s="2911"/>
      <c r="P30" s="3628"/>
      <c r="Q30" s="1503" t="str">
        <f t="shared" si="11"/>
        <v>物业等级</v>
      </c>
      <c r="R30" s="712" t="s">
        <v>17</v>
      </c>
      <c r="S30" s="713">
        <f t="shared" si="12"/>
        <v>100</v>
      </c>
      <c r="T30" s="712" t="s">
        <v>17</v>
      </c>
      <c r="U30" s="713">
        <f t="shared" si="13"/>
        <v>100</v>
      </c>
      <c r="V30" s="712" t="s">
        <v>17</v>
      </c>
      <c r="W30" s="713">
        <f t="shared" si="14"/>
        <v>100</v>
      </c>
      <c r="X30" s="1506"/>
      <c r="Y30" s="3628"/>
      <c r="Z30" s="1507" t="str">
        <f t="shared" si="15"/>
        <v>物业等级</v>
      </c>
      <c r="AA30" s="1504">
        <f t="shared" si="3"/>
        <v>1</v>
      </c>
      <c r="AB30" s="1504">
        <f t="shared" si="4"/>
        <v>1</v>
      </c>
      <c r="AC30" s="1504">
        <f t="shared" si="5"/>
        <v>1</v>
      </c>
    </row>
    <row r="31" spans="1:29" s="113" customFormat="1" ht="12.75" customHeight="1">
      <c r="A31" s="613"/>
      <c r="B31" s="609" t="s">
        <v>2478</v>
      </c>
      <c r="C31" s="427" t="e">
        <f>#REF!</f>
        <v>#REF!</v>
      </c>
      <c r="D31" s="132">
        <v>100</v>
      </c>
      <c r="E31" s="427" t="e">
        <f>#REF!</f>
        <v>#REF!</v>
      </c>
      <c r="F31" s="419" t="e">
        <f>LOOKUP(E31,91:91,92:92)-LOOKUP(C31,91:91,92:92)+100</f>
        <v>#REF!</v>
      </c>
      <c r="G31" s="427" t="e">
        <f>#REF!</f>
        <v>#REF!</v>
      </c>
      <c r="H31" s="393" t="e">
        <f>LOOKUP(G31,91:91,92:92)-LOOKUP(C31,91:91,92:92)+100</f>
        <v>#REF!</v>
      </c>
      <c r="I31" s="427" t="e">
        <f>#REF!</f>
        <v>#REF!</v>
      </c>
      <c r="J31" s="393" t="e">
        <f>LOOKUP(I31,91:91,92:92)-LOOKUP(C31,91:91,92:92)+100</f>
        <v>#REF!</v>
      </c>
      <c r="K31" s="568"/>
      <c r="L31" s="2912"/>
      <c r="M31" s="2913"/>
      <c r="N31" s="2913"/>
      <c r="O31" s="2913"/>
      <c r="P31" s="3628"/>
      <c r="Q31" s="1494" t="str">
        <f t="shared" si="11"/>
        <v>停车位面积</v>
      </c>
      <c r="R31" s="708" t="s">
        <v>17</v>
      </c>
      <c r="S31" s="709" t="e">
        <f t="shared" si="12"/>
        <v>#REF!</v>
      </c>
      <c r="T31" s="708" t="s">
        <v>17</v>
      </c>
      <c r="U31" s="709" t="e">
        <f t="shared" si="13"/>
        <v>#REF!</v>
      </c>
      <c r="V31" s="708" t="s">
        <v>17</v>
      </c>
      <c r="W31" s="709" t="e">
        <f t="shared" si="14"/>
        <v>#REF!</v>
      </c>
      <c r="X31" s="710"/>
      <c r="Y31" s="3628"/>
      <c r="Z31" s="55" t="str">
        <f t="shared" si="15"/>
        <v>停车位面积</v>
      </c>
      <c r="AA31" s="711" t="e">
        <f t="shared" si="3"/>
        <v>#REF!</v>
      </c>
      <c r="AB31" s="711" t="e">
        <f t="shared" si="4"/>
        <v>#REF!</v>
      </c>
      <c r="AC31" s="711" t="e">
        <f t="shared" si="5"/>
        <v>#REF!</v>
      </c>
    </row>
    <row r="32" spans="1:29" ht="12.75" customHeight="1" thickBot="1">
      <c r="A32" s="611"/>
      <c r="B32" s="609" t="s">
        <v>2479</v>
      </c>
      <c r="C32" s="418" t="s">
        <v>3163</v>
      </c>
      <c r="D32" s="393">
        <v>100</v>
      </c>
      <c r="E32" s="418" t="s">
        <v>3163</v>
      </c>
      <c r="F32" s="419">
        <f>SUMIF(93:93,E32,94:94)-SUMIF(93:93,C32,94:94)+100</f>
        <v>100</v>
      </c>
      <c r="G32" s="418" t="s">
        <v>3163</v>
      </c>
      <c r="H32" s="393">
        <f>SUMIF(93:93,G32,94:94)-SUMIF(93:93,C32,94:94)+100</f>
        <v>100</v>
      </c>
      <c r="I32" s="418" t="s">
        <v>3163</v>
      </c>
      <c r="J32" s="393">
        <f>SUMIF(93:93,I32,94:94)-SUMIF(93:93,C32,94:94)+100</f>
        <v>100</v>
      </c>
      <c r="K32" s="568">
        <v>2</v>
      </c>
      <c r="L32" s="2917"/>
      <c r="M32" s="2911"/>
      <c r="N32" s="2911"/>
      <c r="O32" s="2911"/>
      <c r="P32" s="3628" t="s">
        <v>2326</v>
      </c>
      <c r="Q32" s="1503" t="str">
        <f t="shared" si="11"/>
        <v>车位类型</v>
      </c>
      <c r="R32" s="712" t="s">
        <v>17</v>
      </c>
      <c r="S32" s="713">
        <f t="shared" si="12"/>
        <v>100</v>
      </c>
      <c r="T32" s="712" t="s">
        <v>17</v>
      </c>
      <c r="U32" s="713">
        <f t="shared" si="13"/>
        <v>100</v>
      </c>
      <c r="V32" s="712" t="s">
        <v>17</v>
      </c>
      <c r="W32" s="713">
        <f t="shared" si="14"/>
        <v>100</v>
      </c>
      <c r="X32" s="1506"/>
      <c r="Y32" s="3628" t="s">
        <v>2326</v>
      </c>
      <c r="Z32" s="1507" t="str">
        <f t="shared" si="15"/>
        <v>车位类型</v>
      </c>
      <c r="AA32" s="1504">
        <f t="shared" si="3"/>
        <v>1</v>
      </c>
      <c r="AB32" s="1504">
        <f t="shared" si="4"/>
        <v>1</v>
      </c>
      <c r="AC32" s="1504">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7"/>
      <c r="M33" s="2911"/>
      <c r="N33" s="2911"/>
      <c r="O33" s="2911"/>
      <c r="P33" s="3628"/>
      <c r="Q33" s="1503" t="str">
        <f t="shared" si="11"/>
        <v>是否直接入户</v>
      </c>
      <c r="R33" s="712" t="s">
        <v>17</v>
      </c>
      <c r="S33" s="713">
        <f t="shared" si="12"/>
        <v>100</v>
      </c>
      <c r="T33" s="712" t="s">
        <v>17</v>
      </c>
      <c r="U33" s="713">
        <f t="shared" si="13"/>
        <v>100</v>
      </c>
      <c r="V33" s="712" t="s">
        <v>17</v>
      </c>
      <c r="W33" s="713">
        <f t="shared" si="14"/>
        <v>100</v>
      </c>
      <c r="X33" s="1506"/>
      <c r="Y33" s="3628"/>
      <c r="Z33" s="1507" t="str">
        <f t="shared" si="15"/>
        <v>是否直接入户</v>
      </c>
      <c r="AA33" s="1504">
        <f t="shared" si="3"/>
        <v>1</v>
      </c>
      <c r="AB33" s="1504">
        <f t="shared" si="4"/>
        <v>1</v>
      </c>
      <c r="AC33" s="1504">
        <f t="shared" si="5"/>
        <v>1</v>
      </c>
    </row>
    <row r="34" spans="1:29" ht="15" hidden="1">
      <c r="A34" s="611"/>
      <c r="B34" s="3220" t="s">
        <v>3166</v>
      </c>
      <c r="C34" s="3221"/>
      <c r="D34" s="393">
        <v>100</v>
      </c>
      <c r="E34" s="390"/>
      <c r="F34" s="419">
        <f>SUMIF(97:97,E34,98:98)-SUMIF(97:97,C34,98:98)+100</f>
        <v>100</v>
      </c>
      <c r="G34" s="3221"/>
      <c r="H34" s="393">
        <f>SUMIF(97:97,G34,98:98)-SUMIF(97:97,C34,98:98)+100</f>
        <v>100</v>
      </c>
      <c r="I34" s="3221"/>
      <c r="J34" s="393">
        <f>SUMIF(97:97,I34,98:98)-SUMIF(97:97,C34,98:98)+100</f>
        <v>100</v>
      </c>
      <c r="K34" s="569"/>
      <c r="L34" s="2917"/>
      <c r="M34" s="2911"/>
      <c r="N34" s="2911"/>
      <c r="O34" s="2911"/>
      <c r="P34" s="3628"/>
      <c r="Q34" s="1503" t="str">
        <f t="shared" si="11"/>
        <v>建筑类型</v>
      </c>
      <c r="R34" s="712" t="s">
        <v>17</v>
      </c>
      <c r="S34" s="713">
        <f t="shared" si="12"/>
        <v>100</v>
      </c>
      <c r="T34" s="712" t="s">
        <v>17</v>
      </c>
      <c r="U34" s="713">
        <f t="shared" si="13"/>
        <v>100</v>
      </c>
      <c r="V34" s="712" t="s">
        <v>17</v>
      </c>
      <c r="W34" s="713">
        <f t="shared" si="14"/>
        <v>100</v>
      </c>
      <c r="X34" s="1506"/>
      <c r="Y34" s="3628"/>
      <c r="Z34" s="1507" t="str">
        <f t="shared" si="15"/>
        <v>建筑类型</v>
      </c>
      <c r="AA34" s="1504">
        <f t="shared" si="3"/>
        <v>1</v>
      </c>
      <c r="AB34" s="1504">
        <f t="shared" si="4"/>
        <v>1</v>
      </c>
      <c r="AC34" s="1504">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6"/>
      <c r="M35" s="2918"/>
      <c r="N35" s="2918"/>
      <c r="O35" s="2918"/>
      <c r="P35" s="3628"/>
      <c r="Q35" s="714">
        <f t="shared" si="11"/>
        <v>111</v>
      </c>
      <c r="R35" s="715" t="s">
        <v>17</v>
      </c>
      <c r="S35" s="716">
        <f t="shared" si="12"/>
        <v>100</v>
      </c>
      <c r="T35" s="715" t="s">
        <v>17</v>
      </c>
      <c r="U35" s="716">
        <f t="shared" si="13"/>
        <v>100</v>
      </c>
      <c r="V35" s="715" t="s">
        <v>17</v>
      </c>
      <c r="W35" s="716">
        <f t="shared" si="14"/>
        <v>100</v>
      </c>
      <c r="X35" s="717"/>
      <c r="Y35" s="3628"/>
      <c r="Z35" s="718">
        <f t="shared" si="15"/>
        <v>111</v>
      </c>
      <c r="AA35" s="1504">
        <f t="shared" si="3"/>
        <v>1</v>
      </c>
      <c r="AB35" s="1504">
        <f t="shared" si="4"/>
        <v>1</v>
      </c>
      <c r="AC35" s="1504">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7"/>
      <c r="M36" s="2911"/>
      <c r="N36" s="2911"/>
      <c r="O36" s="2911"/>
      <c r="P36" s="3628"/>
      <c r="Q36" s="1503">
        <f t="shared" si="11"/>
        <v>111</v>
      </c>
      <c r="R36" s="712" t="s">
        <v>17</v>
      </c>
      <c r="S36" s="713">
        <f t="shared" si="12"/>
        <v>100</v>
      </c>
      <c r="T36" s="712" t="s">
        <v>17</v>
      </c>
      <c r="U36" s="713">
        <f t="shared" si="13"/>
        <v>100</v>
      </c>
      <c r="V36" s="712" t="s">
        <v>17</v>
      </c>
      <c r="W36" s="713">
        <f t="shared" si="14"/>
        <v>100</v>
      </c>
      <c r="X36" s="1506"/>
      <c r="Y36" s="3628"/>
      <c r="Z36" s="1507">
        <f t="shared" si="15"/>
        <v>111</v>
      </c>
      <c r="AA36" s="1504">
        <f t="shared" si="3"/>
        <v>1</v>
      </c>
      <c r="AB36" s="1504">
        <f t="shared" si="4"/>
        <v>1</v>
      </c>
      <c r="AC36" s="1504">
        <f t="shared" si="5"/>
        <v>1</v>
      </c>
    </row>
    <row r="37" spans="1:29" ht="15">
      <c r="A37" s="437" t="s">
        <v>2481</v>
      </c>
      <c r="B37" s="2125" t="s">
        <v>3171</v>
      </c>
      <c r="C37" s="1285" t="s">
        <v>1</v>
      </c>
      <c r="D37" s="1286"/>
      <c r="E37" s="1287">
        <v>7796</v>
      </c>
      <c r="F37" s="1288"/>
      <c r="G37" s="1289">
        <v>8722</v>
      </c>
      <c r="H37" s="1290"/>
      <c r="I37" s="1287">
        <v>6771</v>
      </c>
      <c r="J37" s="1290"/>
      <c r="K37" s="575"/>
      <c r="L37" s="2919"/>
      <c r="M37" s="2920"/>
      <c r="N37" s="2911"/>
      <c r="O37" s="2920"/>
      <c r="P37" s="3616" t="str">
        <f>A37</f>
        <v>成交单价</v>
      </c>
      <c r="Q37" s="3616"/>
      <c r="R37" s="3617">
        <f>E37</f>
        <v>7796</v>
      </c>
      <c r="S37" s="3617"/>
      <c r="T37" s="3617">
        <f>G37</f>
        <v>8722</v>
      </c>
      <c r="U37" s="3617"/>
      <c r="V37" s="3617">
        <f>I37</f>
        <v>6771</v>
      </c>
      <c r="W37" s="3617"/>
      <c r="X37" s="697"/>
      <c r="Y37" s="719"/>
      <c r="Z37" s="697"/>
      <c r="AA37" s="697"/>
      <c r="AB37" s="697"/>
      <c r="AC37" s="697"/>
    </row>
    <row r="38" spans="1:29" ht="15.75" thickBot="1">
      <c r="A38" s="444" t="s">
        <v>2482</v>
      </c>
      <c r="B38" s="445" t="str">
        <f>B37</f>
        <v>元/平方米</v>
      </c>
      <c r="C38" s="1291" t="e">
        <f>R39</f>
        <v>#DIV/0!</v>
      </c>
      <c r="D38" s="2504" t="s">
        <v>2816</v>
      </c>
      <c r="E38" s="1292" t="e">
        <f>R38</f>
        <v>#DIV/0!</v>
      </c>
      <c r="F38" s="2505"/>
      <c r="G38" s="1291" t="e">
        <f>T38</f>
        <v>#DIV/0!</v>
      </c>
      <c r="H38" s="2505"/>
      <c r="I38" s="1292" t="e">
        <f>V38</f>
        <v>#DIV/0!</v>
      </c>
      <c r="J38" s="2505"/>
      <c r="K38" s="2507">
        <f>F38+H38+J38</f>
        <v>0</v>
      </c>
      <c r="L38" s="2919"/>
      <c r="M38" s="2920"/>
      <c r="N38" s="2920"/>
      <c r="O38" s="2920"/>
      <c r="P38" s="3616" t="str">
        <f>A38</f>
        <v>比较价值（元/平方米）</v>
      </c>
      <c r="Q38" s="3616"/>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697"/>
      <c r="Y38" s="697"/>
      <c r="Z38" s="697"/>
      <c r="AA38" s="697"/>
      <c r="AB38" s="697"/>
      <c r="AC38" s="697"/>
    </row>
    <row r="39" spans="1:29" ht="15.75" thickBot="1">
      <c r="A39" s="448" t="s">
        <v>2483</v>
      </c>
      <c r="B39" s="449"/>
      <c r="C39" s="1294" t="e">
        <f>R39</f>
        <v>#DIV/0!</v>
      </c>
      <c r="D39" s="1294"/>
      <c r="E39" s="1294"/>
      <c r="F39" s="1294"/>
      <c r="G39" s="1294"/>
      <c r="H39" s="1294"/>
      <c r="I39" s="1294"/>
      <c r="J39" s="1294"/>
      <c r="K39" s="576"/>
      <c r="L39" s="2919"/>
      <c r="M39" s="2920"/>
      <c r="N39" s="2920"/>
      <c r="O39" s="2920"/>
      <c r="P39" s="3618" t="str">
        <f>A39</f>
        <v>估价对象XX用房的比较价值（楼面单价，元/平方米）</v>
      </c>
      <c r="Q39" s="3619"/>
      <c r="R39" s="3742" t="e">
        <f>IF(F1="售价",ROUND(IF(D38="简单平均",AVERAGE(R38:W38),R38*F38+T38*H38+V38*J38),0),ROUND(IF(D38="简单平均",AVERAGE(R38:V38),R38*F38+T38*H38+V38*J38),1))</f>
        <v>#DIV/0!</v>
      </c>
      <c r="S39" s="3742"/>
      <c r="T39" s="3742"/>
      <c r="U39" s="3742"/>
      <c r="V39" s="3742"/>
      <c r="W39" s="3742"/>
      <c r="X39" s="697"/>
      <c r="Y39" s="697"/>
      <c r="Z39" s="697"/>
      <c r="AA39" s="697"/>
      <c r="AB39" s="697"/>
      <c r="AC39" s="697"/>
    </row>
    <row r="40" spans="1:29">
      <c r="A40" s="2920"/>
      <c r="B40" s="2920"/>
      <c r="C40" s="2920" t="e">
        <f>C39*43</f>
        <v>#DIV/0!</v>
      </c>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8" customFormat="1" ht="13.5" customHeight="1">
      <c r="A44" s="2923"/>
      <c r="B44" s="2923"/>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28"/>
      <c r="L44" s="2922"/>
      <c r="M44" s="2923"/>
      <c r="N44" s="2923"/>
      <c r="O44" s="2923"/>
      <c r="P44" s="2952"/>
      <c r="Q44" s="2923"/>
      <c r="R44" s="2923"/>
      <c r="S44" s="2923"/>
      <c r="T44" s="2923"/>
      <c r="U44" s="2923"/>
      <c r="V44" s="2923"/>
      <c r="W44" s="2923"/>
      <c r="X44" s="2923"/>
      <c r="Y44" s="2923"/>
      <c r="Z44" s="2923"/>
      <c r="AA44" s="2923"/>
      <c r="AB44" s="2923"/>
      <c r="AC44" s="2923"/>
    </row>
    <row r="45" spans="1:29" s="458"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2487</v>
      </c>
      <c r="B47" s="1056"/>
      <c r="C47" s="1069"/>
      <c r="D47" s="1069"/>
      <c r="E47" s="1069"/>
      <c r="F47" s="1298"/>
      <c r="G47" s="1298"/>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4" customFormat="1" ht="15">
      <c r="A48" s="461" t="s">
        <v>2488</v>
      </c>
      <c r="B48" s="462"/>
      <c r="C48" s="1315" t="str">
        <f>YEAR(C7)&amp;"-"&amp;MONTH(C7)</f>
        <v>2022-7</v>
      </c>
      <c r="D48" s="1316">
        <f>EDATE(C48,-1)</f>
        <v>44713</v>
      </c>
      <c r="E48" s="1316">
        <f t="shared" ref="E48:O48" si="16">EDATE(D48,-1)</f>
        <v>44682</v>
      </c>
      <c r="F48" s="1316">
        <f t="shared" si="16"/>
        <v>44652</v>
      </c>
      <c r="G48" s="1316">
        <f t="shared" si="16"/>
        <v>44621</v>
      </c>
      <c r="H48" s="1316">
        <f t="shared" si="16"/>
        <v>44593</v>
      </c>
      <c r="I48" s="1316">
        <f t="shared" si="16"/>
        <v>44562</v>
      </c>
      <c r="J48" s="1316">
        <f t="shared" si="16"/>
        <v>44531</v>
      </c>
      <c r="K48" s="1316">
        <f t="shared" si="16"/>
        <v>44501</v>
      </c>
      <c r="L48" s="1316">
        <f t="shared" si="16"/>
        <v>44470</v>
      </c>
      <c r="M48" s="1316">
        <f t="shared" si="16"/>
        <v>44440</v>
      </c>
      <c r="N48" s="1316">
        <f t="shared" si="16"/>
        <v>44409</v>
      </c>
      <c r="O48" s="1316">
        <f t="shared" si="16"/>
        <v>44378</v>
      </c>
      <c r="P48" s="2954"/>
      <c r="Q48" s="2936"/>
      <c r="R48" s="2936"/>
      <c r="S48" s="2936"/>
      <c r="T48" s="2936"/>
      <c r="U48" s="2936"/>
      <c r="V48" s="2936"/>
      <c r="W48" s="2936"/>
      <c r="X48" s="2936"/>
      <c r="Y48" s="2936"/>
      <c r="Z48" s="2936"/>
      <c r="AA48" s="2936"/>
      <c r="AB48" s="2936"/>
      <c r="AC48" s="2936"/>
    </row>
    <row r="49" spans="1:29" s="113" customFormat="1" ht="15">
      <c r="A49" s="465"/>
      <c r="B49" s="466"/>
      <c r="C49" s="1308">
        <v>100</v>
      </c>
      <c r="D49" s="468"/>
      <c r="E49" s="468"/>
      <c r="F49" s="468"/>
      <c r="G49" s="468"/>
      <c r="H49" s="468"/>
      <c r="I49" s="468"/>
      <c r="J49" s="468"/>
      <c r="K49" s="468"/>
      <c r="L49" s="468"/>
      <c r="M49" s="469"/>
      <c r="N49" s="468"/>
      <c r="O49" s="469"/>
      <c r="P49" s="2955"/>
      <c r="Q49" s="2854"/>
      <c r="R49" s="2854"/>
      <c r="S49" s="2854"/>
      <c r="T49" s="2854"/>
      <c r="U49" s="2854"/>
      <c r="V49" s="2854"/>
      <c r="W49" s="2854"/>
      <c r="X49" s="2854"/>
      <c r="Y49" s="2854"/>
      <c r="Z49" s="2854"/>
      <c r="AA49" s="2854"/>
      <c r="AB49" s="2854"/>
      <c r="AC49" s="2854"/>
    </row>
    <row r="50" spans="1:29" s="113" customFormat="1" ht="15.75" thickBot="1">
      <c r="A50" s="471" t="s">
        <v>2346</v>
      </c>
      <c r="B50" s="472"/>
      <c r="C50" s="473"/>
      <c r="D50" s="474"/>
      <c r="E50" s="474"/>
      <c r="F50" s="474"/>
      <c r="G50" s="474"/>
      <c r="H50" s="474"/>
      <c r="I50" s="474"/>
      <c r="J50" s="474"/>
      <c r="K50" s="474"/>
      <c r="L50" s="474"/>
      <c r="M50" s="475"/>
      <c r="N50" s="474"/>
      <c r="O50" s="475"/>
      <c r="P50" s="2955"/>
      <c r="Q50" s="2934"/>
      <c r="R50" s="2854"/>
      <c r="S50" s="2854"/>
      <c r="T50" s="2854"/>
      <c r="U50" s="2854"/>
      <c r="V50" s="2854"/>
      <c r="W50" s="2854"/>
      <c r="X50" s="2854"/>
      <c r="Y50" s="2854"/>
      <c r="Z50" s="2854"/>
      <c r="AA50" s="2854"/>
      <c r="AB50" s="2854"/>
      <c r="AC50" s="2854"/>
    </row>
    <row r="51" spans="1:29" s="113" customFormat="1" ht="15">
      <c r="A51" s="477" t="s">
        <v>2311</v>
      </c>
      <c r="B51" s="466"/>
      <c r="C51" s="478" t="s">
        <v>2413</v>
      </c>
      <c r="D51" s="479"/>
      <c r="E51" s="479"/>
      <c r="F51" s="479"/>
      <c r="G51" s="479"/>
      <c r="H51" s="479"/>
      <c r="I51" s="479"/>
      <c r="J51" s="479"/>
      <c r="K51" s="479"/>
      <c r="L51" s="480"/>
      <c r="M51" s="481"/>
      <c r="N51" s="2947"/>
      <c r="O51" s="2947"/>
      <c r="P51" s="2956"/>
      <c r="Q51" s="2934"/>
      <c r="R51" s="2854"/>
      <c r="S51" s="2854"/>
      <c r="T51" s="2854"/>
      <c r="U51" s="2854"/>
      <c r="V51" s="2854"/>
      <c r="W51" s="2854"/>
      <c r="X51" s="2854"/>
      <c r="Y51" s="2854"/>
      <c r="Z51" s="2854"/>
      <c r="AA51" s="2854"/>
      <c r="AB51" s="2854"/>
      <c r="AC51" s="2854"/>
    </row>
    <row r="52" spans="1:29" s="113" customFormat="1" ht="15.75" thickBot="1">
      <c r="A52" s="477"/>
      <c r="B52" s="466"/>
      <c r="C52" s="594">
        <v>100</v>
      </c>
      <c r="D52" s="468"/>
      <c r="E52" s="468"/>
      <c r="F52" s="468"/>
      <c r="G52" s="468"/>
      <c r="H52" s="468"/>
      <c r="I52" s="468"/>
      <c r="J52" s="468"/>
      <c r="K52" s="468"/>
      <c r="L52" s="468"/>
      <c r="M52" s="470"/>
      <c r="N52" s="2947"/>
      <c r="O52" s="2947"/>
      <c r="P52" s="2955"/>
      <c r="Q52" s="2934"/>
      <c r="R52" s="2854"/>
      <c r="S52" s="2854"/>
      <c r="T52" s="2854"/>
      <c r="U52" s="2854"/>
      <c r="V52" s="2854"/>
      <c r="W52" s="2854"/>
      <c r="X52" s="2854"/>
      <c r="Y52" s="2854"/>
      <c r="Z52" s="2854"/>
      <c r="AA52" s="2854"/>
      <c r="AB52" s="2854"/>
      <c r="AC52" s="2854"/>
    </row>
    <row r="53" spans="1:29">
      <c r="A53" s="483" t="s">
        <v>2349</v>
      </c>
      <c r="B53" s="484" t="s">
        <v>2315</v>
      </c>
      <c r="C53" s="485" t="str">
        <f>C9</f>
        <v>车位</v>
      </c>
      <c r="D53" s="486"/>
      <c r="E53" s="486"/>
      <c r="F53" s="486"/>
      <c r="G53" s="486"/>
      <c r="H53" s="486"/>
      <c r="I53" s="486"/>
      <c r="J53" s="486"/>
      <c r="K53" s="487"/>
      <c r="L53" s="488"/>
      <c r="M53" s="489"/>
      <c r="N53" s="2948"/>
      <c r="O53" s="2948"/>
      <c r="P53" s="2957"/>
      <c r="Q53" s="2934"/>
      <c r="R53" s="2920"/>
      <c r="S53" s="2920"/>
      <c r="T53" s="2920"/>
      <c r="U53" s="2920"/>
      <c r="V53" s="2920"/>
      <c r="W53" s="2920"/>
      <c r="X53" s="2920"/>
      <c r="Y53" s="2920"/>
      <c r="Z53" s="2920"/>
      <c r="AA53" s="2920"/>
      <c r="AB53" s="2920"/>
      <c r="AC53" s="2920"/>
    </row>
    <row r="54" spans="1:29" ht="15.75" thickBot="1">
      <c r="A54" s="490"/>
      <c r="B54" s="491"/>
      <c r="C54" s="492">
        <v>100</v>
      </c>
      <c r="D54" s="492"/>
      <c r="E54" s="492"/>
      <c r="F54" s="492"/>
      <c r="G54" s="492"/>
      <c r="H54" s="492"/>
      <c r="I54" s="492"/>
      <c r="J54" s="492"/>
      <c r="K54" s="492"/>
      <c r="L54" s="492"/>
      <c r="M54" s="493"/>
      <c r="N54" s="2949"/>
      <c r="O54" s="2949"/>
      <c r="P54" s="2957"/>
      <c r="Q54" s="2934"/>
      <c r="R54" s="2920"/>
      <c r="S54" s="2920"/>
      <c r="T54" s="2920"/>
      <c r="U54" s="2920"/>
      <c r="V54" s="2920"/>
      <c r="W54" s="2920"/>
      <c r="X54" s="2920"/>
      <c r="Y54" s="2920"/>
      <c r="Z54" s="2920"/>
      <c r="AA54" s="2920"/>
      <c r="AB54" s="2920"/>
      <c r="AC54" s="2920"/>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8"/>
      <c r="O55" s="2948"/>
      <c r="P55" s="2957"/>
      <c r="Q55" s="2934"/>
      <c r="R55" s="2920"/>
      <c r="S55" s="2920"/>
      <c r="T55" s="2920"/>
      <c r="U55" s="2920"/>
      <c r="V55" s="2920"/>
      <c r="W55" s="2920"/>
      <c r="X55" s="2920"/>
      <c r="Y55" s="2920"/>
      <c r="Z55" s="2920"/>
      <c r="AA55" s="2920"/>
      <c r="AB55" s="2920"/>
      <c r="AC55" s="2920"/>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49"/>
      <c r="O56" s="2949"/>
      <c r="P56" s="2957"/>
      <c r="Q56" s="2934"/>
      <c r="R56" s="2920"/>
      <c r="S56" s="2920"/>
      <c r="T56" s="2920"/>
      <c r="U56" s="2920"/>
      <c r="V56" s="2920"/>
      <c r="W56" s="2920"/>
      <c r="X56" s="2920"/>
      <c r="Y56" s="2920"/>
      <c r="Z56" s="2920"/>
      <c r="AA56" s="2920"/>
      <c r="AB56" s="2920"/>
      <c r="AC56" s="2920"/>
    </row>
    <row r="57" spans="1:29" ht="15.75" thickTop="1">
      <c r="A57" s="490"/>
      <c r="B57" s="615" t="str">
        <f>B11</f>
        <v>容积率</v>
      </c>
      <c r="C57" s="505"/>
      <c r="D57" s="505"/>
      <c r="E57" s="505"/>
      <c r="F57" s="505"/>
      <c r="G57" s="505"/>
      <c r="H57" s="505"/>
      <c r="I57" s="505"/>
      <c r="J57" s="505"/>
      <c r="K57" s="506"/>
      <c r="L57" s="507"/>
      <c r="M57" s="508"/>
      <c r="N57" s="2948"/>
      <c r="O57" s="2948"/>
      <c r="P57" s="2957"/>
      <c r="Q57" s="2934"/>
      <c r="R57" s="2920"/>
      <c r="S57" s="2920"/>
      <c r="T57" s="2920"/>
      <c r="U57" s="2920"/>
      <c r="V57" s="2920"/>
      <c r="W57" s="2920"/>
      <c r="X57" s="2920"/>
      <c r="Y57" s="2920"/>
      <c r="Z57" s="2920"/>
      <c r="AA57" s="2920"/>
      <c r="AB57" s="2920"/>
      <c r="AC57" s="2920"/>
    </row>
    <row r="58" spans="1:29" ht="15.75" thickBot="1">
      <c r="A58" s="490"/>
      <c r="B58" s="491"/>
      <c r="C58" s="516"/>
      <c r="D58" s="492"/>
      <c r="E58" s="492"/>
      <c r="F58" s="492"/>
      <c r="G58" s="492"/>
      <c r="H58" s="492"/>
      <c r="I58" s="492"/>
      <c r="J58" s="492"/>
      <c r="K58" s="492"/>
      <c r="L58" s="492"/>
      <c r="M58" s="493"/>
      <c r="N58" s="2949"/>
      <c r="O58" s="2949"/>
      <c r="P58" s="2957"/>
      <c r="Q58" s="2934"/>
      <c r="R58" s="2920"/>
      <c r="S58" s="2920"/>
      <c r="T58" s="2920"/>
      <c r="U58" s="2920"/>
      <c r="V58" s="2920"/>
      <c r="W58" s="2920"/>
      <c r="X58" s="2920"/>
      <c r="Y58" s="2920"/>
      <c r="Z58" s="2920"/>
      <c r="AA58" s="2920"/>
      <c r="AB58" s="2920"/>
      <c r="AC58" s="2920"/>
    </row>
    <row r="59" spans="1:29" s="429" customFormat="1" ht="15.75" thickTop="1">
      <c r="A59" s="509"/>
      <c r="B59" s="494">
        <f>B12</f>
        <v>111</v>
      </c>
      <c r="C59" s="505"/>
      <c r="D59" s="505"/>
      <c r="E59" s="505"/>
      <c r="F59" s="505"/>
      <c r="G59" s="510"/>
      <c r="H59" s="511"/>
      <c r="I59" s="511"/>
      <c r="J59" s="511"/>
      <c r="K59" s="511"/>
      <c r="L59" s="512"/>
      <c r="M59" s="513"/>
      <c r="N59" s="2950"/>
      <c r="O59" s="2950"/>
      <c r="P59" s="2958"/>
      <c r="Q59" s="2941"/>
      <c r="R59" s="2942"/>
      <c r="S59" s="2942"/>
      <c r="T59" s="2942"/>
      <c r="U59" s="2942"/>
      <c r="V59" s="2942"/>
      <c r="W59" s="2942"/>
      <c r="X59" s="2942"/>
      <c r="Y59" s="2942"/>
      <c r="Z59" s="2942"/>
      <c r="AA59" s="2942"/>
      <c r="AB59" s="2942"/>
      <c r="AC59" s="2942"/>
    </row>
    <row r="60" spans="1:29" s="429" customFormat="1" ht="15.75" thickBot="1">
      <c r="A60" s="509"/>
      <c r="B60" s="499"/>
      <c r="C60" s="516"/>
      <c r="D60" s="492"/>
      <c r="E60" s="492"/>
      <c r="F60" s="492"/>
      <c r="G60" s="492"/>
      <c r="H60" s="492"/>
      <c r="I60" s="492"/>
      <c r="J60" s="492"/>
      <c r="K60" s="492"/>
      <c r="L60" s="492"/>
      <c r="M60" s="493"/>
      <c r="N60" s="2949"/>
      <c r="O60" s="2949"/>
      <c r="P60" s="2958"/>
      <c r="Q60" s="2941"/>
      <c r="R60" s="2942"/>
      <c r="S60" s="2942"/>
      <c r="T60" s="2942"/>
      <c r="U60" s="2942"/>
      <c r="V60" s="2942"/>
      <c r="W60" s="2942"/>
      <c r="X60" s="2942"/>
      <c r="Y60" s="2942"/>
      <c r="Z60" s="2942"/>
      <c r="AA60" s="2942"/>
      <c r="AB60" s="2942"/>
      <c r="AC60" s="2942"/>
    </row>
    <row r="61" spans="1:29" s="429" customFormat="1" ht="15.75" thickTop="1">
      <c r="A61" s="509"/>
      <c r="B61" s="494">
        <f>B13</f>
        <v>111</v>
      </c>
      <c r="C61" s="510"/>
      <c r="D61" s="510"/>
      <c r="E61" s="510"/>
      <c r="F61" s="510"/>
      <c r="G61" s="510"/>
      <c r="H61" s="511"/>
      <c r="I61" s="511"/>
      <c r="J61" s="511"/>
      <c r="K61" s="511"/>
      <c r="L61" s="512"/>
      <c r="M61" s="513"/>
      <c r="N61" s="2950"/>
      <c r="O61" s="2950"/>
      <c r="P61" s="2959"/>
      <c r="Q61" s="2944"/>
      <c r="R61" s="2942"/>
      <c r="S61" s="2942"/>
      <c r="T61" s="2942"/>
      <c r="U61" s="2942"/>
      <c r="V61" s="2942"/>
      <c r="W61" s="2942"/>
      <c r="X61" s="2942"/>
      <c r="Y61" s="2942"/>
      <c r="Z61" s="2942"/>
      <c r="AA61" s="2942"/>
      <c r="AB61" s="2942"/>
      <c r="AC61" s="2942"/>
    </row>
    <row r="62" spans="1:29" s="429" customFormat="1" ht="15.75" thickBot="1">
      <c r="A62" s="509"/>
      <c r="B62" s="499"/>
      <c r="C62" s="516"/>
      <c r="D62" s="516"/>
      <c r="E62" s="516"/>
      <c r="F62" s="516"/>
      <c r="G62" s="516"/>
      <c r="H62" s="518"/>
      <c r="I62" s="518"/>
      <c r="J62" s="518"/>
      <c r="K62" s="518"/>
      <c r="L62" s="518"/>
      <c r="M62" s="519"/>
      <c r="N62" s="2950"/>
      <c r="O62" s="2950"/>
      <c r="P62" s="2958"/>
      <c r="Q62" s="2941"/>
      <c r="R62" s="2942"/>
      <c r="S62" s="2942"/>
      <c r="T62" s="2942"/>
      <c r="U62" s="2942"/>
      <c r="V62" s="2942"/>
      <c r="W62" s="2942"/>
      <c r="X62" s="2942"/>
      <c r="Y62" s="2942"/>
      <c r="Z62" s="2942"/>
      <c r="AA62" s="2942"/>
      <c r="AB62" s="2942"/>
      <c r="AC62" s="2942"/>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8"/>
      <c r="O63" s="2948"/>
      <c r="P63" s="2961"/>
      <c r="Q63" s="2934"/>
      <c r="R63" s="2920"/>
      <c r="S63" s="2920"/>
      <c r="T63" s="2920"/>
      <c r="U63" s="2920"/>
      <c r="V63" s="2920"/>
      <c r="W63" s="2920"/>
      <c r="X63" s="2920"/>
      <c r="Y63" s="2920"/>
      <c r="Z63" s="2920"/>
      <c r="AA63" s="2920"/>
      <c r="AB63" s="2920"/>
      <c r="AC63" s="2920"/>
    </row>
    <row r="64" spans="1:29" ht="15.75" thickBot="1">
      <c r="A64" s="490"/>
      <c r="B64" s="499"/>
      <c r="C64" s="500">
        <v>100</v>
      </c>
      <c r="D64" s="500">
        <f>C64-$K14</f>
        <v>98</v>
      </c>
      <c r="E64" s="500">
        <f>D64-$K14</f>
        <v>96</v>
      </c>
      <c r="F64" s="500">
        <f>E64-$K14</f>
        <v>94</v>
      </c>
      <c r="G64" s="500">
        <f>F64-$K14</f>
        <v>92</v>
      </c>
      <c r="H64" s="500"/>
      <c r="I64" s="500"/>
      <c r="J64" s="500"/>
      <c r="K64" s="500"/>
      <c r="L64" s="500"/>
      <c r="M64" s="501"/>
      <c r="N64" s="2949"/>
      <c r="O64" s="2949"/>
      <c r="P64" s="2957"/>
      <c r="Q64" s="2934"/>
      <c r="R64" s="2920"/>
      <c r="S64" s="2920"/>
      <c r="T64" s="2920"/>
      <c r="U64" s="2920"/>
      <c r="V64" s="2920"/>
      <c r="W64" s="2920"/>
      <c r="X64" s="2920"/>
      <c r="Y64" s="2920"/>
      <c r="Z64" s="2920"/>
      <c r="AA64" s="2920"/>
      <c r="AB64" s="2920"/>
      <c r="AC64" s="2920"/>
    </row>
    <row r="65" spans="1:29" ht="15.75" thickTop="1">
      <c r="A65" s="490"/>
      <c r="B65" s="494" t="s">
        <v>2364</v>
      </c>
      <c r="C65" s="534" t="s">
        <v>2358</v>
      </c>
      <c r="D65" s="534" t="s">
        <v>2359</v>
      </c>
      <c r="E65" s="534" t="s">
        <v>2360</v>
      </c>
      <c r="F65" s="534" t="s">
        <v>2361</v>
      </c>
      <c r="G65" s="534" t="s">
        <v>2362</v>
      </c>
      <c r="H65" s="495"/>
      <c r="I65" s="495"/>
      <c r="J65" s="495"/>
      <c r="K65" s="496"/>
      <c r="L65" s="497"/>
      <c r="M65" s="498"/>
      <c r="N65" s="2948"/>
      <c r="O65" s="2948"/>
      <c r="P65" s="2957"/>
      <c r="Q65" s="2934"/>
      <c r="R65" s="2920"/>
      <c r="S65" s="2920"/>
      <c r="T65" s="2920"/>
      <c r="U65" s="2920"/>
      <c r="V65" s="2920"/>
      <c r="W65" s="2920"/>
      <c r="X65" s="2920"/>
      <c r="Y65" s="2920"/>
      <c r="Z65" s="2920"/>
      <c r="AA65" s="2920"/>
      <c r="AB65" s="2920"/>
      <c r="AC65" s="2920"/>
    </row>
    <row r="66" spans="1:29" ht="15.75" thickBot="1">
      <c r="A66" s="490"/>
      <c r="B66" s="499"/>
      <c r="C66" s="500">
        <v>100</v>
      </c>
      <c r="D66" s="500">
        <f>C66-$K16</f>
        <v>98</v>
      </c>
      <c r="E66" s="500">
        <f>D66-$K16</f>
        <v>96</v>
      </c>
      <c r="F66" s="500">
        <f>E66-$K16</f>
        <v>94</v>
      </c>
      <c r="G66" s="500">
        <f>F66-$K16</f>
        <v>92</v>
      </c>
      <c r="H66" s="500"/>
      <c r="I66" s="500"/>
      <c r="J66" s="500"/>
      <c r="K66" s="500"/>
      <c r="L66" s="500"/>
      <c r="M66" s="501"/>
      <c r="N66" s="2949"/>
      <c r="O66" s="2949"/>
      <c r="P66" s="2957"/>
      <c r="Q66" s="2934"/>
      <c r="R66" s="2920"/>
      <c r="S66" s="2920"/>
      <c r="T66" s="2920"/>
      <c r="U66" s="2920"/>
      <c r="V66" s="2920"/>
      <c r="W66" s="2920"/>
      <c r="X66" s="2920"/>
      <c r="Y66" s="2920"/>
      <c r="Z66" s="2920"/>
      <c r="AA66" s="2920"/>
      <c r="AB66" s="2920"/>
      <c r="AC66" s="2920"/>
    </row>
    <row r="67" spans="1:29" ht="15.75" thickTop="1">
      <c r="A67" s="490"/>
      <c r="B67" s="502" t="s">
        <v>2450</v>
      </c>
      <c r="C67" s="615" t="s">
        <v>2436</v>
      </c>
      <c r="D67" s="615" t="s">
        <v>2437</v>
      </c>
      <c r="E67" s="615" t="s">
        <v>2438</v>
      </c>
      <c r="F67" s="615" t="s">
        <v>2439</v>
      </c>
      <c r="G67" s="615" t="s">
        <v>2440</v>
      </c>
      <c r="H67" s="495"/>
      <c r="I67" s="495"/>
      <c r="J67" s="495"/>
      <c r="K67" s="495"/>
      <c r="L67" s="495"/>
      <c r="M67" s="1260"/>
      <c r="N67" s="2949"/>
      <c r="O67" s="2949"/>
      <c r="P67" s="2957"/>
      <c r="Q67" s="2934"/>
      <c r="R67" s="2920"/>
      <c r="S67" s="2920"/>
      <c r="T67" s="2920"/>
      <c r="U67" s="2920"/>
      <c r="V67" s="2920"/>
      <c r="W67" s="2920"/>
      <c r="X67" s="2920"/>
      <c r="Y67" s="2920"/>
      <c r="Z67" s="2920"/>
      <c r="AA67" s="2920"/>
      <c r="AB67" s="2920"/>
      <c r="AC67" s="2920"/>
    </row>
    <row r="68" spans="1:29" ht="15.75" thickBot="1">
      <c r="A68" s="490"/>
      <c r="B68" s="502"/>
      <c r="C68" s="500">
        <v>100</v>
      </c>
      <c r="D68" s="500">
        <f>C68-$K18</f>
        <v>98</v>
      </c>
      <c r="E68" s="500">
        <f>D68-$K18</f>
        <v>96</v>
      </c>
      <c r="F68" s="500">
        <f>E68-$K18</f>
        <v>94</v>
      </c>
      <c r="G68" s="500">
        <f>F68-$K18</f>
        <v>92</v>
      </c>
      <c r="H68" s="615"/>
      <c r="I68" s="615"/>
      <c r="J68" s="615"/>
      <c r="K68" s="615"/>
      <c r="L68" s="615"/>
      <c r="M68" s="408"/>
      <c r="N68" s="2949"/>
      <c r="O68" s="2949"/>
      <c r="P68" s="2957"/>
      <c r="Q68" s="2934"/>
      <c r="R68" s="2920"/>
      <c r="S68" s="2920"/>
      <c r="T68" s="2920"/>
      <c r="U68" s="2920"/>
      <c r="V68" s="2920"/>
      <c r="W68" s="2920"/>
      <c r="X68" s="2920"/>
      <c r="Y68" s="2920"/>
      <c r="Z68" s="2920"/>
      <c r="AA68" s="2920"/>
      <c r="AB68" s="2920"/>
      <c r="AC68" s="2920"/>
    </row>
    <row r="69" spans="1:29" ht="15.75" thickTop="1">
      <c r="A69" s="490"/>
      <c r="B69" s="494" t="s">
        <v>2370</v>
      </c>
      <c r="C69" s="534" t="s">
        <v>2358</v>
      </c>
      <c r="D69" s="534" t="s">
        <v>2359</v>
      </c>
      <c r="E69" s="534" t="s">
        <v>2360</v>
      </c>
      <c r="F69" s="534" t="s">
        <v>2361</v>
      </c>
      <c r="G69" s="534" t="s">
        <v>2362</v>
      </c>
      <c r="H69" s="495"/>
      <c r="I69" s="495"/>
      <c r="J69" s="495"/>
      <c r="K69" s="496"/>
      <c r="L69" s="497"/>
      <c r="M69" s="498"/>
      <c r="N69" s="2948"/>
      <c r="O69" s="2948"/>
      <c r="P69" s="2957"/>
      <c r="Q69" s="2934"/>
      <c r="R69" s="2920"/>
      <c r="S69" s="2920"/>
      <c r="T69" s="2920"/>
      <c r="U69" s="2920"/>
      <c r="V69" s="2920"/>
      <c r="W69" s="2920"/>
      <c r="X69" s="2920"/>
      <c r="Y69" s="2920"/>
      <c r="Z69" s="2920"/>
      <c r="AA69" s="2920"/>
      <c r="AB69" s="2920"/>
      <c r="AC69" s="2920"/>
    </row>
    <row r="70" spans="1:29" ht="15.75" thickBot="1">
      <c r="A70" s="490"/>
      <c r="B70" s="499"/>
      <c r="C70" s="500">
        <v>100</v>
      </c>
      <c r="D70" s="500">
        <f>C70-$K20</f>
        <v>98</v>
      </c>
      <c r="E70" s="500">
        <f>D70-$K20</f>
        <v>96</v>
      </c>
      <c r="F70" s="500">
        <f>E70-$K20</f>
        <v>94</v>
      </c>
      <c r="G70" s="500">
        <f>F70-$K20</f>
        <v>92</v>
      </c>
      <c r="H70" s="500"/>
      <c r="I70" s="500"/>
      <c r="J70" s="500"/>
      <c r="K70" s="500"/>
      <c r="L70" s="500"/>
      <c r="M70" s="501"/>
      <c r="N70" s="2949"/>
      <c r="O70" s="2949"/>
      <c r="P70" s="2957"/>
      <c r="Q70" s="2934"/>
      <c r="R70" s="2920"/>
      <c r="S70" s="2920"/>
      <c r="T70" s="2920"/>
      <c r="U70" s="2920"/>
      <c r="V70" s="2920"/>
      <c r="W70" s="2920"/>
      <c r="X70" s="2920"/>
      <c r="Y70" s="2920"/>
      <c r="Z70" s="2920"/>
      <c r="AA70" s="2920"/>
      <c r="AB70" s="2920"/>
      <c r="AC70" s="2920"/>
    </row>
    <row r="71" spans="1:29" ht="15.75" thickTop="1">
      <c r="A71" s="490"/>
      <c r="B71" s="494" t="s">
        <v>2489</v>
      </c>
      <c r="C71" s="510">
        <v>-1</v>
      </c>
      <c r="D71" s="510"/>
      <c r="E71" s="510"/>
      <c r="F71" s="510"/>
      <c r="G71" s="510"/>
      <c r="H71" s="539"/>
      <c r="I71" s="539"/>
      <c r="J71" s="539"/>
      <c r="K71" s="540"/>
      <c r="L71" s="541"/>
      <c r="M71" s="542"/>
      <c r="N71" s="2948"/>
      <c r="O71" s="2948"/>
      <c r="P71" s="2957"/>
      <c r="Q71" s="2934"/>
      <c r="R71" s="2920"/>
      <c r="S71" s="2920"/>
      <c r="T71" s="2920"/>
      <c r="U71" s="2920"/>
      <c r="V71" s="2920"/>
      <c r="W71" s="2920"/>
      <c r="X71" s="2920"/>
      <c r="Y71" s="2920"/>
      <c r="Z71" s="2920"/>
      <c r="AA71" s="2920"/>
      <c r="AB71" s="2920"/>
      <c r="AC71" s="2920"/>
    </row>
    <row r="72" spans="1:29" ht="15.75" thickBot="1">
      <c r="A72" s="490"/>
      <c r="B72" s="499"/>
      <c r="C72" s="500">
        <v>100</v>
      </c>
      <c r="D72" s="500">
        <f>C72-$K22</f>
        <v>98</v>
      </c>
      <c r="E72" s="500">
        <f>D72-$K22</f>
        <v>96</v>
      </c>
      <c r="F72" s="500">
        <f>E72-$K22</f>
        <v>94</v>
      </c>
      <c r="G72" s="500">
        <f>F72-$K22</f>
        <v>92</v>
      </c>
      <c r="H72" s="500"/>
      <c r="I72" s="500"/>
      <c r="J72" s="500"/>
      <c r="K72" s="500"/>
      <c r="L72" s="500"/>
      <c r="M72" s="501"/>
      <c r="N72" s="2949"/>
      <c r="O72" s="2949"/>
      <c r="P72" s="2957"/>
      <c r="Q72" s="2934"/>
      <c r="R72" s="2920"/>
      <c r="S72" s="2920"/>
      <c r="T72" s="2920"/>
      <c r="U72" s="2920"/>
      <c r="V72" s="2920"/>
      <c r="W72" s="2920"/>
      <c r="X72" s="2920"/>
      <c r="Y72" s="2920"/>
      <c r="Z72" s="2920"/>
      <c r="AA72" s="2920"/>
      <c r="AB72" s="2920"/>
      <c r="AC72" s="2920"/>
    </row>
    <row r="73" spans="1:29" s="113" customFormat="1" ht="15.75" thickTop="1">
      <c r="A73" s="535"/>
      <c r="B73" s="494">
        <f>B23</f>
        <v>111</v>
      </c>
      <c r="C73" s="505"/>
      <c r="D73" s="505"/>
      <c r="E73" s="505"/>
      <c r="F73" s="505"/>
      <c r="G73" s="510"/>
      <c r="H73" s="510"/>
      <c r="I73" s="510"/>
      <c r="J73" s="510"/>
      <c r="K73" s="510"/>
      <c r="L73" s="536"/>
      <c r="M73" s="537"/>
      <c r="N73" s="2947"/>
      <c r="O73" s="2947"/>
      <c r="P73" s="2957"/>
      <c r="Q73" s="2934"/>
      <c r="R73" s="2854"/>
      <c r="S73" s="2854"/>
      <c r="T73" s="2854"/>
      <c r="U73" s="2854"/>
      <c r="V73" s="2854"/>
      <c r="W73" s="2854"/>
      <c r="X73" s="2854"/>
      <c r="Y73" s="2854"/>
      <c r="Z73" s="2854"/>
      <c r="AA73" s="2854"/>
      <c r="AB73" s="2854"/>
      <c r="AC73" s="2854"/>
    </row>
    <row r="74" spans="1:29" s="113" customFormat="1" ht="15.75" thickBot="1">
      <c r="A74" s="535"/>
      <c r="B74" s="499"/>
      <c r="C74" s="516"/>
      <c r="D74" s="492"/>
      <c r="E74" s="492"/>
      <c r="F74" s="492"/>
      <c r="G74" s="492"/>
      <c r="H74" s="492"/>
      <c r="I74" s="492"/>
      <c r="J74" s="492"/>
      <c r="K74" s="492"/>
      <c r="L74" s="492"/>
      <c r="M74" s="493"/>
      <c r="N74" s="2949"/>
      <c r="O74" s="2949"/>
      <c r="P74" s="2957"/>
      <c r="Q74" s="2934"/>
      <c r="R74" s="2854"/>
      <c r="S74" s="2854"/>
      <c r="T74" s="2854"/>
      <c r="U74" s="2854"/>
      <c r="V74" s="2854"/>
      <c r="W74" s="2854"/>
      <c r="X74" s="2854"/>
      <c r="Y74" s="2854"/>
      <c r="Z74" s="2854"/>
      <c r="AA74" s="2854"/>
      <c r="AB74" s="2854"/>
      <c r="AC74" s="2854"/>
    </row>
    <row r="75" spans="1:29" s="113" customFormat="1" ht="15.75" thickTop="1">
      <c r="A75" s="535"/>
      <c r="B75" s="494">
        <f>B24</f>
        <v>111</v>
      </c>
      <c r="C75" s="505"/>
      <c r="D75" s="505"/>
      <c r="E75" s="505"/>
      <c r="F75" s="505"/>
      <c r="G75" s="510"/>
      <c r="H75" s="510"/>
      <c r="I75" s="510"/>
      <c r="J75" s="510"/>
      <c r="K75" s="510"/>
      <c r="L75" s="510"/>
      <c r="M75" s="537"/>
      <c r="N75" s="2947"/>
      <c r="O75" s="2947"/>
      <c r="P75" s="2957"/>
      <c r="Q75" s="2934"/>
      <c r="R75" s="2854"/>
      <c r="S75" s="2854"/>
      <c r="T75" s="2854"/>
      <c r="U75" s="2854"/>
      <c r="V75" s="2854"/>
      <c r="W75" s="2854"/>
      <c r="X75" s="2854"/>
      <c r="Y75" s="2854"/>
      <c r="Z75" s="2854"/>
      <c r="AA75" s="2854"/>
      <c r="AB75" s="2854"/>
      <c r="AC75" s="2854"/>
    </row>
    <row r="76" spans="1:29" s="113" customFormat="1" ht="15.75" thickBot="1">
      <c r="A76" s="535"/>
      <c r="B76" s="499"/>
      <c r="C76" s="516"/>
      <c r="D76" s="492"/>
      <c r="E76" s="492"/>
      <c r="F76" s="492"/>
      <c r="G76" s="492"/>
      <c r="H76" s="492"/>
      <c r="I76" s="492"/>
      <c r="J76" s="492"/>
      <c r="K76" s="492"/>
      <c r="L76" s="492"/>
      <c r="M76" s="493"/>
      <c r="N76" s="2949"/>
      <c r="O76" s="2949"/>
      <c r="P76" s="2957"/>
      <c r="Q76" s="2934"/>
      <c r="R76" s="2854"/>
      <c r="S76" s="2854"/>
      <c r="T76" s="2854"/>
      <c r="U76" s="2854"/>
      <c r="V76" s="2854"/>
      <c r="W76" s="2854"/>
      <c r="X76" s="2854"/>
      <c r="Y76" s="2854"/>
      <c r="Z76" s="2854"/>
      <c r="AA76" s="2854"/>
      <c r="AB76" s="2854"/>
      <c r="AC76" s="2854"/>
    </row>
    <row r="77" spans="1:29" s="429" customFormat="1" ht="15.75" thickTop="1">
      <c r="A77" s="509"/>
      <c r="B77" s="494">
        <f>B25</f>
        <v>111</v>
      </c>
      <c r="C77" s="510"/>
      <c r="D77" s="510"/>
      <c r="E77" s="510"/>
      <c r="F77" s="510"/>
      <c r="G77" s="510"/>
      <c r="H77" s="511"/>
      <c r="I77" s="511"/>
      <c r="J77" s="511"/>
      <c r="K77" s="511"/>
      <c r="L77" s="512"/>
      <c r="M77" s="513"/>
      <c r="N77" s="2950"/>
      <c r="O77" s="2950"/>
      <c r="P77" s="2958"/>
      <c r="Q77" s="2941"/>
      <c r="R77" s="2942"/>
      <c r="S77" s="2942"/>
      <c r="T77" s="2942"/>
      <c r="U77" s="2942"/>
      <c r="V77" s="2942"/>
      <c r="W77" s="2942"/>
      <c r="X77" s="2942"/>
      <c r="Y77" s="2942"/>
      <c r="Z77" s="2942"/>
      <c r="AA77" s="2942"/>
      <c r="AB77" s="2942"/>
      <c r="AC77" s="2942"/>
    </row>
    <row r="78" spans="1:29" s="429" customFormat="1" ht="15.75" thickBot="1">
      <c r="A78" s="509"/>
      <c r="B78" s="499"/>
      <c r="C78" s="516"/>
      <c r="D78" s="516"/>
      <c r="E78" s="516"/>
      <c r="F78" s="516"/>
      <c r="G78" s="492"/>
      <c r="H78" s="492"/>
      <c r="I78" s="492"/>
      <c r="J78" s="492"/>
      <c r="K78" s="492"/>
      <c r="L78" s="492"/>
      <c r="M78" s="493"/>
      <c r="N78" s="2950"/>
      <c r="O78" s="2950"/>
      <c r="P78" s="2958"/>
      <c r="Q78" s="2941"/>
      <c r="R78" s="2942"/>
      <c r="S78" s="2942"/>
      <c r="T78" s="2942"/>
      <c r="U78" s="2942"/>
      <c r="V78" s="2942"/>
      <c r="W78" s="2942"/>
      <c r="X78" s="2942"/>
      <c r="Y78" s="2942"/>
      <c r="Z78" s="2942"/>
      <c r="AA78" s="2942"/>
      <c r="AB78" s="2942"/>
      <c r="AC78" s="2942"/>
    </row>
    <row r="79" spans="1:29" ht="27.75" thickTop="1">
      <c r="A79" s="483" t="s">
        <v>2324</v>
      </c>
      <c r="B79" s="484" t="s">
        <v>2490</v>
      </c>
      <c r="C79" s="485" t="str">
        <f>C26</f>
        <v>车库</v>
      </c>
      <c r="D79" s="3219" t="s">
        <v>3161</v>
      </c>
      <c r="E79" s="486"/>
      <c r="F79" s="486"/>
      <c r="G79" s="486"/>
      <c r="H79" s="486"/>
      <c r="I79" s="486"/>
      <c r="J79" s="486"/>
      <c r="K79" s="487"/>
      <c r="L79" s="488"/>
      <c r="M79" s="489"/>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49"/>
      <c r="O80" s="2949"/>
      <c r="P80" s="2957"/>
      <c r="Q80" s="2934"/>
      <c r="R80" s="2920"/>
      <c r="S80" s="2920"/>
      <c r="T80" s="2920"/>
      <c r="U80" s="2920"/>
      <c r="V80" s="2920"/>
      <c r="W80" s="2920"/>
      <c r="X80" s="2920"/>
      <c r="Y80" s="2920"/>
      <c r="Z80" s="2920"/>
      <c r="AA80" s="2920"/>
      <c r="AB80" s="2920"/>
      <c r="AC80" s="2920"/>
    </row>
    <row r="81" spans="1:29" ht="15.75" thickTop="1">
      <c r="A81" s="490"/>
      <c r="B81" s="494" t="s">
        <v>2491</v>
      </c>
      <c r="C81" s="616" t="e">
        <f>C27</f>
        <v>#REF!</v>
      </c>
      <c r="D81" s="616" t="e">
        <f>E27</f>
        <v>#REF!</v>
      </c>
      <c r="E81" s="616" t="e">
        <f>G27</f>
        <v>#REF!</v>
      </c>
      <c r="F81" s="616" t="e">
        <f>I27</f>
        <v>#REF!</v>
      </c>
      <c r="G81" s="486"/>
      <c r="H81" s="486"/>
      <c r="I81" s="486"/>
      <c r="J81" s="616"/>
      <c r="K81" s="617"/>
      <c r="L81" s="618"/>
      <c r="M81" s="619"/>
      <c r="N81" s="2947"/>
      <c r="O81" s="2947"/>
      <c r="P81" s="2957"/>
      <c r="Q81" s="2934"/>
      <c r="R81" s="2920"/>
      <c r="S81" s="2920"/>
      <c r="T81" s="2920"/>
      <c r="U81" s="2920"/>
      <c r="V81" s="2920"/>
      <c r="W81" s="2920"/>
      <c r="X81" s="2920"/>
      <c r="Y81" s="2920"/>
      <c r="Z81" s="2920"/>
      <c r="AA81" s="2920"/>
      <c r="AB81" s="2920"/>
      <c r="AC81" s="2920"/>
    </row>
    <row r="82" spans="1:29" s="429" customFormat="1" ht="15.75" thickBot="1">
      <c r="A82" s="509"/>
      <c r="B82" s="499"/>
      <c r="C82" s="516">
        <v>100</v>
      </c>
      <c r="D82" s="492">
        <v>98</v>
      </c>
      <c r="E82" s="492">
        <v>96</v>
      </c>
      <c r="F82" s="492">
        <v>94</v>
      </c>
      <c r="G82" s="492"/>
      <c r="H82" s="492"/>
      <c r="I82" s="492"/>
      <c r="J82" s="492"/>
      <c r="K82" s="492"/>
      <c r="L82" s="492"/>
      <c r="M82" s="493"/>
      <c r="N82" s="2949"/>
      <c r="O82" s="2949"/>
      <c r="P82" s="2958"/>
      <c r="Q82" s="2941"/>
      <c r="R82" s="2942"/>
      <c r="S82" s="2942"/>
      <c r="T82" s="2942"/>
      <c r="U82" s="2942"/>
      <c r="V82" s="2942"/>
      <c r="W82" s="2942"/>
      <c r="X82" s="2942"/>
      <c r="Y82" s="2942"/>
      <c r="Z82" s="2942"/>
      <c r="AA82" s="2942"/>
      <c r="AB82" s="2942"/>
      <c r="AC82" s="2942"/>
    </row>
    <row r="83" spans="1:29" ht="15" thickTop="1">
      <c r="A83" s="555"/>
      <c r="B83" s="494" t="s">
        <v>2377</v>
      </c>
      <c r="C83" s="3217" t="s">
        <v>3157</v>
      </c>
      <c r="D83" s="3217" t="s">
        <v>3156</v>
      </c>
      <c r="E83" s="3218" t="s">
        <v>3158</v>
      </c>
      <c r="F83" s="539"/>
      <c r="G83" s="539"/>
      <c r="H83" s="539"/>
      <c r="I83" s="539"/>
      <c r="J83" s="539"/>
      <c r="K83" s="540"/>
      <c r="L83" s="541"/>
      <c r="M83" s="542"/>
      <c r="N83" s="2948"/>
      <c r="O83" s="2948"/>
      <c r="P83" s="2957"/>
      <c r="Q83" s="2934"/>
      <c r="R83" s="2920"/>
      <c r="S83" s="2920"/>
      <c r="T83" s="2920"/>
      <c r="U83" s="2920"/>
      <c r="V83" s="2920"/>
      <c r="W83" s="2920"/>
      <c r="X83" s="2920"/>
      <c r="Y83" s="2920"/>
      <c r="Z83" s="2920"/>
      <c r="AA83" s="2920"/>
      <c r="AB83" s="2920"/>
      <c r="AC83" s="2920"/>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49"/>
      <c r="O84" s="2949"/>
      <c r="P84" s="2957"/>
      <c r="Q84" s="2934"/>
      <c r="R84" s="2920"/>
      <c r="S84" s="2920"/>
      <c r="T84" s="2920"/>
      <c r="U84" s="2920"/>
      <c r="V84" s="2920"/>
      <c r="W84" s="2920"/>
      <c r="X84" s="2920"/>
      <c r="Y84" s="2920"/>
      <c r="Z84" s="2920"/>
      <c r="AA84" s="2920"/>
      <c r="AB84" s="2920"/>
      <c r="AC84" s="2920"/>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8"/>
      <c r="O85" s="2948"/>
      <c r="P85" s="2957"/>
      <c r="Q85" s="2934"/>
      <c r="R85" s="2920"/>
      <c r="S85" s="2920"/>
      <c r="T85" s="2920"/>
      <c r="U85" s="2920"/>
      <c r="V85" s="2920"/>
      <c r="W85" s="2920"/>
      <c r="X85" s="2920"/>
      <c r="Y85" s="2920"/>
      <c r="Z85" s="2920"/>
      <c r="AA85" s="2920"/>
      <c r="AB85" s="2920"/>
      <c r="AC85" s="2920"/>
    </row>
    <row r="86" spans="1:29">
      <c r="A86" s="555"/>
      <c r="B86" s="502"/>
      <c r="C86" s="559">
        <v>0.5</v>
      </c>
      <c r="D86" s="559">
        <v>0.6</v>
      </c>
      <c r="E86" s="559">
        <v>0.7</v>
      </c>
      <c r="F86" s="559">
        <v>0.8</v>
      </c>
      <c r="G86" s="559">
        <v>0.9</v>
      </c>
      <c r="H86" s="559">
        <v>1.0001</v>
      </c>
      <c r="I86" s="578"/>
      <c r="J86" s="578"/>
      <c r="K86" s="579"/>
      <c r="L86" s="580"/>
      <c r="M86" s="581"/>
      <c r="N86" s="2948"/>
      <c r="O86" s="2948"/>
      <c r="P86" s="2957"/>
      <c r="Q86" s="2934"/>
      <c r="R86" s="2920"/>
      <c r="S86" s="2920"/>
      <c r="T86" s="2920"/>
      <c r="U86" s="2920"/>
      <c r="V86" s="2920"/>
      <c r="W86" s="2920"/>
      <c r="X86" s="2920"/>
      <c r="Y86" s="2920"/>
      <c r="Z86" s="2920"/>
      <c r="AA86" s="2920"/>
      <c r="AB86" s="2920"/>
      <c r="AC86" s="2920"/>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49"/>
      <c r="O87" s="2949"/>
      <c r="P87" s="2957"/>
      <c r="Q87" s="2934"/>
      <c r="R87" s="2920"/>
      <c r="S87" s="2920"/>
      <c r="T87" s="2920"/>
      <c r="U87" s="2920"/>
      <c r="V87" s="2920"/>
      <c r="W87" s="2920"/>
      <c r="X87" s="2920"/>
      <c r="Y87" s="2920"/>
      <c r="Z87" s="2920"/>
      <c r="AA87" s="2920"/>
      <c r="AB87" s="2920"/>
      <c r="AC87" s="2920"/>
    </row>
    <row r="88" spans="1:29" ht="15" thickTop="1">
      <c r="A88" s="555"/>
      <c r="B88" s="502" t="s">
        <v>2493</v>
      </c>
      <c r="C88" s="3219" t="s">
        <v>3160</v>
      </c>
      <c r="D88" s="486"/>
      <c r="E88" s="486"/>
      <c r="F88" s="486"/>
      <c r="G88" s="486"/>
      <c r="H88" s="486"/>
      <c r="I88" s="486"/>
      <c r="J88" s="486"/>
      <c r="K88" s="487"/>
      <c r="L88" s="488"/>
      <c r="M88" s="489"/>
      <c r="N88" s="2948"/>
      <c r="O88" s="2948"/>
      <c r="P88" s="2957"/>
      <c r="Q88" s="2934"/>
      <c r="R88" s="2920"/>
      <c r="S88" s="2920"/>
      <c r="T88" s="2920"/>
      <c r="U88" s="2920"/>
      <c r="V88" s="2920"/>
      <c r="W88" s="2920"/>
      <c r="X88" s="2920"/>
      <c r="Y88" s="2920"/>
      <c r="Z88" s="2920"/>
      <c r="AA88" s="2920"/>
      <c r="AB88" s="2920"/>
      <c r="AC88" s="2920"/>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49"/>
      <c r="O89" s="2949"/>
      <c r="P89" s="2957"/>
      <c r="Q89" s="2934"/>
      <c r="R89" s="2920"/>
      <c r="S89" s="2920"/>
      <c r="T89" s="2920"/>
      <c r="U89" s="2920"/>
      <c r="V89" s="2920"/>
      <c r="W89" s="2920"/>
      <c r="X89" s="2920"/>
      <c r="Y89" s="2920"/>
      <c r="Z89" s="2920"/>
      <c r="AA89" s="2920"/>
      <c r="AB89" s="2920"/>
      <c r="AC89" s="2920"/>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0"/>
      <c r="O90" s="2950"/>
      <c r="P90" s="2958"/>
      <c r="Q90" s="2941"/>
      <c r="R90" s="2942"/>
      <c r="S90" s="2942"/>
      <c r="T90" s="2942"/>
      <c r="U90" s="2942"/>
      <c r="V90" s="2942"/>
      <c r="W90" s="2942"/>
      <c r="X90" s="2942"/>
      <c r="Y90" s="2942"/>
      <c r="Z90" s="2942"/>
      <c r="AA90" s="2942"/>
      <c r="AB90" s="2942"/>
      <c r="AC90" s="2942"/>
    </row>
    <row r="91" spans="1:29" s="429" customFormat="1">
      <c r="A91" s="549"/>
      <c r="B91" s="502"/>
      <c r="C91" s="551">
        <v>20000</v>
      </c>
      <c r="D91" s="551">
        <v>40000</v>
      </c>
      <c r="E91" s="551"/>
      <c r="F91" s="551"/>
      <c r="G91" s="551"/>
      <c r="H91" s="551"/>
      <c r="I91" s="551"/>
      <c r="J91" s="552"/>
      <c r="K91" s="552"/>
      <c r="L91" s="553"/>
      <c r="M91" s="554"/>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16">
        <v>100</v>
      </c>
      <c r="D92" s="492">
        <v>99</v>
      </c>
      <c r="E92" s="492">
        <v>98</v>
      </c>
      <c r="F92" s="492">
        <v>97</v>
      </c>
      <c r="G92" s="492"/>
      <c r="H92" s="492"/>
      <c r="I92" s="492"/>
      <c r="J92" s="492"/>
      <c r="K92" s="492"/>
      <c r="L92" s="492"/>
      <c r="M92" s="493"/>
      <c r="N92" s="2950"/>
      <c r="O92" s="2950"/>
      <c r="P92" s="2958"/>
      <c r="Q92" s="2941"/>
      <c r="R92" s="2942"/>
      <c r="S92" s="2942"/>
      <c r="T92" s="2942"/>
      <c r="U92" s="2942"/>
      <c r="V92" s="2942"/>
      <c r="W92" s="2942"/>
      <c r="X92" s="2942"/>
      <c r="Y92" s="2942"/>
      <c r="Z92" s="2942"/>
      <c r="AA92" s="2942"/>
      <c r="AB92" s="2942"/>
      <c r="AC92" s="2942"/>
    </row>
    <row r="93" spans="1:29" ht="15" thickTop="1">
      <c r="A93" s="555"/>
      <c r="B93" s="494" t="s">
        <v>2495</v>
      </c>
      <c r="C93" s="3217" t="s">
        <v>3162</v>
      </c>
      <c r="D93" s="3217" t="s">
        <v>3164</v>
      </c>
      <c r="E93" s="3218" t="s">
        <v>3165</v>
      </c>
      <c r="F93" s="539"/>
      <c r="G93" s="539"/>
      <c r="H93" s="539"/>
      <c r="I93" s="539"/>
      <c r="J93" s="539"/>
      <c r="K93" s="540"/>
      <c r="L93" s="541"/>
      <c r="M93" s="542"/>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49"/>
      <c r="O94" s="2949"/>
      <c r="P94" s="2957"/>
      <c r="Q94" s="2934"/>
      <c r="R94" s="2920"/>
      <c r="S94" s="2920"/>
      <c r="T94" s="2920"/>
      <c r="U94" s="2920"/>
      <c r="V94" s="2920"/>
      <c r="W94" s="2920"/>
      <c r="X94" s="2920"/>
      <c r="Y94" s="2920"/>
      <c r="Z94" s="2920"/>
      <c r="AA94" s="2920"/>
      <c r="AB94" s="2920"/>
      <c r="AC94" s="2920"/>
    </row>
    <row r="95" spans="1:29" ht="15" thickTop="1">
      <c r="A95" s="555"/>
      <c r="B95" s="494" t="s">
        <v>2496</v>
      </c>
      <c r="C95" s="486"/>
      <c r="D95" s="486"/>
      <c r="E95" s="486"/>
      <c r="F95" s="486"/>
      <c r="G95" s="486"/>
      <c r="H95" s="486"/>
      <c r="I95" s="486"/>
      <c r="J95" s="486"/>
      <c r="K95" s="487"/>
      <c r="L95" s="488"/>
      <c r="M95" s="489"/>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9"/>
      <c r="O96" s="2949"/>
      <c r="P96" s="2957"/>
      <c r="Q96" s="2934"/>
      <c r="R96" s="2920"/>
      <c r="S96" s="2920"/>
      <c r="T96" s="2920"/>
      <c r="U96" s="2920"/>
      <c r="V96" s="2920"/>
      <c r="W96" s="2920"/>
      <c r="X96" s="2920"/>
      <c r="Y96" s="2920"/>
      <c r="Z96" s="2920"/>
      <c r="AA96" s="2920"/>
      <c r="AB96" s="2920"/>
      <c r="AC96" s="2920"/>
    </row>
    <row r="97" spans="1:29" ht="15" thickTop="1">
      <c r="A97" s="555"/>
      <c r="B97" s="591" t="str">
        <f>B34</f>
        <v>建筑类型</v>
      </c>
      <c r="C97" s="505"/>
      <c r="D97" s="505"/>
      <c r="E97" s="505"/>
      <c r="F97" s="505"/>
      <c r="G97" s="510"/>
      <c r="H97" s="511"/>
      <c r="I97" s="511"/>
      <c r="J97" s="511"/>
      <c r="K97" s="511"/>
      <c r="L97" s="512"/>
      <c r="M97" s="513"/>
      <c r="N97" s="2949"/>
      <c r="O97" s="2949"/>
      <c r="P97" s="2962"/>
      <c r="Q97" s="2963"/>
      <c r="R97" s="2920"/>
      <c r="S97" s="2920"/>
      <c r="T97" s="2920"/>
      <c r="U97" s="2920"/>
      <c r="V97" s="2920"/>
      <c r="W97" s="2920"/>
      <c r="X97" s="2920"/>
      <c r="Y97" s="2920"/>
      <c r="Z97" s="2920"/>
      <c r="AA97" s="2920"/>
      <c r="AB97" s="2920"/>
      <c r="AC97" s="2920"/>
    </row>
    <row r="98" spans="1:29" ht="15.75" thickBot="1">
      <c r="A98" s="490"/>
      <c r="B98" s="499"/>
      <c r="C98" s="516"/>
      <c r="D98" s="492"/>
      <c r="E98" s="492"/>
      <c r="F98" s="492"/>
      <c r="G98" s="516"/>
      <c r="H98" s="518"/>
      <c r="I98" s="518"/>
      <c r="J98" s="518"/>
      <c r="K98" s="518"/>
      <c r="L98" s="518"/>
      <c r="M98" s="519"/>
      <c r="N98" s="2949"/>
      <c r="O98" s="2949"/>
      <c r="P98" s="2957"/>
      <c r="Q98" s="2934"/>
      <c r="R98" s="2920"/>
      <c r="S98" s="2920"/>
      <c r="T98" s="2920"/>
      <c r="U98" s="2920"/>
      <c r="V98" s="2920"/>
      <c r="W98" s="2920"/>
      <c r="X98" s="2920"/>
      <c r="Y98" s="2920"/>
      <c r="Z98" s="2920"/>
      <c r="AA98" s="2920"/>
      <c r="AB98" s="2920"/>
      <c r="AC98" s="2920"/>
    </row>
    <row r="99" spans="1:29" s="429" customFormat="1" ht="15" thickTop="1">
      <c r="A99" s="549"/>
      <c r="B99" s="494">
        <f>B35</f>
        <v>111</v>
      </c>
      <c r="C99" s="505"/>
      <c r="D99" s="505"/>
      <c r="E99" s="505"/>
      <c r="F99" s="505"/>
      <c r="G99" s="510"/>
      <c r="H99" s="511"/>
      <c r="I99" s="511"/>
      <c r="J99" s="511"/>
      <c r="K99" s="511"/>
      <c r="L99" s="512"/>
      <c r="M99" s="513"/>
      <c r="N99" s="2950"/>
      <c r="O99" s="2950"/>
      <c r="P99" s="2958"/>
      <c r="Q99" s="2941"/>
      <c r="R99" s="2942"/>
      <c r="S99" s="2942"/>
      <c r="T99" s="2942"/>
      <c r="U99" s="2942"/>
      <c r="V99" s="2942"/>
      <c r="W99" s="2942"/>
      <c r="X99" s="2942"/>
      <c r="Y99" s="2942"/>
      <c r="Z99" s="2942"/>
      <c r="AA99" s="2942"/>
      <c r="AB99" s="2942"/>
      <c r="AC99" s="2942"/>
    </row>
    <row r="100" spans="1:29" s="429" customFormat="1" ht="15.75" thickBot="1">
      <c r="A100" s="509"/>
      <c r="B100" s="491"/>
      <c r="C100" s="516"/>
      <c r="D100" s="492"/>
      <c r="E100" s="492"/>
      <c r="F100" s="492"/>
      <c r="G100" s="516"/>
      <c r="H100" s="518"/>
      <c r="I100" s="518"/>
      <c r="J100" s="518"/>
      <c r="K100" s="518"/>
      <c r="L100" s="518"/>
      <c r="M100" s="519"/>
      <c r="N100" s="2950"/>
      <c r="O100" s="2950"/>
      <c r="P100" s="2958"/>
      <c r="Q100" s="2941"/>
      <c r="R100" s="2942"/>
      <c r="S100" s="2942"/>
      <c r="T100" s="2942"/>
      <c r="U100" s="2942"/>
      <c r="V100" s="2942"/>
      <c r="W100" s="2942"/>
      <c r="X100" s="2942"/>
      <c r="Y100" s="2942"/>
      <c r="Z100" s="2942"/>
      <c r="AA100" s="2942"/>
      <c r="AB100" s="2942"/>
      <c r="AC100" s="2942"/>
    </row>
    <row r="101" spans="1:29" ht="15" thickTop="1">
      <c r="A101" s="555"/>
      <c r="B101" s="494">
        <f>B36</f>
        <v>111</v>
      </c>
      <c r="C101" s="510"/>
      <c r="D101" s="510"/>
      <c r="E101" s="510"/>
      <c r="F101" s="510"/>
      <c r="G101" s="510"/>
      <c r="H101" s="511"/>
      <c r="I101" s="511"/>
      <c r="J101" s="511"/>
      <c r="K101" s="511"/>
      <c r="L101" s="512"/>
      <c r="M101" s="513"/>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16"/>
      <c r="D102" s="516"/>
      <c r="E102" s="516"/>
      <c r="F102" s="516"/>
      <c r="G102" s="516"/>
      <c r="H102" s="518"/>
      <c r="I102" s="518"/>
      <c r="J102" s="518"/>
      <c r="K102" s="518"/>
      <c r="L102" s="518"/>
      <c r="M102" s="519"/>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4" priority="18" stopIfTrue="1" operator="containsText" text="超过">
      <formula>NOT(ISERROR(SEARCH("超过",F42)))</formula>
    </cfRule>
  </conditionalFormatting>
  <conditionalFormatting sqref="J44">
    <cfRule type="containsText" dxfId="143" priority="17" stopIfTrue="1" operator="containsText" text="超过">
      <formula>NOT(ISERROR(SEARCH("超过",J44)))</formula>
    </cfRule>
  </conditionalFormatting>
  <conditionalFormatting sqref="H44">
    <cfRule type="containsText" dxfId="142" priority="16" stopIfTrue="1" operator="containsText" text="超过">
      <formula>NOT(ISERROR(SEARCH("超过",H44)))</formula>
    </cfRule>
  </conditionalFormatting>
  <conditionalFormatting sqref="F44">
    <cfRule type="containsText" dxfId="141" priority="15" stopIfTrue="1" operator="containsText" text="超过">
      <formula>NOT(ISERROR(SEARCH("超过",F44)))</formula>
    </cfRule>
  </conditionalFormatting>
  <conditionalFormatting sqref="F43 H43 J43">
    <cfRule type="containsText" dxfId="140" priority="14" stopIfTrue="1" operator="containsText" text="超过">
      <formula>NOT(ISERROR(SEARCH("超过",F43)))</formula>
    </cfRule>
  </conditionalFormatting>
  <conditionalFormatting sqref="E42">
    <cfRule type="expression" dxfId="139" priority="13" stopIfTrue="1">
      <formula>$F$42="超过30%"</formula>
    </cfRule>
  </conditionalFormatting>
  <conditionalFormatting sqref="G44">
    <cfRule type="expression" dxfId="138" priority="12" stopIfTrue="1">
      <formula>$H$54+$H$44="超过30%"</formula>
    </cfRule>
  </conditionalFormatting>
  <conditionalFormatting sqref="E43">
    <cfRule type="expression" dxfId="137" priority="11" stopIfTrue="1">
      <formula>$F$43="超过20%"</formula>
    </cfRule>
  </conditionalFormatting>
  <conditionalFormatting sqref="E44">
    <cfRule type="expression" dxfId="136" priority="10" stopIfTrue="1">
      <formula>$F$44="超过30%"</formula>
    </cfRule>
  </conditionalFormatting>
  <conditionalFormatting sqref="G42">
    <cfRule type="expression" dxfId="135" priority="9" stopIfTrue="1">
      <formula>$H$52+$H$42="超过30%"</formula>
    </cfRule>
  </conditionalFormatting>
  <conditionalFormatting sqref="G43">
    <cfRule type="expression" dxfId="134" priority="8" stopIfTrue="1">
      <formula>$H$43="超过20%"</formula>
    </cfRule>
  </conditionalFormatting>
  <conditionalFormatting sqref="I42">
    <cfRule type="expression" dxfId="133" priority="7" stopIfTrue="1">
      <formula>$J$52+$J$42="超过30%"</formula>
    </cfRule>
  </conditionalFormatting>
  <conditionalFormatting sqref="I43">
    <cfRule type="expression" dxfId="132" priority="6" stopIfTrue="1">
      <formula>$J$53+$J$43="超过20%"</formula>
    </cfRule>
  </conditionalFormatting>
  <conditionalFormatting sqref="I44">
    <cfRule type="expression" dxfId="131" priority="5" stopIfTrue="1">
      <formula>$J$44="超过30%"</formula>
    </cfRule>
  </conditionalFormatting>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F7:F36 H7:H36 J7:J36">
    <cfRule type="cellIs" dxfId="127"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G17 C17 E17 I17" xr:uid="{00000000-0002-0000-1900-000002000000}">
      <formula1>公共配套设施</formula1>
    </dataValidation>
    <dataValidation type="list" allowBlank="1" showInputMessage="1" showErrorMessage="1" sqref="G15 E15 C15 I15" xr:uid="{00000000-0002-0000-1900-000003000000}">
      <formula1>交通便捷度</formula1>
    </dataValidation>
    <dataValidation type="list" allowBlank="1" showInputMessage="1" showErrorMessage="1" sqref="C8 E8 G8 I8" xr:uid="{00000000-0002-0000-1900-000004000000}">
      <formula1>车位交易情况</formula1>
    </dataValidation>
    <dataValidation type="list" allowBlank="1" showInputMessage="1" showErrorMessage="1" sqref="E9 G9 I9" xr:uid="{00000000-0002-0000-1900-000005000000}">
      <formula1>车位用途</formula1>
    </dataValidation>
    <dataValidation type="list" allowBlank="1" showInputMessage="1" showErrorMessage="1" sqref="C22 E22 G22 I22" xr:uid="{00000000-0002-0000-1900-000006000000}">
      <formula1>车位楼层</formula1>
    </dataValidation>
    <dataValidation type="list" allowBlank="1" showInputMessage="1" showErrorMessage="1" sqref="C30 E30 G30 I30" xr:uid="{00000000-0002-0000-1900-000007000000}">
      <formula1>车位物业等级</formula1>
    </dataValidation>
    <dataValidation type="list" allowBlank="1" showInputMessage="1" showErrorMessage="1" sqref="C32 E32 G32 I32" xr:uid="{00000000-0002-0000-1900-000008000000}">
      <formula1>车位类型</formula1>
    </dataValidation>
    <dataValidation type="list" allowBlank="1" showInputMessage="1" showErrorMessage="1" sqref="C33 E33 G33 I33" xr:uid="{00000000-0002-0000-1900-000009000000}">
      <formula1>是否直接入户</formula1>
    </dataValidation>
    <dataValidation type="list" allowBlank="1" showInputMessage="1" showErrorMessage="1" sqref="B1" xr:uid="{00000000-0002-0000-1900-00000A000000}">
      <formula1>地类判定</formula1>
    </dataValidation>
    <dataValidation type="list" allowBlank="1" showInputMessage="1" showErrorMessage="1" sqref="I26 E26 G26" xr:uid="{00000000-0002-0000-1900-00000B000000}">
      <formula1>车位配套类型</formula1>
    </dataValidation>
    <dataValidation type="list" allowBlank="1" showInputMessage="1" showErrorMessage="1" sqref="C28 E28 G28 I28" xr:uid="{00000000-0002-0000-1900-00000C000000}">
      <formula1>车位公共部分装修</formula1>
    </dataValidation>
    <dataValidation type="list" allowBlank="1" showInputMessage="1" showErrorMessage="1" sqref="B37" xr:uid="{00000000-0002-0000-1900-00000D000000}">
      <formula1>"元/平方米,元/车位"</formula1>
    </dataValidation>
    <dataValidation type="list" allowBlank="1" showInputMessage="1" showErrorMessage="1" sqref="C21 E21 G21 I21" xr:uid="{00000000-0002-0000-1900-00000E000000}">
      <formula1>环境</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F1" xr:uid="{00000000-0002-0000-1900-000010000000}">
      <formula1>"售价,租金"</formula1>
    </dataValidation>
    <dataValidation type="list" allowBlank="1" showInputMessage="1" showErrorMessage="1" sqref="C2" xr:uid="{00000000-0002-0000-1900-000011000000}">
      <formula1>"需扣减承租人权益,——"</formula1>
    </dataValidation>
    <dataValidation type="list" allowBlank="1" showInputMessage="1" showErrorMessage="1" sqref="F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28" zoomScale="90" zoomScaleNormal="70" zoomScaleSheetLayoutView="90" workbookViewId="0">
      <selection activeCell="D17" sqref="D1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3134</v>
      </c>
      <c r="D1" s="1513"/>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47" t="s">
        <v>1308</v>
      </c>
      <c r="C6" s="1204" t="e">
        <f ca="1">ROUND(F6*F8*F7*(1-F9)/10000,0)</f>
        <v>#N/A</v>
      </c>
      <c r="D6" s="159" t="s">
        <v>2786</v>
      </c>
      <c r="E6" s="307" t="s">
        <v>1310</v>
      </c>
      <c r="F6" s="308" t="e">
        <f ca="1">INDIRECT("'数据-取费表'!u"&amp;$G$1)</f>
        <v>#N/A</v>
      </c>
      <c r="G6" s="1535"/>
      <c r="H6" s="1199" t="s">
        <v>1003</v>
      </c>
      <c r="I6" s="3747" t="s">
        <v>1308</v>
      </c>
      <c r="J6" s="306" t="e">
        <f ca="1">ROUND(M6*M8*M7*(1-M9)/10000,0)</f>
        <v>#N/A</v>
      </c>
      <c r="K6" s="159" t="s">
        <v>2785</v>
      </c>
      <c r="L6" s="307" t="s">
        <v>1310</v>
      </c>
      <c r="M6" s="308" t="e">
        <f ca="1">INDIRECT("'数据-取费表'!z"&amp;$G$1)</f>
        <v>#N/A</v>
      </c>
    </row>
    <row r="7" spans="1:37" ht="18" customHeight="1">
      <c r="A7" s="1203"/>
      <c r="B7" s="3748"/>
      <c r="C7" s="1205"/>
      <c r="D7" s="312"/>
      <c r="E7" s="1206" t="s">
        <v>1311</v>
      </c>
      <c r="F7" s="308" t="e">
        <f ca="1">IF(INDIRECT("'数据-取费表'!ah"&amp;$G$1)="",INDIRECT("'数据-取费表'!k"&amp;$G$1),INDIRECT("'数据-取费表'!ah"&amp;$G$1))</f>
        <v>#N/A</v>
      </c>
      <c r="G7" s="1535"/>
      <c r="H7" s="309"/>
      <c r="I7" s="3748"/>
      <c r="J7" s="311"/>
      <c r="K7" s="312"/>
      <c r="L7" s="307" t="s">
        <v>1311</v>
      </c>
      <c r="M7" s="308" t="e">
        <f ca="1">F7</f>
        <v>#N/A</v>
      </c>
    </row>
    <row r="8" spans="1:37" ht="18" customHeight="1">
      <c r="A8" s="309"/>
      <c r="B8" s="3748"/>
      <c r="C8" s="311"/>
      <c r="D8" s="312"/>
      <c r="E8" s="307" t="s">
        <v>1312</v>
      </c>
      <c r="F8" s="308" t="e">
        <f ca="1">INDIRECT("'数据-取费表'!ai"&amp;$G$1)</f>
        <v>#N/A</v>
      </c>
      <c r="G8" s="1535"/>
      <c r="H8" s="309"/>
      <c r="I8" s="3748"/>
      <c r="J8" s="311"/>
      <c r="K8" s="312"/>
      <c r="L8" s="307" t="s">
        <v>1312</v>
      </c>
      <c r="M8" s="308" t="e">
        <f ca="1">INDIRECT("'数据-取费表'!ai"&amp;$G$1)</f>
        <v>#N/A</v>
      </c>
    </row>
    <row r="9" spans="1:37" ht="18" customHeight="1">
      <c r="A9" s="309"/>
      <c r="B9" s="3749"/>
      <c r="C9" s="311"/>
      <c r="D9" s="312"/>
      <c r="E9" s="307" t="s">
        <v>1313</v>
      </c>
      <c r="F9" s="317" t="e">
        <f ca="1">INDIRECT("'数据-取费表'!w"&amp;$G$1)</f>
        <v>#N/A</v>
      </c>
      <c r="G9" s="1535"/>
      <c r="H9" s="309"/>
      <c r="I9" s="3749"/>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2794</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1210" t="s">
        <v>1320</v>
      </c>
      <c r="E13" s="1210"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1496" t="s">
        <v>1323</v>
      </c>
      <c r="E14" s="1493"/>
      <c r="F14" s="324"/>
      <c r="G14" s="1535"/>
      <c r="H14" s="1111" t="s">
        <v>1003</v>
      </c>
      <c r="I14" s="307" t="s">
        <v>1324</v>
      </c>
      <c r="J14" s="24" t="e">
        <f ca="1">C29</f>
        <v>#N/A</v>
      </c>
      <c r="K14" s="15"/>
      <c r="L14" s="914"/>
      <c r="M14" s="915"/>
    </row>
    <row r="15" spans="1:37" s="1548" customFormat="1" ht="18" customHeight="1" thickBot="1">
      <c r="A15" s="1111" t="s">
        <v>1004</v>
      </c>
      <c r="B15" s="307" t="s">
        <v>1325</v>
      </c>
      <c r="C15" s="24" t="e">
        <f ca="1">ROUND(C14*F15,0)</f>
        <v>#N/A</v>
      </c>
      <c r="D15" s="325" t="s">
        <v>1326</v>
      </c>
      <c r="E15" s="325"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1217"/>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1511"/>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18</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t="e">
        <f ca="1">ROUND(J14*M22,1)</f>
        <v>#N/A</v>
      </c>
      <c r="K22" s="1495"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1495" t="s">
        <v>1359</v>
      </c>
      <c r="L23" s="307" t="s">
        <v>1360</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t="e">
        <f ca="1">ROUND(J5*M24,1)</f>
        <v>#N/A</v>
      </c>
      <c r="K24" s="1221" t="s">
        <v>1364</v>
      </c>
      <c r="L24" s="1219" t="s">
        <v>1360</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1511"/>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5"/>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1217"/>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1495"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1495" t="s">
        <v>1359</v>
      </c>
      <c r="E37" s="307" t="s">
        <v>1360</v>
      </c>
      <c r="F37" s="335" t="e">
        <f ca="1">INDIRECT("'数据-取费表'!Al"&amp;$G$1)</f>
        <v>#N/A</v>
      </c>
      <c r="G37" s="1535"/>
      <c r="H37" s="2895"/>
      <c r="I37" s="1549"/>
      <c r="J37" s="1550"/>
      <c r="K37" s="2736"/>
      <c r="L37" s="2895"/>
      <c r="M37" s="2895"/>
    </row>
    <row r="38" spans="1:18" ht="18" customHeight="1" thickBot="1">
      <c r="A38" s="1218" t="s">
        <v>1298</v>
      </c>
      <c r="B38" s="1219" t="s">
        <v>1344</v>
      </c>
      <c r="C38" s="1220" t="e">
        <f ca="1">ROUND(C5*F38,1)</f>
        <v>#N/A</v>
      </c>
      <c r="D38" s="1221" t="s">
        <v>1364</v>
      </c>
      <c r="E38" s="1219" t="s">
        <v>1360</v>
      </c>
      <c r="F38" s="1215" t="e">
        <f ca="1">INDIRECT("'数据-取费表'!Am"&amp;$G$1)</f>
        <v>#N/A</v>
      </c>
      <c r="G38" s="1535"/>
      <c r="H38" s="2895"/>
      <c r="I38" s="1549"/>
      <c r="J38" s="1550"/>
      <c r="K38" s="2899"/>
      <c r="L38" s="2895"/>
      <c r="M38" s="2895"/>
    </row>
    <row r="39" spans="1:18" ht="24.6" customHeight="1" thickTop="1">
      <c r="A39" s="1208" t="s">
        <v>999</v>
      </c>
      <c r="B39" s="1223" t="s">
        <v>1388</v>
      </c>
      <c r="C39" s="315" t="e">
        <f ca="1">C5-C30</f>
        <v>#N/A</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1510"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2787</v>
      </c>
      <c r="E49" s="1523" t="s">
        <v>1396</v>
      </c>
      <c r="F49" s="1189">
        <v>0</v>
      </c>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45" t="s">
        <v>1453</v>
      </c>
      <c r="L53" s="3746"/>
      <c r="O53" s="1569" t="s">
        <v>1014</v>
      </c>
      <c r="P53" s="1570" t="s">
        <v>1454</v>
      </c>
      <c r="Q53" s="1571" t="e">
        <f ca="1">Q47+Q48</f>
        <v>#N/A</v>
      </c>
      <c r="R53" s="1571" t="s">
        <v>1015</v>
      </c>
    </row>
    <row r="54" spans="1:18" s="1535" customFormat="1" ht="13.5" thickBot="1">
      <c r="A54" s="1284"/>
      <c r="B54" s="1518" t="s">
        <v>1293</v>
      </c>
      <c r="C54" s="1088"/>
      <c r="D54" s="1517"/>
      <c r="E54" s="1525"/>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#N/A</v>
      </c>
      <c r="K55" s="1596" t="s">
        <v>1457</v>
      </c>
      <c r="L55" s="1597" t="s">
        <v>1458</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1398</v>
      </c>
      <c r="C61" s="24" t="e">
        <f ca="1">IF(项目基本情况!B11="自然人","——",IF(D61="按租金收入计税",ROUND(C49*F61/(1+'数据-取费表'!C42),2),IF(D61="按房产原值计税",ROUND(C57*F61*0.7,2),INDIRECT("'数据-取费表'!Aj"&amp;$G$1))))</f>
        <v>#N/A</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#N/A</v>
      </c>
      <c r="R61" s="1571" t="s">
        <v>1474</v>
      </c>
    </row>
    <row r="62" spans="1:18" s="1535" customFormat="1" ht="13.5" thickBot="1">
      <c r="A62" s="1111" t="s">
        <v>1400</v>
      </c>
      <c r="B62" s="1078" t="s">
        <v>1401</v>
      </c>
      <c r="C62" s="25" t="e">
        <f ca="1">IF(项目基本情况!B11="自然人","——",ROUND(F62*F63/10000,2))</f>
        <v>#N/A</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#N/A</v>
      </c>
      <c r="R62" s="1571" t="s">
        <v>1015</v>
      </c>
    </row>
    <row r="63" spans="1:18" s="1535" customFormat="1" ht="13.5" thickBot="1">
      <c r="A63" s="331"/>
      <c r="B63" s="1085"/>
      <c r="C63" s="29"/>
      <c r="D63" s="1095"/>
      <c r="E63" s="1079" t="s">
        <v>1404</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t="e">
        <f ca="1">ROUND(C57*F64,1)</f>
        <v>#N/A</v>
      </c>
      <c r="D64" s="1093" t="s">
        <v>1407</v>
      </c>
      <c r="E64" s="1079" t="s">
        <v>1399</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1360</v>
      </c>
      <c r="F65" s="335" t="e">
        <f t="shared" ca="1" si="0"/>
        <v>#N/A</v>
      </c>
      <c r="I65" s="1613" t="s">
        <v>1484</v>
      </c>
      <c r="J65" s="1614">
        <v>40</v>
      </c>
      <c r="K65" s="1614">
        <v>30</v>
      </c>
      <c r="L65" s="1614">
        <v>50</v>
      </c>
      <c r="M65" s="1616">
        <v>0.02</v>
      </c>
      <c r="O65" s="1569" t="s">
        <v>1008</v>
      </c>
      <c r="P65" s="1570" t="s">
        <v>1485</v>
      </c>
      <c r="Q65" s="1571" t="e">
        <f ca="1">C40+J29</f>
        <v>#N/A</v>
      </c>
      <c r="R65" s="1571" t="s">
        <v>1434</v>
      </c>
    </row>
    <row r="66" spans="1:18" s="1535" customFormat="1" ht="16.5" thickBot="1">
      <c r="A66" s="1111" t="s">
        <v>1409</v>
      </c>
      <c r="B66" s="1079" t="s">
        <v>1344</v>
      </c>
      <c r="C66" s="24" t="e">
        <f ca="1">ROUND(C48*F66,1)</f>
        <v>#N/A</v>
      </c>
      <c r="D66" s="1093" t="s">
        <v>1410</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IF(C2="——",ROUND(C37*D3/10000,0),ROUND(C37*D3/10000,0)-D2)</f>
        <v>#DIV/0!</v>
      </c>
      <c r="C2" s="2033"/>
      <c r="D2" s="1036" t="e">
        <f ca="1">SUMIF(INDIRECT("'"&amp;F2&amp;"'"&amp;"!A:A"),"承租人权益价值",INDIRECT("'"&amp;F2&amp;"'"&amp;"!c:c"))</f>
        <v>#REF!</v>
      </c>
      <c r="E2" s="2034" t="s">
        <v>2089</v>
      </c>
      <c r="F2" s="2035"/>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44762</v>
      </c>
      <c r="D7" s="370">
        <v>100</v>
      </c>
      <c r="E7" s="371"/>
      <c r="F7" s="372">
        <f>SUMIF(46:46,YEAR(E7)&amp;"-"&amp;MONTH(E7),47:47)</f>
        <v>0</v>
      </c>
      <c r="G7" s="2126"/>
      <c r="H7" s="370">
        <f>SUMIF(46:46,YEAR(G7)&amp;"-"&amp;MONTH(G7),47:47)</f>
        <v>0</v>
      </c>
      <c r="I7" s="371"/>
      <c r="J7" s="370">
        <f>SUMIF(46:46,YEAR(I7)&amp;"-"&amp;MONTH(I7),47:47)</f>
        <v>0</v>
      </c>
      <c r="K7" s="567"/>
      <c r="L7" s="2912"/>
      <c r="M7" s="2913"/>
      <c r="N7" s="2913"/>
      <c r="O7" s="2913"/>
      <c r="P7" s="3655" t="s">
        <v>2310</v>
      </c>
      <c r="Q7" s="3657"/>
      <c r="R7" s="708" t="s">
        <v>17</v>
      </c>
      <c r="S7" s="709">
        <f t="shared" ref="S7:S14" si="0">F7</f>
        <v>0</v>
      </c>
      <c r="T7" s="708" t="s">
        <v>17</v>
      </c>
      <c r="U7" s="709">
        <f t="shared" ref="U7:U14" si="1">H7</f>
        <v>0</v>
      </c>
      <c r="V7" s="708" t="s">
        <v>17</v>
      </c>
      <c r="W7" s="709">
        <f t="shared" ref="W7:W14" si="2">J7</f>
        <v>0</v>
      </c>
      <c r="X7" s="710"/>
      <c r="Y7" s="3655" t="s">
        <v>2310</v>
      </c>
      <c r="Z7" s="3656"/>
      <c r="AA7" s="711" t="e">
        <f>D7/F7</f>
        <v>#DIV/0!</v>
      </c>
      <c r="AB7" s="711" t="e">
        <f>D7/H7</f>
        <v>#DIV/0!</v>
      </c>
      <c r="AC7" s="711"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34" si="3">D8/F8</f>
        <v>#DIV/0!</v>
      </c>
      <c r="AB8" s="711" t="e">
        <f t="shared" ref="AB8:AB34" si="4">D8/H8</f>
        <v>#DIV/0!</v>
      </c>
      <c r="AC8" s="711"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2"/>
      <c r="M9" s="2913"/>
      <c r="N9" s="2913"/>
      <c r="O9" s="2967"/>
      <c r="P9" s="3616" t="s">
        <v>2316</v>
      </c>
      <c r="Q9" s="1494" t="str">
        <f t="shared" ref="Q9:Q14" si="6">B9</f>
        <v>用途</v>
      </c>
      <c r="R9" s="708" t="s">
        <v>17</v>
      </c>
      <c r="S9" s="709">
        <f t="shared" si="0"/>
        <v>100</v>
      </c>
      <c r="T9" s="708" t="s">
        <v>17</v>
      </c>
      <c r="U9" s="709">
        <f t="shared" si="1"/>
        <v>100</v>
      </c>
      <c r="V9" s="708" t="s">
        <v>17</v>
      </c>
      <c r="W9" s="709">
        <f t="shared" si="2"/>
        <v>100</v>
      </c>
      <c r="X9" s="710"/>
      <c r="Y9" s="3520" t="s">
        <v>2317</v>
      </c>
      <c r="Z9" s="55" t="str">
        <f t="shared" ref="Z9:Z14" si="7">Q9</f>
        <v>用途</v>
      </c>
      <c r="AA9" s="711">
        <f t="shared" si="3"/>
        <v>1</v>
      </c>
      <c r="AB9" s="711">
        <f t="shared" si="4"/>
        <v>1</v>
      </c>
      <c r="AC9" s="711">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4"/>
      <c r="M10" s="2915"/>
      <c r="N10" s="2915"/>
      <c r="O10" s="2968"/>
      <c r="P10" s="3616"/>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2045">
        <v>111</v>
      </c>
      <c r="C11" s="390"/>
      <c r="D11" s="132">
        <v>100</v>
      </c>
      <c r="E11" s="427"/>
      <c r="F11" s="383">
        <f>SUMIF(55:55,E11,56:56)-SUMIF(55:55,C11,56:56)+100</f>
        <v>100</v>
      </c>
      <c r="G11" s="427"/>
      <c r="H11" s="132">
        <f>SUMIF(55:55,G11,56:56)-SUMIF(55:55,C11,56:56)+100</f>
        <v>100</v>
      </c>
      <c r="I11" s="427"/>
      <c r="J11" s="132">
        <f>SUMIF(55:55,I11,56:56)-SUMIF(55:55,C11,56:56)+100</f>
        <v>100</v>
      </c>
      <c r="K11" s="569"/>
      <c r="L11" s="2916"/>
      <c r="M11" s="2911"/>
      <c r="N11" s="2911"/>
      <c r="O11" s="2969"/>
      <c r="P11" s="3616"/>
      <c r="Q11" s="1494">
        <f t="shared" si="6"/>
        <v>111</v>
      </c>
      <c r="R11" s="708" t="s">
        <v>17</v>
      </c>
      <c r="S11" s="709">
        <f t="shared" si="0"/>
        <v>100</v>
      </c>
      <c r="T11" s="708" t="s">
        <v>17</v>
      </c>
      <c r="U11" s="709">
        <f t="shared" si="1"/>
        <v>100</v>
      </c>
      <c r="V11" s="708" t="s">
        <v>17</v>
      </c>
      <c r="W11" s="709">
        <f t="shared" si="2"/>
        <v>100</v>
      </c>
      <c r="X11" s="710"/>
      <c r="Y11" s="3520"/>
      <c r="Z11" s="55">
        <f t="shared" si="7"/>
        <v>111</v>
      </c>
      <c r="AA11" s="711">
        <f t="shared" si="3"/>
        <v>1</v>
      </c>
      <c r="AB11" s="711">
        <f t="shared" si="4"/>
        <v>1</v>
      </c>
      <c r="AC11" s="711">
        <f t="shared" si="5"/>
        <v>1</v>
      </c>
    </row>
    <row r="12" spans="1:29" s="113" customFormat="1" ht="15">
      <c r="A12" s="389"/>
      <c r="B12" s="2045">
        <v>111</v>
      </c>
      <c r="C12" s="390"/>
      <c r="D12" s="391">
        <v>100</v>
      </c>
      <c r="E12" s="427"/>
      <c r="F12" s="383">
        <f>SUMIF(57:57,E12,58:58)-SUMIF(57:57,C12,58:58)+100</f>
        <v>100</v>
      </c>
      <c r="G12" s="427"/>
      <c r="H12" s="132">
        <f>SUMIF(57:57,G12,58:58)-SUMIF(57:57,C12,58:58)+100</f>
        <v>100</v>
      </c>
      <c r="I12" s="427"/>
      <c r="J12" s="132">
        <f>SUMIF(57:57,I12,58:58)-SUMIF(57:57,C12,58:58)+100</f>
        <v>100</v>
      </c>
      <c r="K12" s="569"/>
      <c r="L12" s="2912"/>
      <c r="M12" s="2913"/>
      <c r="N12" s="2913"/>
      <c r="O12" s="2967"/>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75" thickBot="1">
      <c r="A13" s="386"/>
      <c r="B13" s="2045">
        <v>111</v>
      </c>
      <c r="C13" s="392"/>
      <c r="D13" s="393">
        <v>100</v>
      </c>
      <c r="E13" s="427"/>
      <c r="F13" s="383">
        <f>SUMIF(59:59,E13,60:60)-SUMIF(59:59,C13,60:60)+100</f>
        <v>100</v>
      </c>
      <c r="G13" s="2127"/>
      <c r="H13" s="396">
        <f>SUMIF(59:59,G13,60:60)-SUMIF(59:59,C13,60:60)+100</f>
        <v>100</v>
      </c>
      <c r="I13" s="427"/>
      <c r="J13" s="393">
        <f>SUMIF(59:59,I13,60:60)-SUMIF(59:59,C13,60:60)+100</f>
        <v>100</v>
      </c>
      <c r="K13" s="569"/>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7"/>
      <c r="M14" s="2911"/>
      <c r="N14" s="2911"/>
      <c r="O14" s="2969"/>
      <c r="P14" s="3623" t="s">
        <v>2321</v>
      </c>
      <c r="Q14" s="1503" t="str">
        <f t="shared" si="6"/>
        <v>交通便捷度</v>
      </c>
      <c r="R14" s="712" t="s">
        <v>17</v>
      </c>
      <c r="S14" s="713">
        <f t="shared" si="0"/>
        <v>100</v>
      </c>
      <c r="T14" s="712" t="s">
        <v>17</v>
      </c>
      <c r="U14" s="713">
        <f t="shared" si="1"/>
        <v>100</v>
      </c>
      <c r="V14" s="712" t="s">
        <v>17</v>
      </c>
      <c r="W14" s="713">
        <f t="shared" si="2"/>
        <v>100</v>
      </c>
      <c r="X14" s="1506"/>
      <c r="Y14" s="3623" t="s">
        <v>2321</v>
      </c>
      <c r="Z14" s="1507" t="str">
        <f t="shared" si="7"/>
        <v>交通便捷度</v>
      </c>
      <c r="AA14" s="1504">
        <f t="shared" si="3"/>
        <v>1</v>
      </c>
      <c r="AB14" s="1504">
        <f t="shared" si="4"/>
        <v>1</v>
      </c>
      <c r="AC14" s="1504">
        <f t="shared" si="5"/>
        <v>1</v>
      </c>
    </row>
    <row r="15" spans="1:29" ht="15">
      <c r="A15" s="386"/>
      <c r="B15" s="404"/>
      <c r="C15" s="405"/>
      <c r="D15" s="406"/>
      <c r="E15" s="405"/>
      <c r="F15" s="407"/>
      <c r="G15" s="405"/>
      <c r="H15" s="408"/>
      <c r="I15" s="405"/>
      <c r="J15" s="406"/>
      <c r="K15" s="571"/>
      <c r="L15" s="2917"/>
      <c r="M15" s="2911"/>
      <c r="N15" s="2911"/>
      <c r="O15" s="2969"/>
      <c r="P15" s="3624"/>
      <c r="Q15" s="1503"/>
      <c r="R15" s="712"/>
      <c r="S15" s="713"/>
      <c r="T15" s="712"/>
      <c r="U15" s="713"/>
      <c r="V15" s="712"/>
      <c r="W15" s="713"/>
      <c r="X15" s="1506"/>
      <c r="Y15" s="3624"/>
      <c r="Z15" s="1507"/>
      <c r="AA15" s="1504">
        <v>1</v>
      </c>
      <c r="AB15" s="1504">
        <v>1</v>
      </c>
      <c r="AC15" s="1504">
        <v>1</v>
      </c>
    </row>
    <row r="16" spans="1:29" ht="42.75">
      <c r="A16" s="386"/>
      <c r="B16" s="409" t="s">
        <v>2449</v>
      </c>
      <c r="C16" s="205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7"/>
      <c r="M16" s="2911"/>
      <c r="N16" s="2911"/>
      <c r="O16" s="2969"/>
      <c r="P16" s="3624"/>
      <c r="Q16" s="1503" t="str">
        <f>B16</f>
        <v>公共配套设施</v>
      </c>
      <c r="R16" s="712" t="s">
        <v>17</v>
      </c>
      <c r="S16" s="713">
        <f>F16</f>
        <v>100</v>
      </c>
      <c r="T16" s="712" t="s">
        <v>17</v>
      </c>
      <c r="U16" s="713">
        <f>H16</f>
        <v>100</v>
      </c>
      <c r="V16" s="712" t="s">
        <v>17</v>
      </c>
      <c r="W16" s="713">
        <f>J16</f>
        <v>100</v>
      </c>
      <c r="X16" s="1506"/>
      <c r="Y16" s="3624"/>
      <c r="Z16" s="1507" t="str">
        <f>Q16</f>
        <v>公共配套设施</v>
      </c>
      <c r="AA16" s="1504">
        <f t="shared" si="3"/>
        <v>1</v>
      </c>
      <c r="AB16" s="1504">
        <f t="shared" si="4"/>
        <v>1</v>
      </c>
      <c r="AC16" s="1504">
        <f t="shared" si="5"/>
        <v>1</v>
      </c>
    </row>
    <row r="17" spans="1:29" ht="15">
      <c r="A17" s="386"/>
      <c r="B17" s="414"/>
      <c r="C17" s="2053"/>
      <c r="D17" s="406"/>
      <c r="E17" s="405"/>
      <c r="F17" s="407"/>
      <c r="G17" s="405"/>
      <c r="H17" s="406"/>
      <c r="I17" s="405"/>
      <c r="J17" s="406"/>
      <c r="K17" s="571"/>
      <c r="L17" s="2917"/>
      <c r="M17" s="2911"/>
      <c r="N17" s="2911"/>
      <c r="O17" s="2969"/>
      <c r="P17" s="3624"/>
      <c r="Q17" s="1503"/>
      <c r="R17" s="712"/>
      <c r="S17" s="713"/>
      <c r="T17" s="712"/>
      <c r="U17" s="713"/>
      <c r="V17" s="712"/>
      <c r="W17" s="713"/>
      <c r="X17" s="1506"/>
      <c r="Y17" s="3624"/>
      <c r="Z17" s="1507"/>
      <c r="AA17" s="1504">
        <v>1</v>
      </c>
      <c r="AB17" s="1504">
        <v>1</v>
      </c>
      <c r="AC17" s="1504">
        <v>1</v>
      </c>
    </row>
    <row r="18" spans="1:29" ht="28.5">
      <c r="A18" s="386"/>
      <c r="B18" s="1262" t="s">
        <v>2450</v>
      </c>
      <c r="C18" s="205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7"/>
      <c r="M18" s="2911"/>
      <c r="N18" s="2911"/>
      <c r="O18" s="2969"/>
      <c r="P18" s="3624"/>
      <c r="Q18" s="1503" t="str">
        <f>B18</f>
        <v>基础设施水平</v>
      </c>
      <c r="R18" s="712" t="s">
        <v>17</v>
      </c>
      <c r="S18" s="713">
        <f>F18</f>
        <v>100</v>
      </c>
      <c r="T18" s="712" t="s">
        <v>17</v>
      </c>
      <c r="U18" s="713">
        <f>H18</f>
        <v>100</v>
      </c>
      <c r="V18" s="712" t="s">
        <v>17</v>
      </c>
      <c r="W18" s="713">
        <f>J18</f>
        <v>100</v>
      </c>
      <c r="X18" s="1506"/>
      <c r="Y18" s="3624"/>
      <c r="Z18" s="1507" t="str">
        <f>Q18</f>
        <v>基础设施水平</v>
      </c>
      <c r="AA18" s="1504">
        <f t="shared" ref="AA18" si="8">D18/F18</f>
        <v>1</v>
      </c>
      <c r="AB18" s="1504">
        <f t="shared" ref="AB18" si="9">D18/H18</f>
        <v>1</v>
      </c>
      <c r="AC18" s="1504">
        <f t="shared" ref="AC18" si="10">D18/J18</f>
        <v>1</v>
      </c>
    </row>
    <row r="19" spans="1:29" ht="15">
      <c r="A19" s="386"/>
      <c r="B19" s="1262"/>
      <c r="C19" s="2053"/>
      <c r="D19" s="408"/>
      <c r="E19" s="2053"/>
      <c r="F19" s="411"/>
      <c r="G19" s="2053"/>
      <c r="H19" s="406"/>
      <c r="I19" s="405"/>
      <c r="J19" s="406"/>
      <c r="K19" s="1261"/>
      <c r="L19" s="2917"/>
      <c r="M19" s="2911"/>
      <c r="N19" s="2911"/>
      <c r="O19" s="2969"/>
      <c r="P19" s="3624"/>
      <c r="Q19" s="1503"/>
      <c r="R19" s="712"/>
      <c r="S19" s="713"/>
      <c r="T19" s="712"/>
      <c r="U19" s="713"/>
      <c r="V19" s="712"/>
      <c r="W19" s="713"/>
      <c r="X19" s="1506"/>
      <c r="Y19" s="3624"/>
      <c r="Z19" s="1507"/>
      <c r="AA19" s="1504">
        <v>1</v>
      </c>
      <c r="AB19" s="1504">
        <v>1</v>
      </c>
      <c r="AC19" s="1504">
        <v>1</v>
      </c>
    </row>
    <row r="20" spans="1:29" ht="57">
      <c r="A20" s="386"/>
      <c r="B20" s="409" t="s">
        <v>2471</v>
      </c>
      <c r="C20" s="205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7"/>
      <c r="M20" s="2911"/>
      <c r="N20" s="2911"/>
      <c r="O20" s="2969"/>
      <c r="P20" s="3624"/>
      <c r="Q20" s="1503" t="str">
        <f>B20</f>
        <v>自然及人文环境</v>
      </c>
      <c r="R20" s="712" t="s">
        <v>17</v>
      </c>
      <c r="S20" s="713">
        <f>F20</f>
        <v>100</v>
      </c>
      <c r="T20" s="712" t="s">
        <v>17</v>
      </c>
      <c r="U20" s="713">
        <f>H20</f>
        <v>100</v>
      </c>
      <c r="V20" s="712" t="s">
        <v>17</v>
      </c>
      <c r="W20" s="713">
        <f>J20</f>
        <v>100</v>
      </c>
      <c r="X20" s="1506"/>
      <c r="Y20" s="3624"/>
      <c r="Z20" s="1507" t="str">
        <f>Q20</f>
        <v>自然及人文环境</v>
      </c>
      <c r="AA20" s="1504">
        <f t="shared" si="3"/>
        <v>1</v>
      </c>
      <c r="AB20" s="1504">
        <f t="shared" si="4"/>
        <v>1</v>
      </c>
      <c r="AC20" s="1504">
        <f t="shared" si="5"/>
        <v>1</v>
      </c>
    </row>
    <row r="21" spans="1:29" ht="15">
      <c r="A21" s="386"/>
      <c r="B21" s="414"/>
      <c r="C21" s="405"/>
      <c r="D21" s="406"/>
      <c r="E21" s="405"/>
      <c r="F21" s="407"/>
      <c r="G21" s="405"/>
      <c r="H21" s="406"/>
      <c r="I21" s="405"/>
      <c r="J21" s="406"/>
      <c r="K21" s="571"/>
      <c r="L21" s="2917"/>
      <c r="M21" s="2911"/>
      <c r="N21" s="2911"/>
      <c r="O21" s="2969"/>
      <c r="P21" s="3624"/>
      <c r="Q21" s="1503"/>
      <c r="R21" s="712"/>
      <c r="S21" s="713"/>
      <c r="T21" s="712"/>
      <c r="U21" s="713"/>
      <c r="V21" s="712"/>
      <c r="W21" s="713"/>
      <c r="X21" s="1506"/>
      <c r="Y21" s="3624"/>
      <c r="Z21" s="1507"/>
      <c r="AA21" s="1504">
        <v>1</v>
      </c>
      <c r="AB21" s="1504">
        <v>1</v>
      </c>
      <c r="AC21" s="1504">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7"/>
      <c r="M22" s="2911"/>
      <c r="N22" s="2911"/>
      <c r="O22" s="2969"/>
      <c r="P22" s="3624"/>
      <c r="Q22" s="1503" t="str">
        <f>B22</f>
        <v>楼层</v>
      </c>
      <c r="R22" s="712" t="s">
        <v>17</v>
      </c>
      <c r="S22" s="713">
        <f>F22</f>
        <v>100</v>
      </c>
      <c r="T22" s="712" t="s">
        <v>17</v>
      </c>
      <c r="U22" s="713">
        <f>H22</f>
        <v>100</v>
      </c>
      <c r="V22" s="712" t="s">
        <v>17</v>
      </c>
      <c r="W22" s="713">
        <f>J22</f>
        <v>100</v>
      </c>
      <c r="X22" s="1506"/>
      <c r="Y22" s="3624"/>
      <c r="Z22" s="1507" t="str">
        <f>Q22</f>
        <v>楼层</v>
      </c>
      <c r="AA22" s="1504">
        <f t="shared" si="3"/>
        <v>1</v>
      </c>
      <c r="AB22" s="1504">
        <f t="shared" si="4"/>
        <v>1</v>
      </c>
      <c r="AC22" s="1504">
        <f t="shared" si="5"/>
        <v>1</v>
      </c>
    </row>
    <row r="23" spans="1:29" ht="15">
      <c r="A23" s="363"/>
      <c r="B23" s="2045">
        <v>111</v>
      </c>
      <c r="C23" s="390"/>
      <c r="D23" s="393">
        <v>100</v>
      </c>
      <c r="E23" s="392"/>
      <c r="F23" s="419">
        <f>SUMIF(71:71,E23,72:72)-SUMIF(71:71,C23,72:72)+100</f>
        <v>100</v>
      </c>
      <c r="G23" s="392"/>
      <c r="H23" s="393">
        <f>SUMIF(71:71,G23,72:72)-SUMIF(71:71,C23,72:72)+100</f>
        <v>100</v>
      </c>
      <c r="I23" s="392"/>
      <c r="J23" s="393">
        <f>SUMIF(71:71,I23,72:72)-SUMIF(71:71,C23,72:72)+100</f>
        <v>100</v>
      </c>
      <c r="K23" s="569"/>
      <c r="L23" s="2917"/>
      <c r="M23" s="2911"/>
      <c r="N23" s="2911"/>
      <c r="O23" s="2969"/>
      <c r="P23" s="3624"/>
      <c r="Q23" s="1503">
        <f>B23</f>
        <v>111</v>
      </c>
      <c r="R23" s="712" t="s">
        <v>17</v>
      </c>
      <c r="S23" s="713">
        <f>F23</f>
        <v>100</v>
      </c>
      <c r="T23" s="712" t="s">
        <v>17</v>
      </c>
      <c r="U23" s="713">
        <f>H23</f>
        <v>100</v>
      </c>
      <c r="V23" s="712" t="s">
        <v>17</v>
      </c>
      <c r="W23" s="713">
        <f>J23</f>
        <v>100</v>
      </c>
      <c r="X23" s="1506"/>
      <c r="Y23" s="3624"/>
      <c r="Z23" s="1507">
        <f>Q23</f>
        <v>111</v>
      </c>
      <c r="AA23" s="1504">
        <f t="shared" si="3"/>
        <v>1</v>
      </c>
      <c r="AB23" s="1504">
        <f t="shared" si="4"/>
        <v>1</v>
      </c>
      <c r="AC23" s="1504">
        <f t="shared" si="5"/>
        <v>1</v>
      </c>
    </row>
    <row r="24" spans="1:29" ht="15">
      <c r="A24" s="386"/>
      <c r="B24" s="2045">
        <v>111</v>
      </c>
      <c r="C24" s="390"/>
      <c r="D24" s="393">
        <v>100</v>
      </c>
      <c r="E24" s="392"/>
      <c r="F24" s="419">
        <f>SUMIF(73:73,E24,74:74)-SUMIF(73:73,C24,74:74)+100</f>
        <v>100</v>
      </c>
      <c r="G24" s="392"/>
      <c r="H24" s="393">
        <f>SUMIF(73:73,G24,74:74)-SUMIF(73:73,C24,74:74)+100</f>
        <v>100</v>
      </c>
      <c r="I24" s="392"/>
      <c r="J24" s="393">
        <f>SUMIF(73:73,I24,74:74)-SUMIF(73:73,C24,74:74)+100</f>
        <v>100</v>
      </c>
      <c r="K24" s="569"/>
      <c r="L24" s="2917"/>
      <c r="M24" s="2911"/>
      <c r="N24" s="2911"/>
      <c r="O24" s="2969"/>
      <c r="P24" s="3624"/>
      <c r="Q24" s="1503">
        <f t="shared" ref="Q24:Q34" si="11">B24</f>
        <v>111</v>
      </c>
      <c r="R24" s="712" t="s">
        <v>17</v>
      </c>
      <c r="S24" s="713">
        <f>F24</f>
        <v>100</v>
      </c>
      <c r="T24" s="712" t="s">
        <v>17</v>
      </c>
      <c r="U24" s="713">
        <f>H24</f>
        <v>100</v>
      </c>
      <c r="V24" s="712" t="s">
        <v>17</v>
      </c>
      <c r="W24" s="713">
        <f>J24</f>
        <v>100</v>
      </c>
      <c r="X24" s="1506"/>
      <c r="Y24" s="3624"/>
      <c r="Z24" s="1507">
        <f>Q24</f>
        <v>111</v>
      </c>
      <c r="AA24" s="1504">
        <f t="shared" si="3"/>
        <v>1</v>
      </c>
      <c r="AB24" s="1504">
        <f t="shared" si="4"/>
        <v>1</v>
      </c>
      <c r="AC24" s="1504">
        <f t="shared" si="5"/>
        <v>1</v>
      </c>
    </row>
    <row r="25" spans="1:29" s="113" customFormat="1" ht="15.75" thickBot="1">
      <c r="A25" s="389"/>
      <c r="B25" s="2045">
        <v>111</v>
      </c>
      <c r="C25" s="2128"/>
      <c r="D25" s="620">
        <v>100</v>
      </c>
      <c r="E25" s="2128"/>
      <c r="F25" s="621">
        <f>SUMIF(75:75,E25,76:76)-SUMIF(75:75,C25,76:76)+100</f>
        <v>100</v>
      </c>
      <c r="G25" s="2128"/>
      <c r="H25" s="620">
        <f>SUMIF(75:75,G25,76:76)-SUMIF(75:75,C25,76:76)+100</f>
        <v>100</v>
      </c>
      <c r="I25" s="2128"/>
      <c r="J25" s="620">
        <f>SUMIF(75:75,I25,76:76)-SUMIF(75:75,C25,76:76)+100</f>
        <v>100</v>
      </c>
      <c r="K25" s="569"/>
      <c r="L25" s="2912"/>
      <c r="M25" s="2913"/>
      <c r="N25" s="2913"/>
      <c r="O25" s="2967"/>
      <c r="P25" s="3624"/>
      <c r="Q25" s="1494">
        <f t="shared" si="11"/>
        <v>111</v>
      </c>
      <c r="R25" s="708" t="s">
        <v>17</v>
      </c>
      <c r="S25" s="709">
        <f>F25</f>
        <v>100</v>
      </c>
      <c r="T25" s="708" t="s">
        <v>17</v>
      </c>
      <c r="U25" s="709">
        <f>H25</f>
        <v>100</v>
      </c>
      <c r="V25" s="708" t="s">
        <v>17</v>
      </c>
      <c r="W25" s="709">
        <f>J25</f>
        <v>100</v>
      </c>
      <c r="X25" s="710"/>
      <c r="Y25" s="3624"/>
      <c r="Z25" s="55">
        <f>Q25</f>
        <v>111</v>
      </c>
      <c r="AA25" s="1504">
        <f>D25/F25</f>
        <v>1</v>
      </c>
      <c r="AB25" s="1504">
        <f>D25/H25</f>
        <v>1</v>
      </c>
      <c r="AC25" s="1504">
        <f>D25/J25</f>
        <v>1</v>
      </c>
    </row>
    <row r="26" spans="1:29" ht="1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7"/>
      <c r="M26" s="2911"/>
      <c r="N26" s="2911"/>
      <c r="O26" s="2969"/>
      <c r="P26" s="3743" t="s">
        <v>2326</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628" t="s">
        <v>2326</v>
      </c>
      <c r="Z26" s="1507" t="str">
        <f t="shared" ref="Z26:Z34" si="15">Q26</f>
        <v>公共部分装修</v>
      </c>
      <c r="AA26" s="1504">
        <f t="shared" si="3"/>
        <v>1</v>
      </c>
      <c r="AB26" s="1504">
        <f t="shared" si="4"/>
        <v>1</v>
      </c>
      <c r="AC26" s="1504">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6"/>
      <c r="M27" s="2918"/>
      <c r="N27" s="2918"/>
      <c r="O27" s="2970"/>
      <c r="P27" s="3628"/>
      <c r="Q27" s="714" t="str">
        <f t="shared" si="11"/>
        <v>成新率</v>
      </c>
      <c r="R27" s="715" t="s">
        <v>17</v>
      </c>
      <c r="S27" s="716" t="e">
        <f t="shared" si="12"/>
        <v>#N/A</v>
      </c>
      <c r="T27" s="715" t="s">
        <v>17</v>
      </c>
      <c r="U27" s="716" t="e">
        <f t="shared" si="13"/>
        <v>#N/A</v>
      </c>
      <c r="V27" s="715" t="s">
        <v>17</v>
      </c>
      <c r="W27" s="716" t="e">
        <f t="shared" si="14"/>
        <v>#N/A</v>
      </c>
      <c r="X27" s="717"/>
      <c r="Y27" s="3628"/>
      <c r="Z27" s="718" t="str">
        <f t="shared" si="15"/>
        <v>成新率</v>
      </c>
      <c r="AA27" s="1504" t="e">
        <f t="shared" si="3"/>
        <v>#N/A</v>
      </c>
      <c r="AB27" s="1504" t="e">
        <f t="shared" si="4"/>
        <v>#N/A</v>
      </c>
      <c r="AC27" s="1504"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7"/>
      <c r="M28" s="2911"/>
      <c r="N28" s="2911"/>
      <c r="O28" s="2969"/>
      <c r="P28" s="3628"/>
      <c r="Q28" s="1503" t="str">
        <f t="shared" si="11"/>
        <v>物业等级</v>
      </c>
      <c r="R28" s="712" t="s">
        <v>17</v>
      </c>
      <c r="S28" s="713">
        <f t="shared" si="12"/>
        <v>100</v>
      </c>
      <c r="T28" s="712" t="s">
        <v>17</v>
      </c>
      <c r="U28" s="713">
        <f t="shared" si="13"/>
        <v>100</v>
      </c>
      <c r="V28" s="712" t="s">
        <v>17</v>
      </c>
      <c r="W28" s="713">
        <f t="shared" si="14"/>
        <v>100</v>
      </c>
      <c r="X28" s="1506"/>
      <c r="Y28" s="3628"/>
      <c r="Z28" s="1507" t="str">
        <f t="shared" si="15"/>
        <v>物业等级</v>
      </c>
      <c r="AA28" s="1504">
        <f t="shared" si="3"/>
        <v>1</v>
      </c>
      <c r="AB28" s="1504">
        <f t="shared" si="4"/>
        <v>1</v>
      </c>
      <c r="AC28" s="1504">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7"/>
      <c r="M29" s="2911"/>
      <c r="N29" s="2911"/>
      <c r="O29" s="2969"/>
      <c r="P29" s="3628"/>
      <c r="Q29" s="1503" t="str">
        <f t="shared" si="11"/>
        <v>有无电梯</v>
      </c>
      <c r="R29" s="712" t="s">
        <v>17</v>
      </c>
      <c r="S29" s="713">
        <f t="shared" si="12"/>
        <v>100</v>
      </c>
      <c r="T29" s="712" t="s">
        <v>17</v>
      </c>
      <c r="U29" s="713">
        <f t="shared" si="13"/>
        <v>100</v>
      </c>
      <c r="V29" s="712" t="s">
        <v>17</v>
      </c>
      <c r="W29" s="713">
        <f t="shared" si="14"/>
        <v>100</v>
      </c>
      <c r="X29" s="1506"/>
      <c r="Y29" s="3628"/>
      <c r="Z29" s="1507" t="str">
        <f t="shared" si="15"/>
        <v>有无电梯</v>
      </c>
      <c r="AA29" s="1504">
        <f t="shared" si="3"/>
        <v>1</v>
      </c>
      <c r="AB29" s="1504">
        <f t="shared" si="4"/>
        <v>1</v>
      </c>
      <c r="AC29" s="1504">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7"/>
      <c r="M30" s="2911"/>
      <c r="N30" s="2911"/>
      <c r="O30" s="2969"/>
      <c r="P30" s="3628"/>
      <c r="Q30" s="1503" t="str">
        <f t="shared" si="11"/>
        <v>建筑面积</v>
      </c>
      <c r="R30" s="712" t="s">
        <v>17</v>
      </c>
      <c r="S30" s="713" t="e">
        <f t="shared" si="12"/>
        <v>#N/A</v>
      </c>
      <c r="T30" s="712" t="s">
        <v>17</v>
      </c>
      <c r="U30" s="713" t="e">
        <f t="shared" si="13"/>
        <v>#N/A</v>
      </c>
      <c r="V30" s="712" t="s">
        <v>17</v>
      </c>
      <c r="W30" s="713" t="e">
        <f t="shared" si="14"/>
        <v>#N/A</v>
      </c>
      <c r="X30" s="1506"/>
      <c r="Y30" s="3628"/>
      <c r="Z30" s="1507" t="str">
        <f t="shared" si="15"/>
        <v>建筑面积</v>
      </c>
      <c r="AA30" s="1504" t="e">
        <f t="shared" si="3"/>
        <v>#N/A</v>
      </c>
      <c r="AB30" s="1504" t="e">
        <f t="shared" si="4"/>
        <v>#N/A</v>
      </c>
      <c r="AC30" s="1504"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2"/>
      <c r="M31" s="2913"/>
      <c r="N31" s="2913"/>
      <c r="O31" s="2967"/>
      <c r="P31" s="3628"/>
      <c r="Q31" s="1494" t="str">
        <f t="shared" si="11"/>
        <v>是否封闭</v>
      </c>
      <c r="R31" s="708" t="s">
        <v>17</v>
      </c>
      <c r="S31" s="709">
        <f t="shared" si="12"/>
        <v>100</v>
      </c>
      <c r="T31" s="708" t="s">
        <v>17</v>
      </c>
      <c r="U31" s="709">
        <f t="shared" si="13"/>
        <v>100</v>
      </c>
      <c r="V31" s="708" t="s">
        <v>17</v>
      </c>
      <c r="W31" s="709">
        <f t="shared" si="14"/>
        <v>100</v>
      </c>
      <c r="X31" s="710"/>
      <c r="Y31" s="3628"/>
      <c r="Z31" s="55" t="str">
        <f t="shared" si="15"/>
        <v>是否封闭</v>
      </c>
      <c r="AA31" s="711">
        <f t="shared" si="3"/>
        <v>1</v>
      </c>
      <c r="AB31" s="711">
        <f t="shared" si="4"/>
        <v>1</v>
      </c>
      <c r="AC31" s="711">
        <f t="shared" si="5"/>
        <v>1</v>
      </c>
    </row>
    <row r="32" spans="1:29" ht="15">
      <c r="A32" s="430"/>
      <c r="B32" s="2045">
        <v>111</v>
      </c>
      <c r="C32" s="390"/>
      <c r="D32" s="393">
        <v>100</v>
      </c>
      <c r="E32" s="427"/>
      <c r="F32" s="419">
        <f>SUMIF(91:91,E32,92:92)-SUMIF(91:91,C32,92:92)+100</f>
        <v>100</v>
      </c>
      <c r="G32" s="427"/>
      <c r="H32" s="393">
        <f>SUMIF(91:91,G32,92:92)-SUMIF(91:91,C32,92:92)+100</f>
        <v>100</v>
      </c>
      <c r="I32" s="427"/>
      <c r="J32" s="393">
        <f>SUMIF(91:91,I32,92:92)-SUMIF(91:91,C32,92:92)+100</f>
        <v>100</v>
      </c>
      <c r="K32" s="569"/>
      <c r="L32" s="2917"/>
      <c r="M32" s="2911"/>
      <c r="N32" s="2911"/>
      <c r="O32" s="2969"/>
      <c r="P32" s="3628" t="s">
        <v>2326</v>
      </c>
      <c r="Q32" s="1503">
        <f t="shared" si="11"/>
        <v>111</v>
      </c>
      <c r="R32" s="712" t="s">
        <v>17</v>
      </c>
      <c r="S32" s="713">
        <f t="shared" si="12"/>
        <v>100</v>
      </c>
      <c r="T32" s="712" t="s">
        <v>17</v>
      </c>
      <c r="U32" s="713">
        <f t="shared" si="13"/>
        <v>100</v>
      </c>
      <c r="V32" s="712" t="s">
        <v>17</v>
      </c>
      <c r="W32" s="713">
        <f t="shared" si="14"/>
        <v>100</v>
      </c>
      <c r="X32" s="1506"/>
      <c r="Y32" s="3628" t="s">
        <v>2326</v>
      </c>
      <c r="Z32" s="1507">
        <f t="shared" si="15"/>
        <v>111</v>
      </c>
      <c r="AA32" s="1504">
        <f t="shared" si="3"/>
        <v>1</v>
      </c>
      <c r="AB32" s="1504">
        <f t="shared" si="4"/>
        <v>1</v>
      </c>
      <c r="AC32" s="1504">
        <f t="shared" si="5"/>
        <v>1</v>
      </c>
    </row>
    <row r="33" spans="1:30" ht="15">
      <c r="A33" s="430"/>
      <c r="B33" s="2045">
        <v>111</v>
      </c>
      <c r="C33" s="390"/>
      <c r="D33" s="393">
        <v>100</v>
      </c>
      <c r="E33" s="427"/>
      <c r="F33" s="419">
        <f>SUMIF(93:93,E33,94:94)-SUMIF(93:93,C33,94:94)+100</f>
        <v>100</v>
      </c>
      <c r="G33" s="427"/>
      <c r="H33" s="393">
        <f>SUMIF(93:93,G33,94:94)-SUMIF(93:93,C33,94:94)+100</f>
        <v>100</v>
      </c>
      <c r="I33" s="427"/>
      <c r="J33" s="393">
        <f>SUMIF(93:93,I33,94:94)-SUMIF(93:93,C33,94:94)+100</f>
        <v>100</v>
      </c>
      <c r="K33" s="569"/>
      <c r="L33" s="2917"/>
      <c r="M33" s="2911"/>
      <c r="N33" s="2911"/>
      <c r="O33" s="2969"/>
      <c r="P33" s="3628"/>
      <c r="Q33" s="1503">
        <f t="shared" si="11"/>
        <v>111</v>
      </c>
      <c r="R33" s="712" t="s">
        <v>17</v>
      </c>
      <c r="S33" s="713">
        <f t="shared" si="12"/>
        <v>100</v>
      </c>
      <c r="T33" s="712" t="s">
        <v>17</v>
      </c>
      <c r="U33" s="713">
        <f t="shared" si="13"/>
        <v>100</v>
      </c>
      <c r="V33" s="712" t="s">
        <v>17</v>
      </c>
      <c r="W33" s="713">
        <f t="shared" si="14"/>
        <v>100</v>
      </c>
      <c r="X33" s="1506"/>
      <c r="Y33" s="3628"/>
      <c r="Z33" s="1507">
        <f t="shared" si="15"/>
        <v>111</v>
      </c>
      <c r="AA33" s="1504">
        <f t="shared" si="3"/>
        <v>1</v>
      </c>
      <c r="AB33" s="1504">
        <f t="shared" si="4"/>
        <v>1</v>
      </c>
      <c r="AC33" s="1504">
        <f t="shared" si="5"/>
        <v>1</v>
      </c>
    </row>
    <row r="34" spans="1:30" ht="15.75" thickBot="1">
      <c r="A34" s="436"/>
      <c r="B34" s="2047">
        <v>111</v>
      </c>
      <c r="C34" s="395"/>
      <c r="D34" s="396">
        <v>100</v>
      </c>
      <c r="E34" s="2127"/>
      <c r="F34" s="397">
        <f>SUMIF(95:95,E34,96:96)-SUMIF(95:95,C34,96:96)+100</f>
        <v>100</v>
      </c>
      <c r="G34" s="2127"/>
      <c r="H34" s="396">
        <f>SUMIF(95:95,G34,96:96)-SUMIF(95:95,C34,96:96)+100</f>
        <v>100</v>
      </c>
      <c r="I34" s="2127"/>
      <c r="J34" s="396">
        <f>SUMIF(95:95,I34,96:96)-SUMIF(95:95,C34,96:96)+100</f>
        <v>100</v>
      </c>
      <c r="K34" s="569"/>
      <c r="L34" s="2917"/>
      <c r="M34" s="2911"/>
      <c r="N34" s="2911"/>
      <c r="O34" s="2969"/>
      <c r="P34" s="3628"/>
      <c r="Q34" s="1503">
        <f t="shared" si="11"/>
        <v>111</v>
      </c>
      <c r="R34" s="712" t="s">
        <v>17</v>
      </c>
      <c r="S34" s="713">
        <f t="shared" si="12"/>
        <v>100</v>
      </c>
      <c r="T34" s="712" t="s">
        <v>17</v>
      </c>
      <c r="U34" s="713">
        <f t="shared" si="13"/>
        <v>100</v>
      </c>
      <c r="V34" s="712" t="s">
        <v>17</v>
      </c>
      <c r="W34" s="713">
        <f t="shared" si="14"/>
        <v>100</v>
      </c>
      <c r="X34" s="1506"/>
      <c r="Y34" s="3628"/>
      <c r="Z34" s="1507">
        <f t="shared" si="15"/>
        <v>111</v>
      </c>
      <c r="AA34" s="1504">
        <f t="shared" si="3"/>
        <v>1</v>
      </c>
      <c r="AB34" s="1504">
        <f t="shared" si="4"/>
        <v>1</v>
      </c>
      <c r="AC34" s="1504">
        <f t="shared" si="5"/>
        <v>1</v>
      </c>
    </row>
    <row r="35" spans="1:30" ht="15">
      <c r="A35" s="437" t="s">
        <v>2338</v>
      </c>
      <c r="B35" s="438"/>
      <c r="C35" s="1285" t="s">
        <v>1</v>
      </c>
      <c r="D35" s="1286"/>
      <c r="E35" s="1287"/>
      <c r="F35" s="1288"/>
      <c r="G35" s="1289"/>
      <c r="H35" s="1290"/>
      <c r="I35" s="1287"/>
      <c r="J35" s="1290"/>
      <c r="K35" s="721"/>
      <c r="L35" s="2919"/>
      <c r="M35" s="2920"/>
      <c r="N35" s="2911"/>
      <c r="O35" s="2920"/>
      <c r="P35" s="3616" t="str">
        <f>A35</f>
        <v>成交单价（元/平方米）</v>
      </c>
      <c r="Q35" s="3616"/>
      <c r="R35" s="3617">
        <f>E35</f>
        <v>0</v>
      </c>
      <c r="S35" s="3617"/>
      <c r="T35" s="3617">
        <f>G35</f>
        <v>0</v>
      </c>
      <c r="U35" s="3617"/>
      <c r="V35" s="3617">
        <f>I35</f>
        <v>0</v>
      </c>
      <c r="W35" s="3617"/>
      <c r="X35" s="697"/>
      <c r="Y35" s="719"/>
      <c r="Z35" s="697"/>
      <c r="AA35" s="697"/>
      <c r="AB35" s="697"/>
      <c r="AC35" s="697"/>
    </row>
    <row r="36" spans="1:30" ht="15.75" thickBot="1">
      <c r="A36" s="444" t="s">
        <v>2430</v>
      </c>
      <c r="B36" s="445"/>
      <c r="C36" s="1291" t="e">
        <f>R37</f>
        <v>#DIV/0!</v>
      </c>
      <c r="D36" s="2504" t="s">
        <v>2816</v>
      </c>
      <c r="E36" s="1292" t="e">
        <f>R36</f>
        <v>#DIV/0!</v>
      </c>
      <c r="F36" s="2505"/>
      <c r="G36" s="1291" t="e">
        <f>T36</f>
        <v>#DIV/0!</v>
      </c>
      <c r="H36" s="2505"/>
      <c r="I36" s="1292" t="e">
        <f>V36</f>
        <v>#DIV/0!</v>
      </c>
      <c r="J36" s="2505"/>
      <c r="K36" s="2507">
        <f>F36+H36+J36</f>
        <v>0</v>
      </c>
      <c r="L36" s="2919"/>
      <c r="M36" s="2920"/>
      <c r="N36" s="2911"/>
      <c r="O36" s="2920"/>
      <c r="P36" s="3616" t="str">
        <f>A36</f>
        <v>比较价值（元/平方米）</v>
      </c>
      <c r="Q36" s="3616"/>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697"/>
      <c r="Y36" s="697"/>
      <c r="Z36" s="697"/>
      <c r="AA36" s="697"/>
      <c r="AB36" s="697"/>
      <c r="AC36" s="697"/>
    </row>
    <row r="37" spans="1:30" ht="15.75" thickBot="1">
      <c r="A37" s="448" t="s">
        <v>2431</v>
      </c>
      <c r="B37" s="449"/>
      <c r="C37" s="1294" t="e">
        <f>R37</f>
        <v>#DIV/0!</v>
      </c>
      <c r="D37" s="1294"/>
      <c r="E37" s="1294"/>
      <c r="F37" s="1294"/>
      <c r="G37" s="1294"/>
      <c r="H37" s="1294"/>
      <c r="I37" s="1294"/>
      <c r="J37" s="1294"/>
      <c r="K37" s="722"/>
      <c r="L37" s="2919"/>
      <c r="M37" s="2920"/>
      <c r="N37" s="2920"/>
      <c r="O37" s="2920"/>
      <c r="P37" s="3618" t="str">
        <f>A37</f>
        <v>估价对象XX用房的比较价值（楼面单价，元/平方米）</v>
      </c>
      <c r="Q37" s="3619"/>
      <c r="R37" s="3742" t="e">
        <f>IF(F1="售价",ROUND(IF(D36="简单平均",AVERAGE(R36:W36),R36*F36+T36*H36+V36*J36),0),ROUND(IF(D36="简单平均",AVERAGE(R36:V36),R36*F36+T36*H36+V36*J36),1))</f>
        <v>#DIV/0!</v>
      </c>
      <c r="S37" s="3742"/>
      <c r="T37" s="3742"/>
      <c r="U37" s="3742"/>
      <c r="V37" s="3742"/>
      <c r="W37" s="3742"/>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8" customFormat="1" ht="13.5" customHeight="1">
      <c r="A42" s="2923"/>
      <c r="B42" s="2923"/>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8"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2435</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4" customFormat="1" ht="15">
      <c r="A46" s="461" t="s">
        <v>2309</v>
      </c>
      <c r="B46" s="462"/>
      <c r="C46" s="1315" t="str">
        <f>YEAR(C7)&amp;"-"&amp;MONTH(C7)</f>
        <v>2022-7</v>
      </c>
      <c r="D46" s="1316">
        <f>EDATE(C46,-1)</f>
        <v>44713</v>
      </c>
      <c r="E46" s="1316">
        <f t="shared" ref="E46:O46" si="16">EDATE(D46,-1)</f>
        <v>44682</v>
      </c>
      <c r="F46" s="1316">
        <f t="shared" si="16"/>
        <v>44652</v>
      </c>
      <c r="G46" s="1316">
        <f t="shared" si="16"/>
        <v>44621</v>
      </c>
      <c r="H46" s="1316">
        <f t="shared" si="16"/>
        <v>44593</v>
      </c>
      <c r="I46" s="1316">
        <f t="shared" si="16"/>
        <v>44562</v>
      </c>
      <c r="J46" s="1316">
        <f t="shared" si="16"/>
        <v>44531</v>
      </c>
      <c r="K46" s="1316">
        <f t="shared" si="16"/>
        <v>44501</v>
      </c>
      <c r="L46" s="1316">
        <f t="shared" si="16"/>
        <v>44470</v>
      </c>
      <c r="M46" s="1316">
        <f t="shared" si="16"/>
        <v>44440</v>
      </c>
      <c r="N46" s="1316">
        <f t="shared" si="16"/>
        <v>44409</v>
      </c>
      <c r="O46" s="1316">
        <f t="shared" si="16"/>
        <v>44378</v>
      </c>
      <c r="P46" s="2971"/>
      <c r="Q46" s="2936"/>
      <c r="R46" s="2936"/>
      <c r="S46" s="2936"/>
      <c r="T46" s="2936"/>
      <c r="U46" s="2936"/>
      <c r="V46" s="2936"/>
      <c r="W46" s="2936"/>
      <c r="X46" s="2936"/>
      <c r="Y46" s="2936"/>
      <c r="Z46" s="2936"/>
      <c r="AA46" s="2936"/>
      <c r="AB46" s="2936"/>
      <c r="AC46" s="2936"/>
      <c r="AD46" s="2936"/>
    </row>
    <row r="47" spans="1:30" s="113" customFormat="1" ht="15">
      <c r="A47" s="465"/>
      <c r="B47" s="466"/>
      <c r="C47" s="1314">
        <v>100</v>
      </c>
      <c r="D47" s="468"/>
      <c r="E47" s="468"/>
      <c r="F47" s="468"/>
      <c r="G47" s="468"/>
      <c r="H47" s="468"/>
      <c r="I47" s="468"/>
      <c r="J47" s="468"/>
      <c r="K47" s="468"/>
      <c r="L47" s="468"/>
      <c r="M47" s="469"/>
      <c r="N47" s="468"/>
      <c r="O47" s="470"/>
      <c r="P47" s="2934"/>
      <c r="Q47" s="2854"/>
      <c r="R47" s="2854"/>
      <c r="S47" s="2854"/>
      <c r="T47" s="2854"/>
      <c r="U47" s="2854"/>
      <c r="V47" s="2854"/>
      <c r="W47" s="2854"/>
      <c r="X47" s="2854"/>
      <c r="Y47" s="2854"/>
      <c r="Z47" s="2854"/>
      <c r="AA47" s="2854"/>
      <c r="AB47" s="2854"/>
      <c r="AC47" s="2854"/>
      <c r="AD47" s="2854"/>
    </row>
    <row r="48" spans="1:30" s="113" customFormat="1" ht="15.75" thickBot="1">
      <c r="A48" s="471" t="s">
        <v>2346</v>
      </c>
      <c r="B48" s="472"/>
      <c r="C48" s="473"/>
      <c r="D48" s="474"/>
      <c r="E48" s="474"/>
      <c r="F48" s="474"/>
      <c r="G48" s="474"/>
      <c r="H48" s="474"/>
      <c r="I48" s="474"/>
      <c r="J48" s="474"/>
      <c r="K48" s="474"/>
      <c r="L48" s="474"/>
      <c r="M48" s="475"/>
      <c r="N48" s="474"/>
      <c r="O48" s="476"/>
      <c r="P48" s="2934"/>
      <c r="Q48" s="2934"/>
      <c r="R48" s="2854"/>
      <c r="S48" s="2854"/>
      <c r="T48" s="2854"/>
      <c r="U48" s="2854"/>
      <c r="V48" s="2854"/>
      <c r="W48" s="2854"/>
      <c r="X48" s="2854"/>
      <c r="Y48" s="2854"/>
      <c r="Z48" s="2854"/>
      <c r="AA48" s="2854"/>
      <c r="AB48" s="2854"/>
      <c r="AC48" s="2854"/>
      <c r="AD48" s="2854"/>
    </row>
    <row r="49" spans="1:30" s="113" customFormat="1" ht="15">
      <c r="A49" s="477" t="s">
        <v>2311</v>
      </c>
      <c r="B49" s="466"/>
      <c r="C49" s="478" t="s">
        <v>2413</v>
      </c>
      <c r="D49" s="479"/>
      <c r="E49" s="479"/>
      <c r="F49" s="479"/>
      <c r="G49" s="479"/>
      <c r="H49" s="479"/>
      <c r="I49" s="479"/>
      <c r="J49" s="479"/>
      <c r="K49" s="479"/>
      <c r="L49" s="480"/>
      <c r="M49" s="481"/>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7"/>
      <c r="B50" s="466"/>
      <c r="C50" s="594">
        <v>100</v>
      </c>
      <c r="D50" s="468"/>
      <c r="E50" s="468"/>
      <c r="F50" s="468"/>
      <c r="G50" s="468"/>
      <c r="H50" s="468"/>
      <c r="I50" s="468"/>
      <c r="J50" s="468"/>
      <c r="K50" s="468"/>
      <c r="L50" s="468"/>
      <c r="M50" s="470"/>
      <c r="N50" s="2947"/>
      <c r="O50" s="2947"/>
      <c r="P50" s="2934"/>
      <c r="Q50" s="2934"/>
      <c r="R50" s="2854"/>
      <c r="S50" s="2854"/>
      <c r="T50" s="2854"/>
      <c r="U50" s="2854"/>
      <c r="V50" s="2854"/>
      <c r="W50" s="2854"/>
      <c r="X50" s="2854"/>
      <c r="Y50" s="2854"/>
      <c r="Z50" s="2854"/>
      <c r="AA50" s="2854"/>
      <c r="AB50" s="2854"/>
      <c r="AC50" s="2854"/>
      <c r="AD50" s="2854"/>
    </row>
    <row r="51" spans="1:30">
      <c r="A51" s="483" t="s">
        <v>2349</v>
      </c>
      <c r="B51" s="484" t="s">
        <v>2315</v>
      </c>
      <c r="C51" s="485">
        <f>C9</f>
        <v>0</v>
      </c>
      <c r="D51" s="486"/>
      <c r="E51" s="486"/>
      <c r="F51" s="486"/>
      <c r="G51" s="486"/>
      <c r="H51" s="486"/>
      <c r="I51" s="486"/>
      <c r="J51" s="486"/>
      <c r="K51" s="487"/>
      <c r="L51" s="488"/>
      <c r="M51" s="489"/>
      <c r="N51" s="2948"/>
      <c r="O51" s="2948"/>
      <c r="P51" s="2973"/>
      <c r="Q51" s="2934"/>
      <c r="R51" s="2920"/>
      <c r="S51" s="2920"/>
      <c r="T51" s="2920"/>
      <c r="U51" s="2920"/>
      <c r="V51" s="2920"/>
      <c r="W51" s="2920"/>
      <c r="X51" s="2920"/>
      <c r="Y51" s="2920"/>
      <c r="Z51" s="2920"/>
      <c r="AA51" s="2920"/>
      <c r="AB51" s="2920"/>
      <c r="AC51" s="2920"/>
      <c r="AD51" s="2920"/>
    </row>
    <row r="52" spans="1:30" ht="15.75" thickBot="1">
      <c r="A52" s="490"/>
      <c r="B52" s="491"/>
      <c r="C52" s="492">
        <v>100</v>
      </c>
      <c r="D52" s="492"/>
      <c r="E52" s="492"/>
      <c r="F52" s="492"/>
      <c r="G52" s="492"/>
      <c r="H52" s="492"/>
      <c r="I52" s="492"/>
      <c r="J52" s="492"/>
      <c r="K52" s="492"/>
      <c r="L52" s="492"/>
      <c r="M52" s="493"/>
      <c r="N52" s="2949"/>
      <c r="O52" s="2949"/>
      <c r="P52" s="2973"/>
      <c r="Q52" s="2934"/>
      <c r="R52" s="2920"/>
      <c r="S52" s="2920"/>
      <c r="T52" s="2920"/>
      <c r="U52" s="2920"/>
      <c r="V52" s="2920"/>
      <c r="W52" s="2920"/>
      <c r="X52" s="2920"/>
      <c r="Y52" s="2920"/>
      <c r="Z52" s="2920"/>
      <c r="AA52" s="2920"/>
      <c r="AB52" s="2920"/>
      <c r="AC52" s="2920"/>
      <c r="AD52" s="2920"/>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8"/>
      <c r="O53" s="2948"/>
      <c r="P53" s="2973"/>
      <c r="Q53" s="2934"/>
      <c r="R53" s="2920"/>
      <c r="S53" s="2920"/>
      <c r="T53" s="2920"/>
      <c r="U53" s="2920"/>
      <c r="V53" s="2920"/>
      <c r="W53" s="2920"/>
      <c r="X53" s="2920"/>
      <c r="Y53" s="2920"/>
      <c r="Z53" s="2920"/>
      <c r="AA53" s="2920"/>
      <c r="AB53" s="2920"/>
      <c r="AC53" s="2920"/>
      <c r="AD53" s="292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9"/>
      <c r="O54" s="2949"/>
      <c r="P54" s="2973"/>
      <c r="Q54" s="2934"/>
      <c r="R54" s="2920"/>
      <c r="S54" s="2920"/>
      <c r="T54" s="2920"/>
      <c r="U54" s="2920"/>
      <c r="V54" s="2920"/>
      <c r="W54" s="2920"/>
      <c r="X54" s="2920"/>
      <c r="Y54" s="2920"/>
      <c r="Z54" s="2920"/>
      <c r="AA54" s="2920"/>
      <c r="AB54" s="2920"/>
      <c r="AC54" s="2920"/>
      <c r="AD54" s="2920"/>
    </row>
    <row r="55" spans="1:30" ht="15.75" thickTop="1">
      <c r="A55" s="490"/>
      <c r="B55" s="615">
        <f>B11</f>
        <v>111</v>
      </c>
      <c r="C55" s="505"/>
      <c r="D55" s="505"/>
      <c r="E55" s="505"/>
      <c r="F55" s="505"/>
      <c r="G55" s="505"/>
      <c r="H55" s="505"/>
      <c r="I55" s="505"/>
      <c r="J55" s="505"/>
      <c r="K55" s="506"/>
      <c r="L55" s="507"/>
      <c r="M55" s="508"/>
      <c r="N55" s="2948"/>
      <c r="O55" s="2948"/>
      <c r="P55" s="2973"/>
      <c r="Q55" s="2934"/>
      <c r="R55" s="2920"/>
      <c r="S55" s="2920"/>
      <c r="T55" s="2920"/>
      <c r="U55" s="2920"/>
      <c r="V55" s="2920"/>
      <c r="W55" s="2920"/>
      <c r="X55" s="2920"/>
      <c r="Y55" s="2920"/>
      <c r="Z55" s="2920"/>
      <c r="AA55" s="2920"/>
      <c r="AB55" s="2920"/>
      <c r="AC55" s="2920"/>
      <c r="AD55" s="2920"/>
    </row>
    <row r="56" spans="1:30" ht="15.75" thickBot="1">
      <c r="A56" s="490"/>
      <c r="B56" s="491"/>
      <c r="C56" s="516"/>
      <c r="D56" s="492"/>
      <c r="E56" s="492"/>
      <c r="F56" s="492"/>
      <c r="G56" s="492"/>
      <c r="H56" s="492"/>
      <c r="I56" s="492"/>
      <c r="J56" s="492"/>
      <c r="K56" s="492"/>
      <c r="L56" s="492"/>
      <c r="M56" s="493"/>
      <c r="N56" s="2949"/>
      <c r="O56" s="2949"/>
      <c r="P56" s="2973"/>
      <c r="Q56" s="2934"/>
      <c r="R56" s="2920"/>
      <c r="S56" s="2920"/>
      <c r="T56" s="2920"/>
      <c r="U56" s="2920"/>
      <c r="V56" s="2920"/>
      <c r="W56" s="2920"/>
      <c r="X56" s="2920"/>
      <c r="Y56" s="2920"/>
      <c r="Z56" s="2920"/>
      <c r="AA56" s="2920"/>
      <c r="AB56" s="2920"/>
      <c r="AC56" s="2920"/>
      <c r="AD56" s="2920"/>
    </row>
    <row r="57" spans="1:30" s="429" customFormat="1" ht="15.75" thickTop="1">
      <c r="A57" s="509"/>
      <c r="B57" s="494">
        <f>B12</f>
        <v>111</v>
      </c>
      <c r="C57" s="505"/>
      <c r="D57" s="505"/>
      <c r="E57" s="505"/>
      <c r="F57" s="505"/>
      <c r="G57" s="510"/>
      <c r="H57" s="511"/>
      <c r="I57" s="511"/>
      <c r="J57" s="511"/>
      <c r="K57" s="511"/>
      <c r="L57" s="512"/>
      <c r="M57" s="513"/>
      <c r="N57" s="2950"/>
      <c r="O57" s="2950"/>
      <c r="P57" s="2974"/>
      <c r="Q57" s="2941"/>
      <c r="R57" s="2942"/>
      <c r="S57" s="2942"/>
      <c r="T57" s="2942"/>
      <c r="U57" s="2942"/>
      <c r="V57" s="2942"/>
      <c r="W57" s="2942"/>
      <c r="X57" s="2942"/>
      <c r="Y57" s="2942"/>
      <c r="Z57" s="2942"/>
      <c r="AA57" s="2942"/>
      <c r="AB57" s="2942"/>
      <c r="AC57" s="2942"/>
      <c r="AD57" s="2942"/>
    </row>
    <row r="58" spans="1:30" s="429" customFormat="1" ht="15.75" thickBot="1">
      <c r="A58" s="509"/>
      <c r="B58" s="499"/>
      <c r="C58" s="516"/>
      <c r="D58" s="492"/>
      <c r="E58" s="492"/>
      <c r="F58" s="492"/>
      <c r="G58" s="492"/>
      <c r="H58" s="492"/>
      <c r="I58" s="492"/>
      <c r="J58" s="492"/>
      <c r="K58" s="492"/>
      <c r="L58" s="492"/>
      <c r="M58" s="493"/>
      <c r="N58" s="2949"/>
      <c r="O58" s="2949"/>
      <c r="P58" s="2974"/>
      <c r="Q58" s="2941"/>
      <c r="R58" s="2942"/>
      <c r="S58" s="2942"/>
      <c r="T58" s="2942"/>
      <c r="U58" s="2942"/>
      <c r="V58" s="2942"/>
      <c r="W58" s="2942"/>
      <c r="X58" s="2942"/>
      <c r="Y58" s="2942"/>
      <c r="Z58" s="2942"/>
      <c r="AA58" s="2942"/>
      <c r="AB58" s="2942"/>
      <c r="AC58" s="2942"/>
      <c r="AD58" s="2942"/>
    </row>
    <row r="59" spans="1:30" s="429" customFormat="1" ht="15.75" thickTop="1">
      <c r="A59" s="509"/>
      <c r="B59" s="494">
        <f>B13</f>
        <v>111</v>
      </c>
      <c r="C59" s="505"/>
      <c r="D59" s="505"/>
      <c r="E59" s="505"/>
      <c r="F59" s="505"/>
      <c r="G59" s="510"/>
      <c r="H59" s="511"/>
      <c r="I59" s="511"/>
      <c r="J59" s="511"/>
      <c r="K59" s="511"/>
      <c r="L59" s="512"/>
      <c r="M59" s="513"/>
      <c r="N59" s="2950"/>
      <c r="O59" s="2950"/>
      <c r="P59" s="2918"/>
      <c r="Q59" s="2944"/>
      <c r="R59" s="2942"/>
      <c r="S59" s="2942"/>
      <c r="T59" s="2942"/>
      <c r="U59" s="2942"/>
      <c r="V59" s="2942"/>
      <c r="W59" s="2942"/>
      <c r="X59" s="2942"/>
      <c r="Y59" s="2942"/>
      <c r="Z59" s="2942"/>
      <c r="AA59" s="2942"/>
      <c r="AB59" s="2942"/>
      <c r="AC59" s="2942"/>
      <c r="AD59" s="2942"/>
    </row>
    <row r="60" spans="1:30" s="429" customFormat="1" ht="15.75" thickBot="1">
      <c r="A60" s="509"/>
      <c r="B60" s="499"/>
      <c r="C60" s="516"/>
      <c r="D60" s="516"/>
      <c r="E60" s="516"/>
      <c r="F60" s="516"/>
      <c r="G60" s="516"/>
      <c r="H60" s="518"/>
      <c r="I60" s="518"/>
      <c r="J60" s="518"/>
      <c r="K60" s="518"/>
      <c r="L60" s="518"/>
      <c r="M60" s="519"/>
      <c r="N60" s="2950"/>
      <c r="O60" s="2950"/>
      <c r="P60" s="2974"/>
      <c r="Q60" s="2941"/>
      <c r="R60" s="2942"/>
      <c r="S60" s="2942"/>
      <c r="T60" s="2942"/>
      <c r="U60" s="2942"/>
      <c r="V60" s="2942"/>
      <c r="W60" s="2942"/>
      <c r="X60" s="2942"/>
      <c r="Y60" s="2942"/>
      <c r="Z60" s="2942"/>
      <c r="AA60" s="2942"/>
      <c r="AB60" s="2942"/>
      <c r="AC60" s="2942"/>
      <c r="AD60" s="2942"/>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8"/>
      <c r="O61" s="2948"/>
      <c r="P61" s="2975"/>
      <c r="Q61" s="2934"/>
      <c r="R61" s="2920"/>
      <c r="S61" s="2920"/>
      <c r="T61" s="2920"/>
      <c r="U61" s="2920"/>
      <c r="V61" s="2920"/>
      <c r="W61" s="2920"/>
      <c r="X61" s="2920"/>
      <c r="Y61" s="2920"/>
      <c r="Z61" s="2920"/>
      <c r="AA61" s="2920"/>
      <c r="AB61" s="2920"/>
      <c r="AC61" s="2920"/>
      <c r="AD61" s="292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9"/>
      <c r="O62" s="2949"/>
      <c r="P62" s="2973"/>
      <c r="Q62" s="2934"/>
      <c r="R62" s="2920"/>
      <c r="S62" s="2920"/>
      <c r="T62" s="2920"/>
      <c r="U62" s="2920"/>
      <c r="V62" s="2920"/>
      <c r="W62" s="2920"/>
      <c r="X62" s="2920"/>
      <c r="Y62" s="2920"/>
      <c r="Z62" s="2920"/>
      <c r="AA62" s="2920"/>
      <c r="AB62" s="2920"/>
      <c r="AC62" s="2920"/>
      <c r="AD62" s="2920"/>
    </row>
    <row r="63" spans="1:30" ht="27.75" thickTop="1">
      <c r="A63" s="490"/>
      <c r="B63" s="494" t="s">
        <v>2500</v>
      </c>
      <c r="C63" s="534" t="s">
        <v>2358</v>
      </c>
      <c r="D63" s="534" t="s">
        <v>2359</v>
      </c>
      <c r="E63" s="534" t="s">
        <v>2360</v>
      </c>
      <c r="F63" s="534" t="s">
        <v>2361</v>
      </c>
      <c r="G63" s="534" t="s">
        <v>2362</v>
      </c>
      <c r="H63" s="495"/>
      <c r="I63" s="495"/>
      <c r="J63" s="495"/>
      <c r="K63" s="496"/>
      <c r="L63" s="497"/>
      <c r="M63" s="498"/>
      <c r="N63" s="2948"/>
      <c r="O63" s="2948"/>
      <c r="P63" s="2973"/>
      <c r="Q63" s="2934"/>
      <c r="R63" s="2920"/>
      <c r="S63" s="2920"/>
      <c r="T63" s="2920"/>
      <c r="U63" s="2920"/>
      <c r="V63" s="2920"/>
      <c r="W63" s="2920"/>
      <c r="X63" s="2920"/>
      <c r="Y63" s="2920"/>
      <c r="Z63" s="2920"/>
      <c r="AA63" s="2920"/>
      <c r="AB63" s="2920"/>
      <c r="AC63" s="2920"/>
      <c r="AD63" s="292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9"/>
      <c r="O64" s="2949"/>
      <c r="P64" s="2973"/>
      <c r="Q64" s="2934"/>
      <c r="R64" s="2920"/>
      <c r="S64" s="2920"/>
      <c r="T64" s="2920"/>
      <c r="U64" s="2920"/>
      <c r="V64" s="2920"/>
      <c r="W64" s="2920"/>
      <c r="X64" s="2920"/>
      <c r="Y64" s="2920"/>
      <c r="Z64" s="2920"/>
      <c r="AA64" s="2920"/>
      <c r="AB64" s="2920"/>
      <c r="AC64" s="2920"/>
      <c r="AD64" s="2920"/>
    </row>
    <row r="65" spans="1:30" ht="15.75" thickTop="1">
      <c r="A65" s="490"/>
      <c r="B65" s="502" t="s">
        <v>2450</v>
      </c>
      <c r="C65" s="615" t="s">
        <v>2436</v>
      </c>
      <c r="D65" s="615" t="s">
        <v>2437</v>
      </c>
      <c r="E65" s="615" t="s">
        <v>2438</v>
      </c>
      <c r="F65" s="615" t="s">
        <v>2439</v>
      </c>
      <c r="G65" s="615" t="s">
        <v>2440</v>
      </c>
      <c r="H65" s="495"/>
      <c r="I65" s="495"/>
      <c r="J65" s="495"/>
      <c r="K65" s="495"/>
      <c r="L65" s="495"/>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9"/>
      <c r="O66" s="2949"/>
      <c r="P66" s="2973"/>
      <c r="Q66" s="2934"/>
      <c r="R66" s="2920"/>
      <c r="S66" s="2920"/>
      <c r="T66" s="2920"/>
      <c r="U66" s="2920"/>
      <c r="V66" s="2920"/>
      <c r="W66" s="2920"/>
      <c r="X66" s="2920"/>
      <c r="Y66" s="2920"/>
      <c r="Z66" s="2920"/>
      <c r="AA66" s="2920"/>
      <c r="AB66" s="2920"/>
      <c r="AC66" s="2920"/>
      <c r="AD66" s="2920"/>
    </row>
    <row r="67" spans="1:30" ht="15.75" thickTop="1">
      <c r="A67" s="490"/>
      <c r="B67" s="494" t="s">
        <v>2370</v>
      </c>
      <c r="C67" s="534" t="s">
        <v>2358</v>
      </c>
      <c r="D67" s="534" t="s">
        <v>2359</v>
      </c>
      <c r="E67" s="534" t="s">
        <v>2360</v>
      </c>
      <c r="F67" s="534" t="s">
        <v>2361</v>
      </c>
      <c r="G67" s="534" t="s">
        <v>2362</v>
      </c>
      <c r="H67" s="495"/>
      <c r="I67" s="495"/>
      <c r="J67" s="495"/>
      <c r="K67" s="496"/>
      <c r="L67" s="497"/>
      <c r="M67" s="498"/>
      <c r="N67" s="2948"/>
      <c r="O67" s="2948"/>
      <c r="P67" s="2973"/>
      <c r="Q67" s="2934"/>
      <c r="R67" s="2920"/>
      <c r="S67" s="2920"/>
      <c r="T67" s="2920"/>
      <c r="U67" s="2920"/>
      <c r="V67" s="2920"/>
      <c r="W67" s="2920"/>
      <c r="X67" s="2920"/>
      <c r="Y67" s="2920"/>
      <c r="Z67" s="2920"/>
      <c r="AA67" s="2920"/>
      <c r="AB67" s="2920"/>
      <c r="AC67" s="2920"/>
      <c r="AD67" s="292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9"/>
      <c r="O68" s="2949"/>
      <c r="P68" s="2973"/>
      <c r="Q68" s="2934"/>
      <c r="R68" s="2920"/>
      <c r="S68" s="2920"/>
      <c r="T68" s="2920"/>
      <c r="U68" s="2920"/>
      <c r="V68" s="2920"/>
      <c r="W68" s="2920"/>
      <c r="X68" s="2920"/>
      <c r="Y68" s="2920"/>
      <c r="Z68" s="2920"/>
      <c r="AA68" s="2920"/>
      <c r="AB68" s="2920"/>
      <c r="AC68" s="2920"/>
      <c r="AD68" s="2920"/>
    </row>
    <row r="69" spans="1:30" ht="15.75" thickTop="1">
      <c r="A69" s="490"/>
      <c r="B69" s="494" t="s">
        <v>2489</v>
      </c>
      <c r="C69" s="510"/>
      <c r="D69" s="510"/>
      <c r="E69" s="510"/>
      <c r="F69" s="510"/>
      <c r="G69" s="510"/>
      <c r="H69" s="539"/>
      <c r="I69" s="539"/>
      <c r="J69" s="539"/>
      <c r="K69" s="540"/>
      <c r="L69" s="541"/>
      <c r="M69" s="542"/>
      <c r="N69" s="2948"/>
      <c r="O69" s="2948"/>
      <c r="P69" s="2973"/>
      <c r="Q69" s="2934"/>
      <c r="R69" s="2920"/>
      <c r="S69" s="2920"/>
      <c r="T69" s="2920"/>
      <c r="U69" s="2920"/>
      <c r="V69" s="2920"/>
      <c r="W69" s="2920"/>
      <c r="X69" s="2920"/>
      <c r="Y69" s="2920"/>
      <c r="Z69" s="2920"/>
      <c r="AA69" s="2920"/>
      <c r="AB69" s="2920"/>
      <c r="AC69" s="2920"/>
      <c r="AD69" s="2920"/>
    </row>
    <row r="70" spans="1:30" ht="15.75" thickBot="1">
      <c r="A70" s="490"/>
      <c r="B70" s="499"/>
      <c r="C70" s="500">
        <v>100</v>
      </c>
      <c r="D70" s="500">
        <f>C70-$K22</f>
        <v>100</v>
      </c>
      <c r="E70" s="500"/>
      <c r="F70" s="500"/>
      <c r="G70" s="500"/>
      <c r="H70" s="500"/>
      <c r="I70" s="500"/>
      <c r="J70" s="500"/>
      <c r="K70" s="500"/>
      <c r="L70" s="500"/>
      <c r="M70" s="501"/>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5"/>
      <c r="B71" s="494">
        <f>B23</f>
        <v>111</v>
      </c>
      <c r="C71" s="505"/>
      <c r="D71" s="505"/>
      <c r="E71" s="505"/>
      <c r="F71" s="505"/>
      <c r="G71" s="510"/>
      <c r="H71" s="510"/>
      <c r="I71" s="510"/>
      <c r="J71" s="510"/>
      <c r="K71" s="510"/>
      <c r="L71" s="536"/>
      <c r="M71" s="537"/>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5"/>
      <c r="B72" s="499"/>
      <c r="C72" s="516"/>
      <c r="D72" s="492"/>
      <c r="E72" s="492"/>
      <c r="F72" s="492"/>
      <c r="G72" s="492"/>
      <c r="H72" s="492"/>
      <c r="I72" s="492"/>
      <c r="J72" s="492"/>
      <c r="K72" s="492"/>
      <c r="L72" s="492"/>
      <c r="M72" s="493"/>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5"/>
      <c r="B73" s="494">
        <f>B24</f>
        <v>111</v>
      </c>
      <c r="C73" s="505"/>
      <c r="D73" s="505"/>
      <c r="E73" s="505"/>
      <c r="F73" s="505"/>
      <c r="G73" s="510"/>
      <c r="H73" s="510"/>
      <c r="I73" s="510"/>
      <c r="J73" s="510"/>
      <c r="K73" s="510"/>
      <c r="L73" s="510"/>
      <c r="M73" s="537"/>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5"/>
      <c r="B74" s="499"/>
      <c r="C74" s="516"/>
      <c r="D74" s="492"/>
      <c r="E74" s="492"/>
      <c r="F74" s="492"/>
      <c r="G74" s="492"/>
      <c r="H74" s="492"/>
      <c r="I74" s="492"/>
      <c r="J74" s="492"/>
      <c r="K74" s="492"/>
      <c r="L74" s="492"/>
      <c r="M74" s="493"/>
      <c r="N74" s="2949"/>
      <c r="O74" s="2949"/>
      <c r="P74" s="2973"/>
      <c r="Q74" s="2934"/>
      <c r="R74" s="2854"/>
      <c r="S74" s="2854"/>
      <c r="T74" s="2854"/>
      <c r="U74" s="2854"/>
      <c r="V74" s="2854"/>
      <c r="W74" s="2854"/>
      <c r="X74" s="2854"/>
      <c r="Y74" s="2854"/>
      <c r="Z74" s="2854"/>
      <c r="AA74" s="2854"/>
      <c r="AB74" s="2854"/>
      <c r="AC74" s="2854"/>
      <c r="AD74" s="2854"/>
    </row>
    <row r="75" spans="1:30" s="429" customFormat="1" ht="15.75" thickTop="1">
      <c r="A75" s="509"/>
      <c r="B75" s="494">
        <f>B25</f>
        <v>111</v>
      </c>
      <c r="C75" s="505"/>
      <c r="D75" s="505"/>
      <c r="E75" s="505"/>
      <c r="F75" s="505"/>
      <c r="G75" s="510"/>
      <c r="H75" s="511"/>
      <c r="I75" s="511"/>
      <c r="J75" s="511"/>
      <c r="K75" s="511"/>
      <c r="L75" s="512"/>
      <c r="M75" s="513"/>
      <c r="N75" s="2950"/>
      <c r="O75" s="2950"/>
      <c r="P75" s="2974"/>
      <c r="Q75" s="2941"/>
      <c r="R75" s="2942"/>
      <c r="S75" s="2942"/>
      <c r="T75" s="2942"/>
      <c r="U75" s="2942"/>
      <c r="V75" s="2942"/>
      <c r="W75" s="2942"/>
      <c r="X75" s="2942"/>
      <c r="Y75" s="2942"/>
      <c r="Z75" s="2942"/>
      <c r="AA75" s="2942"/>
      <c r="AB75" s="2942"/>
      <c r="AC75" s="2942"/>
      <c r="AD75" s="2942"/>
    </row>
    <row r="76" spans="1:30" s="429" customFormat="1" ht="15.75" thickBot="1">
      <c r="A76" s="509"/>
      <c r="B76" s="499"/>
      <c r="C76" s="516"/>
      <c r="D76" s="516"/>
      <c r="E76" s="516"/>
      <c r="F76" s="516"/>
      <c r="G76" s="492"/>
      <c r="H76" s="492"/>
      <c r="I76" s="492"/>
      <c r="J76" s="492"/>
      <c r="K76" s="492"/>
      <c r="L76" s="492"/>
      <c r="M76" s="493"/>
      <c r="N76" s="2950"/>
      <c r="O76" s="2950"/>
      <c r="P76" s="2974"/>
      <c r="Q76" s="2941"/>
      <c r="R76" s="2942"/>
      <c r="S76" s="2942"/>
      <c r="T76" s="2942"/>
      <c r="U76" s="2942"/>
      <c r="V76" s="2942"/>
      <c r="W76" s="2942"/>
      <c r="X76" s="2942"/>
      <c r="Y76" s="2942"/>
      <c r="Z76" s="2942"/>
      <c r="AA76" s="2942"/>
      <c r="AB76" s="2942"/>
      <c r="AC76" s="2942"/>
      <c r="AD76" s="2942"/>
    </row>
    <row r="77" spans="1:30" ht="15" thickTop="1">
      <c r="A77" s="483" t="s">
        <v>2324</v>
      </c>
      <c r="B77" s="484" t="s">
        <v>2377</v>
      </c>
      <c r="C77" s="510"/>
      <c r="D77" s="510"/>
      <c r="E77" s="486"/>
      <c r="F77" s="486"/>
      <c r="G77" s="486"/>
      <c r="H77" s="486"/>
      <c r="I77" s="486"/>
      <c r="J77" s="486"/>
      <c r="K77" s="487"/>
      <c r="L77" s="488"/>
      <c r="M77" s="489"/>
      <c r="N77" s="2948"/>
      <c r="O77" s="2948"/>
      <c r="P77" s="2973"/>
      <c r="Q77" s="2934"/>
      <c r="R77" s="2920"/>
      <c r="S77" s="2920"/>
      <c r="T77" s="2920"/>
      <c r="U77" s="2920"/>
      <c r="V77" s="2920"/>
      <c r="W77" s="2920"/>
      <c r="X77" s="2920"/>
      <c r="Y77" s="2920"/>
      <c r="Z77" s="2920"/>
      <c r="AA77" s="2920"/>
      <c r="AB77" s="2920"/>
      <c r="AC77" s="2920"/>
      <c r="AD77" s="292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7"/>
      <c r="O79" s="2947"/>
      <c r="P79" s="2973"/>
      <c r="Q79" s="2934"/>
      <c r="R79" s="2920"/>
      <c r="S79" s="2920"/>
      <c r="T79" s="2920"/>
      <c r="U79" s="2920"/>
      <c r="V79" s="2920"/>
      <c r="W79" s="2920"/>
      <c r="X79" s="2920"/>
      <c r="Y79" s="2920"/>
      <c r="Z79" s="2920"/>
      <c r="AA79" s="2920"/>
      <c r="AB79" s="2920"/>
      <c r="AC79" s="2920"/>
      <c r="AD79" s="2920"/>
    </row>
    <row r="80" spans="1:30" ht="15">
      <c r="A80" s="490"/>
      <c r="B80" s="502"/>
      <c r="C80" s="559">
        <v>0.5</v>
      </c>
      <c r="D80" s="559">
        <v>0.6</v>
      </c>
      <c r="E80" s="559">
        <v>0.7</v>
      </c>
      <c r="F80" s="559">
        <v>0.8</v>
      </c>
      <c r="G80" s="559">
        <v>0.9</v>
      </c>
      <c r="H80" s="559">
        <v>1.0001</v>
      </c>
      <c r="I80" s="615"/>
      <c r="J80" s="615"/>
      <c r="K80" s="623"/>
      <c r="L80" s="624"/>
      <c r="M80" s="625"/>
      <c r="N80" s="2947"/>
      <c r="O80" s="2947"/>
      <c r="P80" s="2973"/>
      <c r="Q80" s="2934"/>
      <c r="R80" s="2920"/>
      <c r="S80" s="2920"/>
      <c r="T80" s="2920"/>
      <c r="U80" s="2920"/>
      <c r="V80" s="2920"/>
      <c r="W80" s="2920"/>
      <c r="X80" s="2920"/>
      <c r="Y80" s="2920"/>
      <c r="Z80" s="2920"/>
      <c r="AA80" s="2920"/>
      <c r="AB80" s="2920"/>
      <c r="AC80" s="2920"/>
      <c r="AD80" s="292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5"/>
      <c r="B82" s="502" t="s">
        <v>2493</v>
      </c>
      <c r="C82" s="510"/>
      <c r="D82" s="510"/>
      <c r="E82" s="539"/>
      <c r="F82" s="539"/>
      <c r="G82" s="539"/>
      <c r="H82" s="539"/>
      <c r="I82" s="539"/>
      <c r="J82" s="539"/>
      <c r="K82" s="540"/>
      <c r="L82" s="541"/>
      <c r="M82" s="542"/>
      <c r="N82" s="2948"/>
      <c r="O82" s="2948"/>
      <c r="P82" s="2973"/>
      <c r="Q82" s="2934"/>
      <c r="R82" s="2920"/>
      <c r="S82" s="2920"/>
      <c r="T82" s="2920"/>
      <c r="U82" s="2920"/>
      <c r="V82" s="2920"/>
      <c r="W82" s="2920"/>
      <c r="X82" s="2920"/>
      <c r="Y82" s="2920"/>
      <c r="Z82" s="2920"/>
      <c r="AA82" s="2920"/>
      <c r="AB82" s="2920"/>
      <c r="AC82" s="2920"/>
      <c r="AD82" s="292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5"/>
      <c r="B84" s="494" t="s">
        <v>2501</v>
      </c>
      <c r="C84" s="510"/>
      <c r="D84" s="510"/>
      <c r="E84" s="510"/>
      <c r="F84" s="510"/>
      <c r="G84" s="510"/>
      <c r="H84" s="510"/>
      <c r="I84" s="539"/>
      <c r="J84" s="539"/>
      <c r="K84" s="540"/>
      <c r="L84" s="541"/>
      <c r="M84" s="542"/>
      <c r="N84" s="2948"/>
      <c r="O84" s="2948"/>
      <c r="P84" s="2973"/>
      <c r="Q84" s="2934"/>
      <c r="R84" s="2920"/>
      <c r="S84" s="2920"/>
      <c r="T84" s="2920"/>
      <c r="U84" s="2920"/>
      <c r="V84" s="2920"/>
      <c r="W84" s="2920"/>
      <c r="X84" s="2920"/>
      <c r="Y84" s="2920"/>
      <c r="Z84" s="2920"/>
      <c r="AA84" s="2920"/>
      <c r="AB84" s="2920"/>
      <c r="AC84" s="2920"/>
      <c r="AD84" s="292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5"/>
      <c r="B87" s="502"/>
      <c r="C87" s="551"/>
      <c r="D87" s="551"/>
      <c r="E87" s="551"/>
      <c r="F87" s="551"/>
      <c r="G87" s="551"/>
      <c r="H87" s="551"/>
      <c r="I87" s="551"/>
      <c r="J87" s="552"/>
      <c r="K87" s="552"/>
      <c r="L87" s="553"/>
      <c r="M87" s="554"/>
      <c r="N87" s="2948"/>
      <c r="O87" s="2948"/>
      <c r="P87" s="2973"/>
      <c r="Q87" s="2934"/>
      <c r="R87" s="2920"/>
      <c r="S87" s="2920"/>
      <c r="T87" s="2920"/>
      <c r="U87" s="2920"/>
      <c r="V87" s="2920"/>
      <c r="W87" s="2920"/>
      <c r="X87" s="2920"/>
      <c r="Y87" s="2920"/>
      <c r="Z87" s="2920"/>
      <c r="AA87" s="2920"/>
      <c r="AB87" s="2920"/>
      <c r="AC87" s="2920"/>
      <c r="AD87" s="2920"/>
    </row>
    <row r="88" spans="1:30" ht="15.75" thickBot="1">
      <c r="A88" s="490"/>
      <c r="B88" s="499"/>
      <c r="C88" s="516"/>
      <c r="D88" s="492"/>
      <c r="E88" s="492"/>
      <c r="F88" s="492"/>
      <c r="G88" s="492"/>
      <c r="H88" s="492"/>
      <c r="I88" s="492"/>
      <c r="J88" s="492"/>
      <c r="K88" s="492"/>
      <c r="L88" s="492"/>
      <c r="M88" s="492"/>
      <c r="N88" s="2949"/>
      <c r="O88" s="2949"/>
      <c r="P88" s="2973"/>
      <c r="Q88" s="2934"/>
      <c r="R88" s="2920"/>
      <c r="S88" s="2920"/>
      <c r="T88" s="2920"/>
      <c r="U88" s="2920"/>
      <c r="V88" s="2920"/>
      <c r="W88" s="2920"/>
      <c r="X88" s="2920"/>
      <c r="Y88" s="2920"/>
      <c r="Z88" s="2920"/>
      <c r="AA88" s="2920"/>
      <c r="AB88" s="2920"/>
      <c r="AC88" s="2920"/>
      <c r="AD88" s="2920"/>
    </row>
    <row r="89" spans="1:30" s="429" customFormat="1" ht="15" thickTop="1">
      <c r="A89" s="549"/>
      <c r="B89" s="494" t="s">
        <v>2503</v>
      </c>
      <c r="C89" s="510"/>
      <c r="D89" s="510"/>
      <c r="E89" s="510"/>
      <c r="F89" s="510"/>
      <c r="G89" s="510"/>
      <c r="H89" s="510"/>
      <c r="I89" s="510"/>
      <c r="J89" s="510"/>
      <c r="K89" s="510"/>
      <c r="L89" s="510"/>
      <c r="M89" s="537"/>
      <c r="N89" s="2950"/>
      <c r="O89" s="2950"/>
      <c r="P89" s="2974"/>
      <c r="Q89" s="2941"/>
      <c r="R89" s="2942"/>
      <c r="S89" s="2942"/>
      <c r="T89" s="2942"/>
      <c r="U89" s="2942"/>
      <c r="V89" s="2942"/>
      <c r="W89" s="2942"/>
      <c r="X89" s="2942"/>
      <c r="Y89" s="2942"/>
      <c r="Z89" s="2942"/>
      <c r="AA89" s="2942"/>
      <c r="AB89" s="2942"/>
      <c r="AC89" s="2942"/>
      <c r="AD89" s="2942"/>
    </row>
    <row r="90" spans="1:30" s="429" customFormat="1" ht="15.75" thickBot="1">
      <c r="A90" s="509"/>
      <c r="B90" s="499"/>
      <c r="C90" s="516"/>
      <c r="D90" s="492"/>
      <c r="E90" s="492"/>
      <c r="F90" s="492"/>
      <c r="G90" s="492"/>
      <c r="H90" s="492"/>
      <c r="I90" s="492"/>
      <c r="J90" s="492"/>
      <c r="K90" s="492"/>
      <c r="L90" s="492"/>
      <c r="M90" s="493"/>
      <c r="N90" s="2950"/>
      <c r="O90" s="2950"/>
      <c r="P90" s="2974"/>
      <c r="Q90" s="2941"/>
      <c r="R90" s="2942"/>
      <c r="S90" s="2942"/>
      <c r="T90" s="2942"/>
      <c r="U90" s="2942"/>
      <c r="V90" s="2942"/>
      <c r="W90" s="2942"/>
      <c r="X90" s="2942"/>
      <c r="Y90" s="2942"/>
      <c r="Z90" s="2942"/>
      <c r="AA90" s="2942"/>
      <c r="AB90" s="2942"/>
      <c r="AC90" s="2942"/>
      <c r="AD90" s="2942"/>
    </row>
    <row r="91" spans="1:30" ht="15" thickTop="1">
      <c r="A91" s="555"/>
      <c r="B91" s="494">
        <f>B32</f>
        <v>111</v>
      </c>
      <c r="C91" s="505"/>
      <c r="D91" s="505"/>
      <c r="E91" s="505"/>
      <c r="F91" s="505"/>
      <c r="G91" s="510"/>
      <c r="H91" s="511"/>
      <c r="I91" s="511"/>
      <c r="J91" s="511"/>
      <c r="K91" s="511"/>
      <c r="L91" s="512"/>
      <c r="M91" s="513"/>
      <c r="N91" s="2948"/>
      <c r="O91" s="2948"/>
      <c r="P91" s="2973"/>
      <c r="Q91" s="2934"/>
      <c r="R91" s="2920"/>
      <c r="S91" s="2920"/>
      <c r="T91" s="2920"/>
      <c r="U91" s="2920"/>
      <c r="V91" s="2920"/>
      <c r="W91" s="2920"/>
      <c r="X91" s="2920"/>
      <c r="Y91" s="2920"/>
      <c r="Z91" s="2920"/>
      <c r="AA91" s="2920"/>
      <c r="AB91" s="2920"/>
      <c r="AC91" s="2920"/>
      <c r="AD91" s="2920"/>
    </row>
    <row r="92" spans="1:30" ht="15.75" thickBot="1">
      <c r="A92" s="490"/>
      <c r="B92" s="499"/>
      <c r="C92" s="516"/>
      <c r="D92" s="492"/>
      <c r="E92" s="492"/>
      <c r="F92" s="492"/>
      <c r="G92" s="516"/>
      <c r="H92" s="518"/>
      <c r="I92" s="518"/>
      <c r="J92" s="518"/>
      <c r="K92" s="518"/>
      <c r="L92" s="518"/>
      <c r="M92" s="519"/>
      <c r="N92" s="2949"/>
      <c r="O92" s="2949"/>
      <c r="P92" s="2973"/>
      <c r="Q92" s="2934"/>
      <c r="R92" s="2920"/>
      <c r="S92" s="2920"/>
      <c r="T92" s="2920"/>
      <c r="U92" s="2920"/>
      <c r="V92" s="2920"/>
      <c r="W92" s="2920"/>
      <c r="X92" s="2920"/>
      <c r="Y92" s="2920"/>
      <c r="Z92" s="2920"/>
      <c r="AA92" s="2920"/>
      <c r="AB92" s="2920"/>
      <c r="AC92" s="2920"/>
      <c r="AD92" s="2920"/>
    </row>
    <row r="93" spans="1:30" ht="15" thickTop="1">
      <c r="A93" s="555"/>
      <c r="B93" s="494">
        <f>B33</f>
        <v>111</v>
      </c>
      <c r="C93" s="505"/>
      <c r="D93" s="505"/>
      <c r="E93" s="505"/>
      <c r="F93" s="505"/>
      <c r="G93" s="510"/>
      <c r="H93" s="511"/>
      <c r="I93" s="511"/>
      <c r="J93" s="511"/>
      <c r="K93" s="511"/>
      <c r="L93" s="512"/>
      <c r="M93" s="513"/>
      <c r="N93" s="2948"/>
      <c r="O93" s="2948"/>
      <c r="P93" s="2973"/>
      <c r="Q93" s="2934"/>
      <c r="R93" s="2920"/>
      <c r="S93" s="2920"/>
      <c r="T93" s="2920"/>
      <c r="U93" s="2920"/>
      <c r="V93" s="2920"/>
      <c r="W93" s="2920"/>
      <c r="X93" s="2920"/>
      <c r="Y93" s="2920"/>
      <c r="Z93" s="2920"/>
      <c r="AA93" s="2920"/>
      <c r="AB93" s="2920"/>
      <c r="AC93" s="2920"/>
      <c r="AD93" s="2920"/>
    </row>
    <row r="94" spans="1:30" ht="15.75" thickBot="1">
      <c r="A94" s="490"/>
      <c r="B94" s="499"/>
      <c r="C94" s="516"/>
      <c r="D94" s="492"/>
      <c r="E94" s="492"/>
      <c r="F94" s="492"/>
      <c r="G94" s="516"/>
      <c r="H94" s="518"/>
      <c r="I94" s="518"/>
      <c r="J94" s="518"/>
      <c r="K94" s="518"/>
      <c r="L94" s="518"/>
      <c r="M94" s="519"/>
      <c r="N94" s="2949"/>
      <c r="O94" s="2949"/>
      <c r="P94" s="2973"/>
      <c r="Q94" s="2934"/>
      <c r="R94" s="2920"/>
      <c r="S94" s="2920"/>
      <c r="T94" s="2920"/>
      <c r="U94" s="2920"/>
      <c r="V94" s="2920"/>
      <c r="W94" s="2920"/>
      <c r="X94" s="2920"/>
      <c r="Y94" s="2920"/>
      <c r="Z94" s="2920"/>
      <c r="AA94" s="2920"/>
      <c r="AB94" s="2920"/>
      <c r="AC94" s="2920"/>
      <c r="AD94" s="2920"/>
    </row>
    <row r="95" spans="1:30" ht="15" thickTop="1">
      <c r="A95" s="555"/>
      <c r="B95" s="591">
        <f>B34</f>
        <v>111</v>
      </c>
      <c r="C95" s="505"/>
      <c r="D95" s="505"/>
      <c r="E95" s="505"/>
      <c r="F95" s="505"/>
      <c r="G95" s="510"/>
      <c r="H95" s="511"/>
      <c r="I95" s="511"/>
      <c r="J95" s="511"/>
      <c r="K95" s="511"/>
      <c r="L95" s="512"/>
      <c r="M95" s="513"/>
      <c r="N95" s="2949"/>
      <c r="O95" s="2949"/>
      <c r="P95" s="2976"/>
      <c r="Q95" s="2963"/>
      <c r="R95" s="2920"/>
      <c r="S95" s="2920"/>
      <c r="T95" s="2920"/>
      <c r="U95" s="2920"/>
      <c r="V95" s="2920"/>
      <c r="W95" s="2920"/>
      <c r="X95" s="2920"/>
      <c r="Y95" s="2920"/>
      <c r="Z95" s="2920"/>
      <c r="AA95" s="2920"/>
      <c r="AB95" s="2920"/>
      <c r="AC95" s="2920"/>
      <c r="AD95" s="2920"/>
    </row>
    <row r="96" spans="1:30" ht="15.75" thickBot="1">
      <c r="A96" s="490"/>
      <c r="B96" s="499"/>
      <c r="C96" s="516"/>
      <c r="D96" s="516"/>
      <c r="E96" s="516"/>
      <c r="F96" s="516"/>
      <c r="G96" s="516"/>
      <c r="H96" s="518"/>
      <c r="I96" s="518"/>
      <c r="J96" s="518"/>
      <c r="K96" s="518"/>
      <c r="L96" s="518"/>
      <c r="M96" s="519"/>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3135</v>
      </c>
      <c r="D1" s="1513" t="s">
        <v>70</v>
      </c>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47" t="s">
        <v>1308</v>
      </c>
      <c r="C6" s="1204" t="e">
        <f ca="1">ROUND(F6*F8*F7*(1-F9)/10000,0)</f>
        <v>#N/A</v>
      </c>
      <c r="D6" s="159" t="s">
        <v>2786</v>
      </c>
      <c r="E6" s="307" t="s">
        <v>1310</v>
      </c>
      <c r="F6" s="308" t="e">
        <f ca="1">INDIRECT("'数据-取费表'!u"&amp;$G$1)</f>
        <v>#N/A</v>
      </c>
      <c r="G6" s="1535"/>
      <c r="H6" s="1199" t="s">
        <v>1003</v>
      </c>
      <c r="I6" s="3747" t="s">
        <v>1308</v>
      </c>
      <c r="J6" s="306" t="e">
        <f ca="1">ROUND(M6*M8*M7*(1-M9)/10000,0)</f>
        <v>#N/A</v>
      </c>
      <c r="K6" s="159" t="s">
        <v>2785</v>
      </c>
      <c r="L6" s="307" t="s">
        <v>1310</v>
      </c>
      <c r="M6" s="308" t="e">
        <f ca="1">INDIRECT("'数据-取费表'!z"&amp;$G$1)</f>
        <v>#N/A</v>
      </c>
    </row>
    <row r="7" spans="1:37" ht="18" customHeight="1">
      <c r="A7" s="1203"/>
      <c r="B7" s="3748"/>
      <c r="C7" s="1205"/>
      <c r="D7" s="312"/>
      <c r="E7" s="3206" t="s">
        <v>1311</v>
      </c>
      <c r="F7" s="308" t="e">
        <f ca="1">IF(INDIRECT("'数据-取费表'!ah"&amp;$G$1)="",INDIRECT("'数据-取费表'!k"&amp;$G$1),INDIRECT("'数据-取费表'!ah"&amp;$G$1))</f>
        <v>#N/A</v>
      </c>
      <c r="G7" s="1535"/>
      <c r="H7" s="309"/>
      <c r="I7" s="3748"/>
      <c r="J7" s="311"/>
      <c r="K7" s="312"/>
      <c r="L7" s="307" t="s">
        <v>1311</v>
      </c>
      <c r="M7" s="308" t="e">
        <f ca="1">F7</f>
        <v>#N/A</v>
      </c>
    </row>
    <row r="8" spans="1:37" ht="18" customHeight="1">
      <c r="A8" s="309"/>
      <c r="B8" s="3748"/>
      <c r="C8" s="311"/>
      <c r="D8" s="312"/>
      <c r="E8" s="307" t="s">
        <v>1312</v>
      </c>
      <c r="F8" s="308" t="e">
        <f ca="1">INDIRECT("'数据-取费表'!ai"&amp;$G$1)</f>
        <v>#N/A</v>
      </c>
      <c r="G8" s="1535"/>
      <c r="H8" s="309"/>
      <c r="I8" s="3748"/>
      <c r="J8" s="311"/>
      <c r="K8" s="312"/>
      <c r="L8" s="307" t="s">
        <v>1312</v>
      </c>
      <c r="M8" s="308" t="e">
        <f ca="1">INDIRECT("'数据-取费表'!ai"&amp;$G$1)</f>
        <v>#N/A</v>
      </c>
    </row>
    <row r="9" spans="1:37" ht="18" customHeight="1">
      <c r="A9" s="309"/>
      <c r="B9" s="3749"/>
      <c r="C9" s="311"/>
      <c r="D9" s="312"/>
      <c r="E9" s="307" t="s">
        <v>1313</v>
      </c>
      <c r="F9" s="317" t="e">
        <f ca="1">INDIRECT("'数据-取费表'!w"&amp;$G$1)</f>
        <v>#N/A</v>
      </c>
      <c r="G9" s="1535"/>
      <c r="H9" s="309"/>
      <c r="I9" s="3749"/>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2793</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3203" t="s">
        <v>1320</v>
      </c>
      <c r="E13" s="3203"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3209" t="s">
        <v>1323</v>
      </c>
      <c r="E14" s="3208"/>
      <c r="F14" s="324"/>
      <c r="G14" s="1535"/>
      <c r="H14" s="1111" t="s">
        <v>1003</v>
      </c>
      <c r="I14" s="307" t="s">
        <v>1324</v>
      </c>
      <c r="J14" s="24" t="e">
        <f ca="1">C29</f>
        <v>#N/A</v>
      </c>
      <c r="K14" s="3205"/>
      <c r="L14" s="914"/>
      <c r="M14" s="915"/>
    </row>
    <row r="15" spans="1:37" s="1548" customFormat="1" ht="18" customHeight="1" thickBot="1">
      <c r="A15" s="1111" t="s">
        <v>1004</v>
      </c>
      <c r="B15" s="307" t="s">
        <v>1325</v>
      </c>
      <c r="C15" s="24" t="e">
        <f ca="1">ROUND(C14*F15,0)</f>
        <v>#N/A</v>
      </c>
      <c r="D15" s="3204" t="s">
        <v>1326</v>
      </c>
      <c r="E15" s="3204"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3211"/>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3209" t="s">
        <v>1335</v>
      </c>
      <c r="L17" s="3210"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3210"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3213"/>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3213"/>
      <c r="F22" s="26"/>
      <c r="G22" s="1535"/>
      <c r="H22" s="1111" t="s">
        <v>1007</v>
      </c>
      <c r="I22" s="307" t="s">
        <v>1354</v>
      </c>
      <c r="J22" s="24" t="e">
        <f ca="1">ROUND(J14*M22,1)</f>
        <v>#N/A</v>
      </c>
      <c r="K22" s="3210"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3210" t="s">
        <v>1359</v>
      </c>
      <c r="L23" s="307" t="s">
        <v>1327</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1004</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1297</v>
      </c>
      <c r="I24" s="1219" t="s">
        <v>1344</v>
      </c>
      <c r="J24" s="1220" t="e">
        <f ca="1">ROUND(J5*M24,1)</f>
        <v>#N/A</v>
      </c>
      <c r="K24" s="1221" t="s">
        <v>1364</v>
      </c>
      <c r="L24" s="1219" t="s">
        <v>1327</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3213"/>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04"/>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3211"/>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3209" t="s">
        <v>1335</v>
      </c>
      <c r="E31" s="3210"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3210"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3210"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3210" t="s">
        <v>1359</v>
      </c>
      <c r="E37" s="307" t="s">
        <v>1327</v>
      </c>
      <c r="F37" s="335" t="e">
        <f ca="1">INDIRECT("'数据-取费表'!Al"&amp;$G$1)</f>
        <v>#N/A</v>
      </c>
      <c r="G37" s="1535"/>
      <c r="H37" s="2895"/>
      <c r="I37" s="1549"/>
      <c r="J37" s="1550"/>
      <c r="K37" s="2736"/>
      <c r="L37" s="2895"/>
      <c r="M37" s="2895"/>
    </row>
    <row r="38" spans="1:18" ht="18" customHeight="1" thickBot="1">
      <c r="A38" s="1218" t="s">
        <v>1297</v>
      </c>
      <c r="B38" s="1219" t="s">
        <v>1344</v>
      </c>
      <c r="C38" s="1220" t="e">
        <f ca="1">ROUND(C5*F38,1)</f>
        <v>#N/A</v>
      </c>
      <c r="D38" s="1221" t="s">
        <v>1364</v>
      </c>
      <c r="E38" s="1219" t="s">
        <v>1327</v>
      </c>
      <c r="F38" s="1215" t="e">
        <f ca="1">INDIRECT("'数据-取费表'!Am"&amp;$G$1)</f>
        <v>#N/A</v>
      </c>
      <c r="G38" s="1535"/>
      <c r="H38" s="2895"/>
      <c r="I38" s="1549"/>
      <c r="J38" s="1550"/>
      <c r="K38" s="2899"/>
      <c r="L38" s="2895"/>
      <c r="M38" s="2895"/>
    </row>
    <row r="39" spans="1:18" ht="24.6" customHeight="1" thickTop="1">
      <c r="A39" s="1208" t="s">
        <v>999</v>
      </c>
      <c r="B39" s="1223" t="s">
        <v>1368</v>
      </c>
      <c r="C39" s="315" t="e">
        <f ca="1">C5-C30</f>
        <v>#N/A</v>
      </c>
      <c r="D39" s="1224" t="s">
        <v>1369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t="e">
        <f ca="1">C43*#REF!/10000</f>
        <v>#N/A</v>
      </c>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3212"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2785</v>
      </c>
      <c r="E49" s="1523" t="s">
        <v>1396</v>
      </c>
      <c r="F49" s="1189"/>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45" t="s">
        <v>1453</v>
      </c>
      <c r="L53" s="3746"/>
      <c r="O53" s="1569" t="s">
        <v>1014</v>
      </c>
      <c r="P53" s="1570" t="s">
        <v>1454</v>
      </c>
      <c r="Q53" s="1571" t="e">
        <f ca="1">Q47+Q48</f>
        <v>#N/A</v>
      </c>
      <c r="R53" s="1571" t="s">
        <v>1015</v>
      </c>
    </row>
    <row r="54" spans="1:18" s="1535" customFormat="1" ht="13.5" thickBot="1">
      <c r="A54" s="1284"/>
      <c r="B54" s="1518" t="s">
        <v>1293</v>
      </c>
      <c r="C54" s="1088"/>
      <c r="D54" s="1517"/>
      <c r="E54" s="3207"/>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3207"/>
      <c r="F55" s="1591"/>
      <c r="I55" s="1594" t="s">
        <v>1456</v>
      </c>
      <c r="J55" s="1595" t="e">
        <f ca="1">ROUND(IF(J47="钢混",J57/J50,1-(1-2%)*(J50-J57)/J50),3)</f>
        <v>#N/A</v>
      </c>
      <c r="K55" s="1596" t="s">
        <v>1457</v>
      </c>
      <c r="L55" s="1597" t="s">
        <v>3175</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1342</v>
      </c>
      <c r="C61" s="24" t="e">
        <f ca="1">IF(项目基本情况!B11="自然人","——",IF(D61="按租金收入计税",ROUND(C49*F61/(1+'数据-取费表'!C42),2),IF(D61="按房产原值计税",ROUND(C57*F61*0.7,2),INDIRECT("'数据-取费表'!Aj"&amp;$G$1))))</f>
        <v>#N/A</v>
      </c>
      <c r="D61" s="1521" t="s">
        <v>1343</v>
      </c>
      <c r="E61" s="1079" t="s">
        <v>1327</v>
      </c>
      <c r="F61" s="327">
        <f t="shared" si="0"/>
        <v>1.2E-2</v>
      </c>
      <c r="I61" s="1612"/>
      <c r="J61" s="1612"/>
      <c r="K61" s="1612"/>
      <c r="L61" s="1612"/>
      <c r="O61" s="1579" t="s">
        <v>1013</v>
      </c>
      <c r="P61" s="1570" t="str">
        <f>K59</f>
        <v>建筑物剩余耐用年限下的土地年期修正系数Kn</v>
      </c>
      <c r="Q61" s="1571" t="e">
        <f ca="1">L59</f>
        <v>#N/A</v>
      </c>
      <c r="R61" s="1571" t="s">
        <v>1474</v>
      </c>
    </row>
    <row r="62" spans="1:18" s="1535" customFormat="1" ht="13.5" thickBot="1">
      <c r="A62" s="1111" t="s">
        <v>1400</v>
      </c>
      <c r="B62" s="1078" t="s">
        <v>1346</v>
      </c>
      <c r="C62" s="25" t="e">
        <f ca="1">IF(项目基本情况!B11="自然人","——",ROUND(F62*F63/10000,2))</f>
        <v>#N/A</v>
      </c>
      <c r="D62" s="1094" t="s">
        <v>1347</v>
      </c>
      <c r="E62" s="1079" t="s">
        <v>1348</v>
      </c>
      <c r="F62" s="330">
        <f t="shared" si="0"/>
        <v>1.5</v>
      </c>
      <c r="I62" s="1613" t="s">
        <v>1475</v>
      </c>
      <c r="J62" s="1614" t="s">
        <v>1476</v>
      </c>
      <c r="K62" s="1614" t="s">
        <v>1477</v>
      </c>
      <c r="L62" s="1614" t="s">
        <v>1478</v>
      </c>
      <c r="M62" s="1615" t="s">
        <v>1479</v>
      </c>
      <c r="O62" s="1569" t="s">
        <v>1014</v>
      </c>
      <c r="P62" s="1570" t="s">
        <v>1454</v>
      </c>
      <c r="Q62" s="1571" t="e">
        <f ca="1">Q56+Q57</f>
        <v>#N/A</v>
      </c>
      <c r="R62" s="1571" t="s">
        <v>1015</v>
      </c>
    </row>
    <row r="63" spans="1:18" s="1535" customFormat="1" ht="13.5" thickBot="1">
      <c r="A63" s="331"/>
      <c r="B63" s="1085"/>
      <c r="C63" s="29"/>
      <c r="D63" s="1095"/>
      <c r="E63" s="1079" t="s">
        <v>1352</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1007</v>
      </c>
      <c r="B64" s="1079" t="s">
        <v>1354</v>
      </c>
      <c r="C64" s="24" t="e">
        <f ca="1">ROUND(C57*F64,1)</f>
        <v>#N/A</v>
      </c>
      <c r="D64" s="1093" t="s">
        <v>1387</v>
      </c>
      <c r="E64" s="1079" t="s">
        <v>1327</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1327</v>
      </c>
      <c r="F65" s="335" t="e">
        <f t="shared" ca="1" si="0"/>
        <v>#N/A</v>
      </c>
      <c r="I65" s="1613" t="s">
        <v>1484</v>
      </c>
      <c r="J65" s="1614">
        <v>40</v>
      </c>
      <c r="K65" s="1614">
        <v>30</v>
      </c>
      <c r="L65" s="1614">
        <v>50</v>
      </c>
      <c r="M65" s="1616">
        <v>0.02</v>
      </c>
      <c r="O65" s="1569" t="s">
        <v>1008</v>
      </c>
      <c r="P65" s="1570" t="s">
        <v>1433</v>
      </c>
      <c r="Q65" s="1571" t="e">
        <f ca="1">C40+J29</f>
        <v>#N/A</v>
      </c>
      <c r="R65" s="1571" t="s">
        <v>1434</v>
      </c>
    </row>
    <row r="66" spans="1:18" s="1535" customFormat="1" ht="16.5" thickBot="1">
      <c r="A66" s="1111" t="s">
        <v>1409</v>
      </c>
      <c r="B66" s="1079" t="s">
        <v>1344</v>
      </c>
      <c r="C66" s="24" t="e">
        <f ca="1">ROUND(C48*F66,1)</f>
        <v>#N/A</v>
      </c>
      <c r="D66" s="1093" t="s">
        <v>1364</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建筑物剩余耐用年限下的土地年期修正系数Kn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topLeftCell="A22" workbookViewId="0">
      <selection activeCell="O51" sqref="O51"/>
    </sheetView>
  </sheetViews>
  <sheetFormatPr defaultColWidth="8.875" defaultRowHeight="14.25"/>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3135</v>
      </c>
      <c r="C1" s="203"/>
      <c r="D1" s="203"/>
      <c r="E1" s="203"/>
      <c r="F1" s="203"/>
      <c r="G1" s="1257" t="e">
        <f>MATCH(B1,'数据-取费表'!A6:A16,0)+5</f>
        <v>#N/A</v>
      </c>
    </row>
    <row r="2" spans="1:9" s="205" customFormat="1" ht="18" customHeight="1">
      <c r="A2" s="206" t="s">
        <v>2088</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2090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0</v>
      </c>
      <c r="D5" s="216" t="s">
        <v>2095</v>
      </c>
      <c r="E5" s="217" t="s">
        <v>2096</v>
      </c>
      <c r="F5" s="217" t="s">
        <v>2097</v>
      </c>
      <c r="G5" s="218"/>
    </row>
    <row r="6" spans="1:9" s="219" customFormat="1" ht="13.5" customHeight="1">
      <c r="A6" s="884" t="s">
        <v>2098</v>
      </c>
      <c r="B6" s="220" t="s">
        <v>2099</v>
      </c>
      <c r="C6" s="221">
        <f>基准地价修正!E38</f>
        <v>0</v>
      </c>
      <c r="D6" s="222"/>
      <c r="E6" s="223"/>
      <c r="F6" s="223"/>
      <c r="G6" s="224"/>
    </row>
    <row r="7" spans="1:9" s="219" customFormat="1" ht="13.5" customHeight="1">
      <c r="A7" s="884" t="s">
        <v>2100</v>
      </c>
      <c r="B7" s="220" t="s">
        <v>2101</v>
      </c>
      <c r="C7" s="225">
        <f>ROUND(C6*F7,0)</f>
        <v>0</v>
      </c>
      <c r="D7" s="225"/>
      <c r="E7" s="223"/>
      <c r="F7" s="226">
        <f>IF(项目基本情况!B8="出让",0,'数据-取费表'!B48+'数据-取费表'!B49)</f>
        <v>3.0499999999999999E-2</v>
      </c>
      <c r="G7" s="224"/>
    </row>
    <row r="8" spans="1:9" s="228" customFormat="1">
      <c r="A8" s="884" t="s">
        <v>2102</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2128</v>
      </c>
      <c r="B23" s="220" t="s">
        <v>2129</v>
      </c>
      <c r="C23" s="1234">
        <f>ROUND(IF('数据-取费表'!B22&lt;=1,C5*F22*'数据-取费表'!B23,C5*(POWER((1+F22),'数据-取费表'!B23)-1)),0)</f>
        <v>0</v>
      </c>
      <c r="D23" s="243"/>
      <c r="E23" s="243"/>
      <c r="F23" s="244"/>
      <c r="G23" s="245" t="s">
        <v>2130</v>
      </c>
    </row>
    <row r="24" spans="1:7" s="219" customFormat="1" ht="13.5" customHeight="1">
      <c r="A24" s="886" t="s">
        <v>2131</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2134</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2140</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2160</v>
      </c>
      <c r="B39" s="215" t="s">
        <v>2161</v>
      </c>
      <c r="C39" s="237" t="e">
        <f ca="1">ROUND(C33*F20,0)</f>
        <v>#N/A</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t="e">
        <f ca="1">ROUND(IF('数据-取费表'!B22&lt;=1,C33*F22*'数据-取费表'!B21/2,C33*(POWER((1+F22),'数据-取费表'!B21/2)-1)),0)</f>
        <v>#N/A</v>
      </c>
      <c r="D42" s="243"/>
      <c r="E42" s="243"/>
      <c r="F42" s="244"/>
      <c r="G42" s="3713" t="s">
        <v>2170</v>
      </c>
    </row>
    <row r="43" spans="1:7" ht="13.5" customHeight="1">
      <c r="A43" s="886" t="s">
        <v>792</v>
      </c>
      <c r="B43" s="220" t="s">
        <v>2171</v>
      </c>
      <c r="C43" s="243" t="e">
        <f ca="1">ROUND(IF('数据-取费表'!B22&lt;=1,C39*F22*'数据-取费表'!B21/2,C39*(POWER((1+F22),'数据-取费表'!B21/2)-1)),0)</f>
        <v>#N/A</v>
      </c>
      <c r="D43" s="243"/>
      <c r="E43" s="243"/>
      <c r="F43" s="244"/>
      <c r="G43" s="3714"/>
    </row>
    <row r="44" spans="1:7" ht="13.5" customHeight="1">
      <c r="A44" s="886" t="s">
        <v>793</v>
      </c>
      <c r="B44" s="220" t="s">
        <v>2172</v>
      </c>
      <c r="C44" s="243">
        <f>ROUND(IF('数据-取费表'!B22&lt;=1,C40*F22*'数据-取费表'!B21/2,C40*(POWER((1+F22),'数据-取费表'!B21/2)-1)),4)</f>
        <v>6.9999999999999999E-4</v>
      </c>
      <c r="D44" s="243"/>
      <c r="E44" s="243"/>
      <c r="F44" s="244"/>
      <c r="G44" s="3715"/>
    </row>
    <row r="45" spans="1:7" s="219" customFormat="1" ht="13.5" customHeight="1">
      <c r="A45" s="260" t="s">
        <v>2173</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E00-000000000000}">
      <formula1>"已包含在土地购买价格中,未包含在土地购买价格中"</formula1>
    </dataValidation>
    <dataValidation type="list" allowBlank="1" showInputMessage="1" showErrorMessage="1" sqref="G19" xr:uid="{00000000-0002-0000-1E00-000001000000}">
      <formula1>"已包含在土地取得成本中,未包含在土地取得成本中"</formula1>
    </dataValidation>
    <dataValidation type="list" allowBlank="1" showInputMessage="1" showErrorMessage="1" sqref="B1" xr:uid="{00000000-0002-0000-1E00-000002000000}">
      <formula1>项目类型</formula1>
    </dataValidation>
    <dataValidation type="list" allowBlank="1" showInputMessage="1" showErrorMessage="1" sqref="G9" xr:uid="{00000000-0002-0000-1E00-000003000000}">
      <formula1>"部分缴纳,全部缴纳"</formula1>
    </dataValidation>
    <dataValidation type="list" allowBlank="1" showInputMessage="1" showErrorMessage="1" sqref="G2" xr:uid="{00000000-0002-0000-1E00-000004000000}">
      <formula1>估价方法</formula1>
    </dataValidation>
    <dataValidation type="list" allowBlank="1" showInputMessage="1" showErrorMessage="1" sqref="D2" xr:uid="{00000000-0002-0000-1E00-000005000000}">
      <formula1>"需扣减承租人权益,——"</formula1>
    </dataValidation>
  </dataValidations>
  <pageMargins left="0.7" right="0.7" top="0.75" bottom="0.75" header="0.3" footer="0.3"/>
  <pageSetup paperSize="9" scale="7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44" customWidth="1"/>
    <col min="2" max="2" width="37.125" style="1644" customWidth="1"/>
    <col min="3" max="3" width="11.375" style="1644" customWidth="1"/>
    <col min="4" max="4" width="31.62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5"/>
      <c r="C2" s="3395"/>
      <c r="D2" s="3395"/>
      <c r="E2" s="3395"/>
    </row>
    <row r="3" spans="1:5" ht="18">
      <c r="A3" s="3396" t="str">
        <f>IF(项目基本情况!B9="房地产市场价值","估价结果一览表（市场价值不需“结果表-1”）","估价结果一览表")</f>
        <v>估价结果一览表（市场价值不需“结果表-1”）</v>
      </c>
      <c r="B3" s="3396"/>
      <c r="C3" s="3396"/>
      <c r="D3" s="3396"/>
      <c r="E3" s="3396"/>
    </row>
    <row r="4" spans="1:5" ht="19.5" thickBot="1">
      <c r="A4" s="1645"/>
      <c r="B4" s="3394" t="s">
        <v>1535</v>
      </c>
      <c r="C4" s="3394"/>
      <c r="D4" s="3394"/>
      <c r="E4" s="1645"/>
    </row>
    <row r="5" spans="1:5" ht="16.5" thickTop="1">
      <c r="A5" s="1643"/>
      <c r="B5" s="3392" t="s">
        <v>1527</v>
      </c>
      <c r="C5" s="1646" t="s">
        <v>1528</v>
      </c>
      <c r="D5" s="957" t="e">
        <f ca="1">结果表1层商业!H101</f>
        <v>#REF!</v>
      </c>
      <c r="E5" s="1643"/>
    </row>
    <row r="6" spans="1:5" ht="15.75">
      <c r="A6" s="1643"/>
      <c r="B6" s="3392"/>
      <c r="C6" s="1646" t="s">
        <v>1529</v>
      </c>
      <c r="D6" s="957" t="e">
        <f ca="1">NUMBERSTRING(INT(D5*10000),2)&amp;"元整"</f>
        <v>#REF!</v>
      </c>
      <c r="E6" s="1643"/>
    </row>
    <row r="7" spans="1:5" ht="15.75">
      <c r="A7" s="1643"/>
      <c r="B7" s="3397"/>
      <c r="C7" s="1647" t="s">
        <v>1530</v>
      </c>
      <c r="D7" s="958" t="e">
        <f ca="1">结果表1层商业!H102</f>
        <v>#REF!</v>
      </c>
      <c r="E7" s="1643"/>
    </row>
    <row r="8" spans="1:5" ht="15.75">
      <c r="A8" s="1643"/>
      <c r="B8" s="3398" t="str">
        <f>结果表1层商业!E103</f>
        <v>2.估价师知悉的法定优先受偿款</v>
      </c>
      <c r="C8" s="1648" t="s">
        <v>1531</v>
      </c>
      <c r="D8" s="958">
        <f>结果表1层商业!H103</f>
        <v>0</v>
      </c>
      <c r="E8" s="1643"/>
    </row>
    <row r="9" spans="1:5" ht="15.75">
      <c r="A9" s="1643"/>
      <c r="B9" s="3400"/>
      <c r="C9" s="1646" t="s">
        <v>1529</v>
      </c>
      <c r="D9" s="957" t="str">
        <f>NUMBERSTRING(INT(D8*10000),2)&amp;"元整"</f>
        <v>零元整</v>
      </c>
      <c r="E9" s="1643"/>
    </row>
    <row r="10" spans="1:5" ht="15">
      <c r="A10" s="1643"/>
      <c r="B10" s="1649" t="s">
        <v>1534</v>
      </c>
      <c r="C10" s="1650" t="s">
        <v>1532</v>
      </c>
      <c r="D10" s="959">
        <f>结果表1层商业!H104</f>
        <v>0</v>
      </c>
      <c r="E10" s="1643"/>
    </row>
    <row r="11" spans="1:5" ht="15">
      <c r="A11" s="1643"/>
      <c r="B11" s="1649" t="s">
        <v>1536</v>
      </c>
      <c r="C11" s="1650" t="s">
        <v>1537</v>
      </c>
      <c r="D11" s="959">
        <f>结果表1层商业!H105</f>
        <v>0</v>
      </c>
      <c r="E11" s="1643"/>
    </row>
    <row r="12" spans="1:5" ht="15">
      <c r="A12" s="1643"/>
      <c r="B12" s="1649" t="s">
        <v>1538</v>
      </c>
      <c r="C12" s="1650" t="s">
        <v>1537</v>
      </c>
      <c r="D12" s="959">
        <f>结果表1层商业!H106</f>
        <v>0</v>
      </c>
      <c r="E12" s="1643"/>
    </row>
    <row r="13" spans="1:5" ht="15.75">
      <c r="A13" s="1643"/>
      <c r="B13" s="3391" t="str">
        <f>结果表1层商业!E107</f>
        <v>3.房地产抵押价值</v>
      </c>
      <c r="C13" s="1651" t="s">
        <v>1528</v>
      </c>
      <c r="D13" s="960" t="e">
        <f ca="1">结果表1层商业!H107</f>
        <v>#REF!</v>
      </c>
      <c r="E13" s="1643"/>
    </row>
    <row r="14" spans="1:5" ht="15.75">
      <c r="A14" s="1643"/>
      <c r="B14" s="3392"/>
      <c r="C14" s="1646" t="s">
        <v>1529</v>
      </c>
      <c r="D14" s="957" t="e">
        <f ca="1">NUMBERSTRING(INT(D13*10000),2)&amp;"元整"</f>
        <v>#REF!</v>
      </c>
      <c r="E14" s="1643"/>
    </row>
    <row r="15" spans="1:5" ht="15">
      <c r="A15" s="1643"/>
      <c r="B15" s="3397"/>
      <c r="C15" s="1647" t="s">
        <v>1539</v>
      </c>
      <c r="D15" s="966" t="e">
        <f ca="1">结果表1层商业!H108</f>
        <v>#REF!</v>
      </c>
      <c r="E15" s="1643"/>
    </row>
    <row r="16" spans="1:5" ht="15">
      <c r="A16" s="1643"/>
      <c r="B16" s="3398" t="str">
        <f>结果表1层商业!E109</f>
        <v>——</v>
      </c>
      <c r="C16" s="1651" t="s">
        <v>1540</v>
      </c>
      <c r="D16" s="1652" t="str">
        <f>结果表1层商业!H109</f>
        <v>——</v>
      </c>
      <c r="E16" s="1643"/>
    </row>
    <row r="17" spans="1:5" ht="15.75">
      <c r="A17" s="1643"/>
      <c r="B17" s="3399"/>
      <c r="C17" s="1646" t="s">
        <v>1541</v>
      </c>
      <c r="D17" s="957" t="e">
        <f>NUMBERSTRING(INT(D16*10000),2)&amp;"元整"</f>
        <v>#VALUE!</v>
      </c>
      <c r="E17" s="1643"/>
    </row>
    <row r="18" spans="1:5" ht="15">
      <c r="A18" s="1643"/>
      <c r="B18" s="3400"/>
      <c r="C18" s="1647" t="s">
        <v>1530</v>
      </c>
      <c r="D18" s="966" t="str">
        <f>结果表1层商业!H110</f>
        <v>——</v>
      </c>
      <c r="E18" s="1643"/>
    </row>
    <row r="19" spans="1:5" ht="15.75">
      <c r="A19" s="1643"/>
      <c r="B19" s="3391" t="str">
        <f>结果表1层商业!E111</f>
        <v>——</v>
      </c>
      <c r="C19" s="1651" t="s">
        <v>1528</v>
      </c>
      <c r="D19" s="958" t="str">
        <f>结果表1层商业!H111</f>
        <v>——</v>
      </c>
      <c r="E19" s="1643"/>
    </row>
    <row r="20" spans="1:5" ht="15.75">
      <c r="A20" s="1643"/>
      <c r="B20" s="3392"/>
      <c r="C20" s="1646" t="s">
        <v>1541</v>
      </c>
      <c r="D20" s="957" t="e">
        <f>NUMBERSTRING(INT(D19*10000),2)&amp;"元整"</f>
        <v>#VALUE!</v>
      </c>
      <c r="E20" s="1643"/>
    </row>
    <row r="21" spans="1:5" ht="15.75" thickBot="1">
      <c r="A21" s="1643"/>
      <c r="B21" s="3393"/>
      <c r="C21" s="1653" t="s">
        <v>1539</v>
      </c>
      <c r="D21" s="967" t="str">
        <f>结果表1层商业!H112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8" width="10.625" style="256" customWidth="1"/>
    <col min="9" max="254" width="9" style="256" customWidth="1"/>
    <col min="255" max="16384" width="8.375" style="256"/>
  </cols>
  <sheetData>
    <row r="1" spans="1:8" s="205" customFormat="1" ht="20.25">
      <c r="A1" s="201" t="s">
        <v>2087</v>
      </c>
      <c r="B1" s="1621"/>
      <c r="C1" s="2011" t="s">
        <v>2189</v>
      </c>
      <c r="D1" s="203"/>
      <c r="E1" s="203"/>
      <c r="F1" s="203"/>
      <c r="G1" s="1257">
        <f>MATCH(B1,'数据-取费表'!A6:A16,0)+5</f>
        <v>7</v>
      </c>
      <c r="H1" s="1190" t="str">
        <f>IF(ISERROR(FIND("住宅",B1)),"非住宅","住宅")</f>
        <v>非住宅</v>
      </c>
    </row>
    <row r="2" spans="1:8" s="205" customFormat="1" ht="18" customHeight="1">
      <c r="A2" s="206" t="s">
        <v>2088</v>
      </c>
      <c r="B2" s="207">
        <f ca="1">ROUND(IF(D2="——",C52/10000,C52/10000-E2),0)</f>
        <v>331</v>
      </c>
      <c r="C2" s="204" t="s">
        <v>2089</v>
      </c>
      <c r="D2" s="2005" t="s">
        <v>70</v>
      </c>
      <c r="E2" s="1300" t="e">
        <f ca="1">SUMIF(INDIRECT("'"&amp;G2&amp;"'"&amp;"!A:A"),"承租人权益价值",INDIRECT("'"&amp;G2&amp;"'"&amp;"!c:c"))</f>
        <v>#REF!</v>
      </c>
      <c r="F2" s="2006" t="s">
        <v>2089</v>
      </c>
      <c r="G2" s="2007"/>
    </row>
    <row r="3" spans="1:8" s="205" customFormat="1" ht="18" customHeight="1" thickBot="1">
      <c r="A3" s="208" t="s">
        <v>2090</v>
      </c>
      <c r="B3" s="209">
        <f ca="1">ROUND(B2*10000/(IF(B1="",'数据-汇总表'!E3,INDIRECT("'数据-取费表'!k"&amp;$G$1))),0)</f>
        <v>4842</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136710</v>
      </c>
      <c r="D5" s="216" t="s">
        <v>2095</v>
      </c>
      <c r="E5" s="217" t="s">
        <v>2096</v>
      </c>
      <c r="F5" s="217" t="s">
        <v>2097</v>
      </c>
      <c r="G5" s="218"/>
    </row>
    <row r="6" spans="1:8" s="219" customFormat="1" ht="13.5" customHeight="1">
      <c r="A6" s="884" t="s">
        <v>2098</v>
      </c>
      <c r="B6" s="220" t="s">
        <v>2099</v>
      </c>
      <c r="C6" s="221"/>
      <c r="D6" s="222"/>
      <c r="E6" s="223"/>
      <c r="F6" s="223"/>
      <c r="G6" s="224"/>
    </row>
    <row r="7" spans="1:8" s="219" customFormat="1" ht="13.5" customHeight="1">
      <c r="A7" s="884" t="s">
        <v>2100</v>
      </c>
      <c r="B7" s="220" t="s">
        <v>2101</v>
      </c>
      <c r="C7" s="225">
        <f>ROUND(C6*F7,0)</f>
        <v>0</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136710</v>
      </c>
      <c r="D8" s="227"/>
      <c r="E8" s="225"/>
      <c r="F8" s="226"/>
      <c r="G8" s="2008"/>
    </row>
    <row r="9" spans="1:8" s="219" customFormat="1" ht="13.5" customHeight="1">
      <c r="A9" s="885" t="s">
        <v>800</v>
      </c>
      <c r="B9" s="229" t="s">
        <v>2104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2106</v>
      </c>
      <c r="C10" s="230">
        <f ca="1">ROUND(D10*E10,0)</f>
        <v>136710</v>
      </c>
      <c r="D10" s="952">
        <f ca="1">IF(B1="",'数据-汇总表'!E6,IF(INDIRECT("'数据-取费表'!c"&amp;$G$1)="住宅",INDIRECT("'数据-取费表'!s"&amp;$G$1),INDIRECT("'数据-取费表'!k"&amp;$G$1)+INDIRECT("'数据-取费表'!s"&amp;$G$1)))</f>
        <v>683.55</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f ca="1">IF(G19="已包含在土地取得成本中","0",ROUND(D19*E19,0))</f>
        <v>136710</v>
      </c>
      <c r="D19" s="956">
        <f ca="1">D9+D10</f>
        <v>683.55</v>
      </c>
      <c r="E19" s="216">
        <f>'数据-取费表'!B31</f>
        <v>200</v>
      </c>
      <c r="F19" s="236"/>
      <c r="G19" s="2008"/>
    </row>
    <row r="20" spans="1:7" s="219" customFormat="1" ht="13.5" customHeight="1">
      <c r="A20" s="260" t="s">
        <v>2200</v>
      </c>
      <c r="B20" s="215" t="s">
        <v>2201</v>
      </c>
      <c r="C20" s="237">
        <f ca="1">ROUND((C5+C19)*F20,0)</f>
        <v>4101</v>
      </c>
      <c r="D20" s="237"/>
      <c r="E20" s="237"/>
      <c r="F20" s="238">
        <f>'数据-取费表'!B37</f>
        <v>1.4999999999999999E-2</v>
      </c>
      <c r="G20" s="239" t="s">
        <v>2202</v>
      </c>
    </row>
    <row r="21" spans="1:7" s="219" customFormat="1" ht="13.5" customHeight="1">
      <c r="A21" s="260" t="s">
        <v>2203</v>
      </c>
      <c r="B21" s="215" t="s">
        <v>2204</v>
      </c>
      <c r="C21" s="240">
        <f>F21</f>
        <v>1.4999999999999999E-2</v>
      </c>
      <c r="D21" s="241" t="s">
        <v>2205</v>
      </c>
      <c r="E21" s="237"/>
      <c r="F21" s="238">
        <f>'数据-取费表'!B38</f>
        <v>1.4999999999999999E-2</v>
      </c>
      <c r="G21" s="239" t="s">
        <v>2206</v>
      </c>
    </row>
    <row r="22" spans="1:7" s="219" customFormat="1" ht="13.5" customHeight="1">
      <c r="A22" s="260" t="s">
        <v>2207</v>
      </c>
      <c r="B22" s="215" t="s">
        <v>2208</v>
      </c>
      <c r="C22" s="1258">
        <f ca="1">ROUND(SUM(C23:C25),0)</f>
        <v>26787</v>
      </c>
      <c r="D22" s="240">
        <f>C26</f>
        <v>6.9999999999999999E-4</v>
      </c>
      <c r="E22" s="241" t="s">
        <v>2205</v>
      </c>
      <c r="F22" s="242">
        <f>'数据-取费表'!B40</f>
        <v>4.7500000000000001E-2</v>
      </c>
      <c r="G22" s="239" t="str">
        <f>IF('数据-取费表'!B22&lt;=1,"单利计息","复利计息")</f>
        <v>复利计息</v>
      </c>
    </row>
    <row r="23" spans="1:7" s="219" customFormat="1" ht="13.5" customHeight="1">
      <c r="A23" s="886" t="s">
        <v>2098</v>
      </c>
      <c r="B23" s="220" t="s">
        <v>2209</v>
      </c>
      <c r="C23" s="1259">
        <f ca="1">ROUND(IF('数据-取费表'!B22&lt;=1,C5*F22*'数据-取费表'!B22,C5*(POWER((1+F22),'数据-取费表'!B22)-1)),0)</f>
        <v>13296</v>
      </c>
      <c r="D23" s="243"/>
      <c r="E23" s="243"/>
      <c r="F23" s="244"/>
      <c r="G23" s="245" t="s">
        <v>2210</v>
      </c>
    </row>
    <row r="24" spans="1:7" s="219" customFormat="1" ht="13.5" customHeight="1">
      <c r="A24" s="886" t="s">
        <v>2100</v>
      </c>
      <c r="B24" s="220" t="s">
        <v>2211</v>
      </c>
      <c r="C24" s="1259">
        <f ca="1">ROUND(IF('数据-取费表'!B22&lt;=1,C19*F22*('数据-取费表'!B19/2+'数据-取费表'!B20),C19*(POWER((1+F22),('数据-取费表'!B19/2+'数据-取费表'!B20))-1)),0)</f>
        <v>13296</v>
      </c>
      <c r="D24" s="243"/>
      <c r="E24" s="243"/>
      <c r="F24" s="244"/>
      <c r="G24" s="245" t="s">
        <v>2212</v>
      </c>
    </row>
    <row r="25" spans="1:7" s="219" customFormat="1" ht="24">
      <c r="A25" s="886" t="s">
        <v>2102</v>
      </c>
      <c r="B25" s="220" t="s">
        <v>2213</v>
      </c>
      <c r="C25" s="1259">
        <f ca="1">ROUND(IF('数据-取费表'!B22&lt;=1,C20*F22*'数据-取费表'!B22/2,C20*(POWER((1+F22),'数据-取费表'!B22/2)-1)),0)</f>
        <v>195</v>
      </c>
      <c r="D25" s="243"/>
      <c r="E25" s="246"/>
      <c r="F25" s="244"/>
      <c r="G25" s="247" t="s">
        <v>2214</v>
      </c>
    </row>
    <row r="26" spans="1:7" s="219" customFormat="1">
      <c r="A26" s="886" t="s">
        <v>795</v>
      </c>
      <c r="B26" s="220" t="s">
        <v>2137</v>
      </c>
      <c r="C26" s="243">
        <f>ROUND(IF('数据-取费表'!B22&lt;=1,F21*F22*'数据-取费表'!B22/2,F21*(POWER((1+F22),'数据-取费表'!B22/2)-1)),4)</f>
        <v>6.9999999999999999E-4</v>
      </c>
      <c r="D26" s="243"/>
      <c r="E26" s="246"/>
      <c r="F26" s="244"/>
      <c r="G26" s="248"/>
    </row>
    <row r="27" spans="1:7" s="219" customFormat="1" ht="24.75">
      <c r="A27" s="260" t="s">
        <v>2138</v>
      </c>
      <c r="B27" s="249" t="s">
        <v>2139</v>
      </c>
      <c r="C27" s="250">
        <f ca="1">C28</f>
        <v>69380</v>
      </c>
      <c r="D27" s="240">
        <f ca="1">C29</f>
        <v>3.8E-3</v>
      </c>
      <c r="E27" s="241" t="s">
        <v>2140</v>
      </c>
      <c r="F27" s="251">
        <f ca="1">IF(B1="",'数据-取费表'!Q16,INDIRECT("'数据-取费表'!q"&amp;$G$1))</f>
        <v>0.25</v>
      </c>
      <c r="G27" s="252" t="s">
        <v>2141</v>
      </c>
    </row>
    <row r="28" spans="1:7" s="219" customFormat="1" ht="13.5" customHeight="1">
      <c r="A28" s="886" t="s">
        <v>791</v>
      </c>
      <c r="B28" s="253" t="s">
        <v>2142</v>
      </c>
      <c r="C28" s="254">
        <f ca="1">ROUND((C5+C19+C20)*F27,0)</f>
        <v>69380</v>
      </c>
      <c r="D28" s="240"/>
      <c r="E28" s="241"/>
      <c r="F28" s="251"/>
      <c r="G28" s="252"/>
    </row>
    <row r="29" spans="1:7" s="219" customFormat="1" ht="13.5" customHeight="1">
      <c r="A29" s="886" t="s">
        <v>792</v>
      </c>
      <c r="B29" s="253" t="s">
        <v>2143</v>
      </c>
      <c r="C29" s="243">
        <f ca="1">ROUND(C21*F27,4)</f>
        <v>3.8E-3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402638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2279640</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2050650</v>
      </c>
      <c r="D34" s="222"/>
      <c r="E34" s="225"/>
      <c r="F34" s="262"/>
      <c r="G34" s="224"/>
    </row>
    <row r="35" spans="1:7" ht="13.5" customHeight="1">
      <c r="A35" s="886" t="s">
        <v>796</v>
      </c>
      <c r="B35" s="220" t="s">
        <v>2153</v>
      </c>
      <c r="C35" s="225">
        <f ca="1">ROUND(C34*F35,0)</f>
        <v>61520</v>
      </c>
      <c r="D35" s="225"/>
      <c r="E35" s="225"/>
      <c r="F35" s="264">
        <f>'数据-取费表'!B33</f>
        <v>0.03</v>
      </c>
      <c r="G35" s="224" t="s">
        <v>2154</v>
      </c>
    </row>
    <row r="36" spans="1:7" ht="24">
      <c r="A36" s="886"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6" t="s">
        <v>798</v>
      </c>
      <c r="B37" s="220" t="s">
        <v>2157</v>
      </c>
      <c r="C37" s="254">
        <f ca="1">ROUND(E37*D37,0)</f>
        <v>136710</v>
      </c>
      <c r="D37" s="222">
        <f ca="1">D19</f>
        <v>683.55</v>
      </c>
      <c r="E37" s="254">
        <f>'数据-取费表'!B35</f>
        <v>200</v>
      </c>
      <c r="F37" s="264"/>
      <c r="G37" s="266"/>
    </row>
    <row r="38" spans="1:7" ht="13.5" customHeight="1">
      <c r="A38" s="886" t="s">
        <v>799</v>
      </c>
      <c r="B38" s="220" t="s">
        <v>2159</v>
      </c>
      <c r="C38" s="225">
        <f ca="1">ROUND(C34*F38,0)</f>
        <v>30760</v>
      </c>
      <c r="D38" s="225"/>
      <c r="E38" s="225"/>
      <c r="F38" s="264">
        <f>'数据-取费表'!B36</f>
        <v>1.4999999999999999E-2</v>
      </c>
      <c r="G38" s="224" t="s">
        <v>2154</v>
      </c>
    </row>
    <row r="39" spans="1:7" s="219" customFormat="1" ht="13.5" customHeight="1">
      <c r="A39" s="260" t="s">
        <v>2160</v>
      </c>
      <c r="B39" s="215" t="s">
        <v>2161</v>
      </c>
      <c r="C39" s="237">
        <f ca="1">ROUND(C33*F20,0)</f>
        <v>34195</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f ca="1">ROUND(SUM(C42:C43),0)</f>
        <v>109907</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108283</v>
      </c>
      <c r="D42" s="243"/>
      <c r="E42" s="243"/>
      <c r="F42" s="244"/>
      <c r="G42" s="3713" t="s">
        <v>2217</v>
      </c>
    </row>
    <row r="43" spans="1:7" ht="13.5" customHeight="1">
      <c r="A43" s="886" t="s">
        <v>792</v>
      </c>
      <c r="B43" s="220" t="s">
        <v>2171</v>
      </c>
      <c r="C43" s="243">
        <f ca="1">ROUND(IF('数据-取费表'!B22&lt;=1,C39*F22*'数据-取费表'!B20/2,C39*(POWER((1+F22),'数据-取费表'!B20/2)-1)),0)</f>
        <v>1624</v>
      </c>
      <c r="D43" s="243"/>
      <c r="E43" s="243"/>
      <c r="F43" s="244"/>
      <c r="G43" s="3714"/>
    </row>
    <row r="44" spans="1:7" ht="13.5" customHeight="1">
      <c r="A44" s="886" t="s">
        <v>793</v>
      </c>
      <c r="B44" s="220" t="s">
        <v>2172</v>
      </c>
      <c r="C44" s="243">
        <f>ROUND(IF('数据-取费表'!B22&lt;=1,C40*F22*'数据-取费表'!B20/2,C40*(POWER((1+F22),'数据-取费表'!B20/2)-1)),4)</f>
        <v>6.9999999999999999E-4</v>
      </c>
      <c r="D44" s="243"/>
      <c r="E44" s="243"/>
      <c r="F44" s="244"/>
      <c r="G44" s="3715"/>
    </row>
    <row r="45" spans="1:7" s="219" customFormat="1" ht="13.5" customHeight="1">
      <c r="A45" s="260" t="s">
        <v>2173</v>
      </c>
      <c r="B45" s="249" t="s">
        <v>2139</v>
      </c>
      <c r="C45" s="250">
        <f ca="1">C46</f>
        <v>578459</v>
      </c>
      <c r="D45" s="240">
        <f ca="1">C47</f>
        <v>3.8E-3</v>
      </c>
      <c r="E45" s="241" t="s">
        <v>2165</v>
      </c>
      <c r="F45" s="2503">
        <f ca="1">F27</f>
        <v>0.25</v>
      </c>
      <c r="G45" s="252" t="s">
        <v>2174</v>
      </c>
    </row>
    <row r="46" spans="1:7" s="219" customFormat="1" ht="13.5" customHeight="1">
      <c r="A46" s="886" t="s">
        <v>791</v>
      </c>
      <c r="B46" s="253" t="s">
        <v>2175</v>
      </c>
      <c r="C46" s="254">
        <f ca="1">ROUND((C33+C39)*F27,0)</f>
        <v>578459</v>
      </c>
      <c r="D46" s="268"/>
      <c r="E46" s="241"/>
      <c r="F46" s="251"/>
      <c r="G46" s="252"/>
    </row>
    <row r="47" spans="1:7" s="219" customFormat="1" ht="13.5" customHeight="1">
      <c r="A47" s="886" t="s">
        <v>792</v>
      </c>
      <c r="B47" s="253" t="s">
        <v>2176</v>
      </c>
      <c r="C47" s="243">
        <f ca="1">ROUND(C40*F27,4)</f>
        <v>3.8E-3</v>
      </c>
      <c r="D47" s="268"/>
      <c r="E47" s="241"/>
      <c r="F47" s="251"/>
      <c r="G47" s="252"/>
    </row>
    <row r="48" spans="1:7" s="219" customFormat="1" ht="13.5" customHeight="1">
      <c r="A48" s="260" t="s">
        <v>2138</v>
      </c>
      <c r="B48" s="215" t="s">
        <v>2177</v>
      </c>
      <c r="C48" s="267">
        <f>ROUND(F30/(1+'数据-取费表'!C42),4)</f>
        <v>5.2400000000000002E-2</v>
      </c>
      <c r="D48" s="241" t="s">
        <v>2165</v>
      </c>
      <c r="E48" s="237"/>
      <c r="F48" s="2502">
        <f>F30</f>
        <v>5.5000000000000007E-2</v>
      </c>
      <c r="G48" s="239" t="s">
        <v>2178</v>
      </c>
    </row>
    <row r="49" spans="1:7" ht="16.5" customHeight="1">
      <c r="A49" s="260" t="s">
        <v>2144</v>
      </c>
      <c r="B49" s="215" t="s">
        <v>2218</v>
      </c>
      <c r="C49" s="237">
        <f ca="1">ROUND((C33+C39+C41+C45)/(1-C40-D41-D45-C48),0)</f>
        <v>3234782</v>
      </c>
      <c r="D49" s="237"/>
      <c r="E49" s="237"/>
      <c r="F49" s="269"/>
      <c r="G49" s="239" t="s">
        <v>2180</v>
      </c>
    </row>
    <row r="50" spans="1:7" s="263" customFormat="1">
      <c r="A50" s="260" t="s">
        <v>2181</v>
      </c>
      <c r="B50" s="215" t="s">
        <v>2182</v>
      </c>
      <c r="C50" s="237"/>
      <c r="D50" s="237"/>
      <c r="E50" s="237"/>
      <c r="F50" s="269">
        <f>IF('数据-取费表'!B24=0,'数据-取费表'!N16,1)</f>
        <v>0.9</v>
      </c>
      <c r="G50" s="252"/>
    </row>
    <row r="51" spans="1:7" ht="16.5" customHeight="1">
      <c r="A51" s="260" t="s">
        <v>2184</v>
      </c>
      <c r="B51" s="215" t="s">
        <v>2219</v>
      </c>
      <c r="C51" s="237">
        <f ca="1">ROUND(C49*F50,0)</f>
        <v>2911304</v>
      </c>
      <c r="D51" s="237"/>
      <c r="E51" s="237"/>
      <c r="F51" s="269"/>
      <c r="G51" s="239" t="s">
        <v>2186</v>
      </c>
    </row>
    <row r="52" spans="1:7" s="213" customFormat="1" ht="16.5" thickBot="1">
      <c r="A52" s="270" t="s">
        <v>2187</v>
      </c>
      <c r="B52" s="271"/>
      <c r="C52" s="272">
        <f ca="1">C31+C51</f>
        <v>3313942</v>
      </c>
      <c r="D52" s="271"/>
      <c r="E52" s="271"/>
      <c r="F52" s="271"/>
      <c r="G52" s="273"/>
    </row>
    <row r="55" spans="1:7" ht="15">
      <c r="B55" s="275" t="s">
        <v>2188</v>
      </c>
      <c r="C55" s="276"/>
    </row>
    <row r="56" spans="1:7">
      <c r="B56" s="278" t="s">
        <v>1418</v>
      </c>
      <c r="C56" s="280">
        <f ca="1">1-C57</f>
        <v>0.121</v>
      </c>
    </row>
    <row r="57" spans="1:7">
      <c r="B57" s="278" t="s">
        <v>1419</v>
      </c>
      <c r="C57" s="279">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5" customWidth="1"/>
    <col min="2" max="2" width="25.625" style="887" customWidth="1"/>
    <col min="3" max="3" width="10.375" style="930" customWidth="1"/>
    <col min="4" max="4" width="9.875" style="887" customWidth="1"/>
    <col min="5" max="5" width="9.5" style="735" customWidth="1"/>
    <col min="6" max="6" width="10.125" style="887" customWidth="1"/>
    <col min="7" max="7" width="10.62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2"/>
      <c r="C1" s="1323"/>
      <c r="D1" s="1321"/>
      <c r="E1" s="3003"/>
      <c r="F1" s="3003"/>
      <c r="G1" s="2866"/>
      <c r="H1" s="3003"/>
      <c r="I1" s="3003"/>
      <c r="J1" s="3003"/>
      <c r="K1" s="3004">
        <f>MATCH(C1,'数据-取费表'!A6:A16,0)+5</f>
        <v>7</v>
      </c>
    </row>
    <row r="2" spans="1:33" ht="18" customHeight="1">
      <c r="A2" s="206" t="s">
        <v>2088</v>
      </c>
      <c r="B2" s="209">
        <f ca="1">C32</f>
        <v>180</v>
      </c>
      <c r="C2" s="281" t="s">
        <v>2221</v>
      </c>
      <c r="D2" s="281"/>
      <c r="E2" s="3003"/>
      <c r="F2" s="3003"/>
      <c r="G2" s="3003"/>
      <c r="H2" s="3003"/>
      <c r="I2" s="3003"/>
      <c r="J2" s="3003"/>
      <c r="K2" s="3003"/>
    </row>
    <row r="3" spans="1:33" ht="18" customHeight="1" thickBot="1">
      <c r="A3" s="208" t="s">
        <v>2090</v>
      </c>
      <c r="B3" s="209">
        <f ca="1">ROUND(B2*10000/IF(C1="",'数据-汇总表'!E3,INDIRECT("'数据-取费表'!K"&amp;$K$1)),0)</f>
        <v>2633</v>
      </c>
      <c r="C3" s="281" t="s">
        <v>2222</v>
      </c>
      <c r="D3" s="281"/>
      <c r="E3" s="3003"/>
      <c r="F3" s="3003"/>
      <c r="G3" s="3003"/>
      <c r="H3" s="3003"/>
      <c r="I3" s="3003"/>
      <c r="J3" s="3003"/>
      <c r="K3" s="3003"/>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2" t="s">
        <v>2226</v>
      </c>
      <c r="D5" s="2012" t="s">
        <v>2227</v>
      </c>
      <c r="E5" s="2012" t="s">
        <v>2228</v>
      </c>
      <c r="F5" s="2012"/>
      <c r="G5" s="2012"/>
      <c r="H5" s="2012"/>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683.55</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683.55</v>
      </c>
      <c r="E17" s="24">
        <f>'数据-取费表'!B32</f>
        <v>0</v>
      </c>
      <c r="F17" s="913"/>
      <c r="G17" s="136" t="s">
        <v>2252</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-146</v>
      </c>
      <c r="D18" s="953"/>
      <c r="E18" s="24"/>
      <c r="F18" s="911"/>
      <c r="G18" s="2014"/>
      <c r="H18" s="1318"/>
      <c r="I18" s="2015"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160</v>
      </c>
      <c r="F19" s="911"/>
      <c r="G19" s="15"/>
      <c r="H19" s="1320"/>
      <c r="I19" s="916"/>
      <c r="J19" s="916"/>
      <c r="K19" s="917"/>
    </row>
    <row r="20" spans="1:33" s="910" customFormat="1" ht="13.5" customHeight="1">
      <c r="A20" s="906" t="s">
        <v>806</v>
      </c>
      <c r="B20" s="907" t="s">
        <v>2256</v>
      </c>
      <c r="C20" s="24">
        <f ca="1">ROUND(D20*E20/10000,0)</f>
        <v>14</v>
      </c>
      <c r="D20" s="953">
        <f ca="1">IF(C1="",'数据-汇总表'!E6,IF(INDIRECT("'数据-取费表'!c"&amp;$K$1)="住宅",INDIRECT("'数据-取费表'!s"&amp;$K$1),INDIRECT("'数据-取费表'!k"&amp;$K$1)+INDIRECT("'数据-取费表'!s"&amp;$K$1)))</f>
        <v>683.55</v>
      </c>
      <c r="E20" s="24">
        <f>'数据-取费表'!B28</f>
        <v>200</v>
      </c>
      <c r="F20" s="911"/>
      <c r="G20" s="15"/>
      <c r="H20" s="916"/>
      <c r="I20" s="916"/>
      <c r="J20" s="916"/>
      <c r="K20" s="917"/>
    </row>
    <row r="21" spans="1:33" s="910" customFormat="1" ht="13.5" customHeight="1">
      <c r="A21" s="896" t="s">
        <v>802</v>
      </c>
      <c r="B21" s="920" t="s">
        <v>2257</v>
      </c>
      <c r="C21" s="921">
        <f ca="1">C16+C17+C18</f>
        <v>-146</v>
      </c>
      <c r="D21" s="922"/>
      <c r="E21" s="286"/>
      <c r="F21" s="286"/>
      <c r="G21" s="136" t="s">
        <v>2258</v>
      </c>
      <c r="H21" s="914"/>
      <c r="I21" s="914"/>
      <c r="J21" s="914"/>
      <c r="K21" s="915"/>
    </row>
    <row r="22" spans="1:33" s="910" customFormat="1" ht="13.5" customHeight="1">
      <c r="A22" s="896" t="s">
        <v>2230</v>
      </c>
      <c r="B22" s="920" t="s">
        <v>2259</v>
      </c>
      <c r="C22" s="921">
        <f ca="1">ROUND(C21*F22,0)</f>
        <v>-2</v>
      </c>
      <c r="D22" s="286"/>
      <c r="E22" s="286"/>
      <c r="F22" s="923">
        <f>'数据-取费表'!B37</f>
        <v>1.4999999999999999E-2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1.4999999999999999E-2</v>
      </c>
      <c r="G23" s="8" t="s">
        <v>2262</v>
      </c>
      <c r="H23" s="903"/>
      <c r="I23" s="903"/>
      <c r="J23" s="903"/>
      <c r="K23" s="904"/>
    </row>
    <row r="24" spans="1:33" s="910" customFormat="1" ht="13.5" customHeight="1">
      <c r="A24" s="896" t="s">
        <v>2263</v>
      </c>
      <c r="B24" s="920" t="s">
        <v>2264</v>
      </c>
      <c r="C24" s="285">
        <f>ROUND(F24/(1+'数据-取费表'!C42),4)</f>
        <v>2.9000000000000001E-2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5">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6">
        <f>ROUND(IF('数据-取费表'!B22&lt;=1,(1+C24)*F25*'数据-取费表'!B24,(1+C24)*(POWER((1+F25),'数据-取费表'!B24)-1)),4)</f>
        <v>0</v>
      </c>
      <c r="D26" s="289"/>
      <c r="E26" s="290"/>
      <c r="F26" s="291"/>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7">
        <f ca="1">ROUND(IF('数据-取费表'!B22&lt;=1,(C21+C22+C23)*F25*'数据-取费表'!B24/2,(C21+C22+C23)*(POWER((1+F25),'数据-取费表'!B24/2)-1)),0)</f>
        <v>0</v>
      </c>
      <c r="D27" s="289"/>
      <c r="E27" s="290"/>
      <c r="F27" s="291"/>
      <c r="G27" s="2016" t="str">
        <f>IF('数据-取费表'!B22&lt;=1,"（1）-（3）项×年利率×建设期÷2","（1）-（3）项×((1+年利率)^(建设期÷2)-1)")</f>
        <v>（1）-（3）项×((1+年利率)^(建设期÷2)-1)</v>
      </c>
      <c r="H27" s="914"/>
      <c r="I27" s="914"/>
      <c r="J27" s="914"/>
      <c r="K27" s="915"/>
    </row>
    <row r="28" spans="1:33" s="294" customFormat="1" ht="13.5" customHeight="1">
      <c r="A28" s="896" t="s">
        <v>2270</v>
      </c>
      <c r="B28" s="2017" t="s">
        <v>2271</v>
      </c>
      <c r="C28" s="292">
        <f ca="1">C30</f>
        <v>-37</v>
      </c>
      <c r="D28" s="285">
        <f ca="1">C29</f>
        <v>0</v>
      </c>
      <c r="E28" s="287" t="s">
        <v>15</v>
      </c>
      <c r="F28" s="293">
        <f ca="1">IF(C1="",'数据-取费表'!Q16,INDIRECT("'数据-取费表'!q"&amp;$K$1))</f>
        <v>0.25</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6" t="s">
        <v>2273</v>
      </c>
      <c r="H29" s="914"/>
      <c r="I29" s="914"/>
      <c r="J29" s="914"/>
      <c r="K29" s="915"/>
    </row>
    <row r="30" spans="1:33" s="296" customFormat="1" ht="13.5" customHeight="1">
      <c r="A30" s="906" t="s">
        <v>804</v>
      </c>
      <c r="B30" s="929" t="s">
        <v>2274</v>
      </c>
      <c r="C30" s="297">
        <f ca="1">ROUND((C21+C22+C23)*F28,0)</f>
        <v>-37</v>
      </c>
      <c r="D30" s="289"/>
      <c r="E30" s="290"/>
      <c r="F30" s="295"/>
      <c r="G30" s="136"/>
      <c r="H30" s="914"/>
      <c r="I30" s="914"/>
      <c r="J30" s="914"/>
      <c r="K30" s="915"/>
    </row>
    <row r="31" spans="1:33" s="910" customFormat="1" ht="13.5" customHeight="1" thickBot="1">
      <c r="A31" s="2018" t="s">
        <v>2275</v>
      </c>
      <c r="B31" s="940" t="s">
        <v>2276</v>
      </c>
      <c r="C31" s="941">
        <f>ROUND(C4*F31/(1+'数据-取费表'!C42),0)</f>
        <v>0</v>
      </c>
      <c r="D31" s="942"/>
      <c r="E31" s="943"/>
      <c r="F31" s="944">
        <f>'数据-取费表'!B41</f>
        <v>5.5000000000000007E-2</v>
      </c>
      <c r="G31" s="945" t="s">
        <v>2277</v>
      </c>
      <c r="H31" s="946"/>
      <c r="I31" s="946"/>
      <c r="J31" s="946"/>
      <c r="K31" s="947"/>
    </row>
    <row r="32" spans="1:33" s="905" customFormat="1" ht="13.5" customHeight="1" thickBot="1">
      <c r="A32" s="935" t="s">
        <v>2278</v>
      </c>
      <c r="B32" s="936"/>
      <c r="C32" s="937">
        <f ca="1">ROUND((C4-C21-C22-C23-C25-C28-C31)/(1+C24+D25+D28),0)</f>
        <v>180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0.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c r="D1" s="1513"/>
      <c r="E1" s="1514" t="s">
        <v>1292</v>
      </c>
      <c r="F1" s="1191">
        <f ca="1">J53</f>
        <v>0</v>
      </c>
      <c r="G1" s="1529">
        <f>MATCH(C1,'数据-取费表'!A6:A16,0)+5</f>
        <v>7</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300" t="s">
        <v>1500</v>
      </c>
      <c r="B4" s="301" t="s">
        <v>1501</v>
      </c>
      <c r="C4" s="301" t="s">
        <v>1502</v>
      </c>
      <c r="D4" s="301" t="s">
        <v>1503</v>
      </c>
      <c r="E4" s="302" t="s">
        <v>1504</v>
      </c>
      <c r="F4" s="303"/>
      <c r="G4" s="1535"/>
      <c r="H4" s="300" t="s">
        <v>1500</v>
      </c>
      <c r="I4" s="301" t="s">
        <v>1501</v>
      </c>
      <c r="J4" s="301" t="s">
        <v>1502</v>
      </c>
      <c r="K4" s="301" t="s">
        <v>1503</v>
      </c>
      <c r="L4" s="302" t="s">
        <v>1504</v>
      </c>
      <c r="M4" s="303"/>
    </row>
    <row r="5" spans="1:37" ht="18" customHeight="1">
      <c r="A5" s="304">
        <v>1</v>
      </c>
      <c r="B5" s="305" t="s">
        <v>1505</v>
      </c>
      <c r="C5" s="1200">
        <f ca="1">C6+C10+C12</f>
        <v>0</v>
      </c>
      <c r="D5" s="1515" t="s">
        <v>1506</v>
      </c>
      <c r="E5" s="1201"/>
      <c r="F5" s="1202"/>
      <c r="G5" s="1535"/>
      <c r="H5" s="304">
        <v>1</v>
      </c>
      <c r="I5" s="305" t="s">
        <v>1505</v>
      </c>
      <c r="J5" s="1200">
        <f ca="1">J6+J10+J12</f>
        <v>0</v>
      </c>
      <c r="K5" s="1515" t="s">
        <v>1506</v>
      </c>
      <c r="L5" s="1201"/>
      <c r="M5" s="1202"/>
    </row>
    <row r="6" spans="1:37" ht="18" customHeight="1">
      <c r="A6" s="1199" t="s">
        <v>1003</v>
      </c>
      <c r="B6" s="3747" t="s">
        <v>1308</v>
      </c>
      <c r="C6" s="1204">
        <f ca="1">ROUND(F6*F8*F7*(1-F9),0)</f>
        <v>0</v>
      </c>
      <c r="D6" s="159" t="s">
        <v>2783</v>
      </c>
      <c r="E6" s="307" t="s">
        <v>1310</v>
      </c>
      <c r="F6" s="308">
        <f ca="1">INDIRECT("'数据-取费表'!u"&amp;$G$1)</f>
        <v>0</v>
      </c>
      <c r="G6" s="1535"/>
      <c r="H6" s="1199" t="s">
        <v>1003</v>
      </c>
      <c r="I6" s="3747" t="s">
        <v>1308</v>
      </c>
      <c r="J6" s="306">
        <f ca="1">ROUND(M6*M8*M7*(1-M9),0)</f>
        <v>0</v>
      </c>
      <c r="K6" s="1527" t="s">
        <v>2784</v>
      </c>
      <c r="L6" s="307" t="s">
        <v>1310</v>
      </c>
      <c r="M6" s="308">
        <f ca="1">INDIRECT("'数据-取费表'!z"&amp;$G$1)</f>
        <v>0</v>
      </c>
    </row>
    <row r="7" spans="1:37" ht="18" customHeight="1">
      <c r="A7" s="1203"/>
      <c r="B7" s="3748"/>
      <c r="C7" s="1205"/>
      <c r="D7" s="312"/>
      <c r="E7" s="1206" t="s">
        <v>1311</v>
      </c>
      <c r="F7" s="308">
        <f ca="1">IF(INDIRECT("'数据-取费表'!ah"&amp;$G$1)="",INDIRECT("'数据-取费表'!k"&amp;$G$1),INDIRECT("'数据-取费表'!ah"&amp;$G$1))</f>
        <v>0</v>
      </c>
      <c r="G7" s="1535"/>
      <c r="H7" s="309"/>
      <c r="I7" s="3748"/>
      <c r="J7" s="311"/>
      <c r="K7" s="312"/>
      <c r="L7" s="307" t="s">
        <v>1311</v>
      </c>
      <c r="M7" s="308">
        <f ca="1">F7</f>
        <v>0</v>
      </c>
    </row>
    <row r="8" spans="1:37" ht="18" customHeight="1">
      <c r="A8" s="309"/>
      <c r="B8" s="3748"/>
      <c r="C8" s="311"/>
      <c r="D8" s="312"/>
      <c r="E8" s="307" t="s">
        <v>1312</v>
      </c>
      <c r="F8" s="308">
        <f ca="1">INDIRECT("'数据-取费表'!ai"&amp;$G$1)</f>
        <v>1</v>
      </c>
      <c r="G8" s="1535"/>
      <c r="H8" s="309"/>
      <c r="I8" s="3748"/>
      <c r="J8" s="311"/>
      <c r="K8" s="312"/>
      <c r="L8" s="307" t="s">
        <v>1312</v>
      </c>
      <c r="M8" s="308">
        <f ca="1">INDIRECT("'数据-取费表'!ai"&amp;$G$1)</f>
        <v>1</v>
      </c>
    </row>
    <row r="9" spans="1:37" ht="18" customHeight="1">
      <c r="A9" s="309"/>
      <c r="B9" s="3749"/>
      <c r="C9" s="311"/>
      <c r="D9" s="312"/>
      <c r="E9" s="307" t="s">
        <v>1313</v>
      </c>
      <c r="F9" s="317">
        <f ca="1">INDIRECT("'数据-取费表'!w"&amp;$G$1)</f>
        <v>0</v>
      </c>
      <c r="G9" s="1535"/>
      <c r="H9" s="309"/>
      <c r="I9" s="3749"/>
      <c r="J9" s="311"/>
      <c r="K9" s="312"/>
      <c r="L9" s="318" t="s">
        <v>1313</v>
      </c>
      <c r="M9" s="319">
        <f ca="1">INDIRECT("'数据-取费表'!ab"&amp;$G$1)</f>
        <v>0</v>
      </c>
    </row>
    <row r="10" spans="1:37" ht="18" customHeight="1">
      <c r="A10" s="1199" t="s">
        <v>1007</v>
      </c>
      <c r="B10" s="1516" t="s">
        <v>1314</v>
      </c>
      <c r="C10" s="321">
        <f ca="1">ROUND(IF(F10="押一",C6/12*F11,IF(F10="押二",C6/12*2*F11,IF(F10="押三",C6/12*3*F11,C11*F11))),0)</f>
        <v>0</v>
      </c>
      <c r="D10" s="1517" t="s">
        <v>2793</v>
      </c>
      <c r="E10" s="318" t="s">
        <v>1315</v>
      </c>
      <c r="F10" s="1245"/>
      <c r="G10" s="1535"/>
      <c r="H10" s="1199" t="s">
        <v>1007</v>
      </c>
      <c r="I10" s="1516" t="s">
        <v>1314</v>
      </c>
      <c r="J10" s="306">
        <f ca="1">ROUND(IF(M10="押一",J6/12*M11,IF(M10="押二",J6/12*2*M11,IF(M10="押三",J6/12*3*M11,J11*M11))),0)</f>
        <v>0</v>
      </c>
      <c r="K10" s="1528" t="s">
        <v>2795</v>
      </c>
      <c r="L10" s="318" t="s">
        <v>1315</v>
      </c>
      <c r="M10" s="1245"/>
    </row>
    <row r="11" spans="1:37" ht="18" customHeight="1">
      <c r="A11" s="313"/>
      <c r="B11" s="1518" t="s">
        <v>1507</v>
      </c>
      <c r="C11" s="1088"/>
      <c r="D11" s="312"/>
      <c r="E11" s="318" t="s">
        <v>1317</v>
      </c>
      <c r="F11" s="319">
        <f ca="1">'数据-取费表'!B39</f>
        <v>1.4999999999999999E-2</v>
      </c>
      <c r="G11" s="1535"/>
      <c r="H11" s="1207"/>
      <c r="I11" s="1518" t="s">
        <v>1508</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0</v>
      </c>
      <c r="D13" s="1210" t="s">
        <v>1320</v>
      </c>
      <c r="E13" s="1210" t="s">
        <v>1321</v>
      </c>
      <c r="F13" s="1211">
        <f ca="1">INDIRECT("'数据-取费表'!y"&amp;$G$1)</f>
        <v>0</v>
      </c>
      <c r="G13" s="1535"/>
      <c r="H13" s="1208">
        <v>2</v>
      </c>
      <c r="I13" s="1209" t="s">
        <v>1319</v>
      </c>
      <c r="J13" s="1198">
        <f ca="1">ROUND(J14*J15,0)</f>
        <v>0</v>
      </c>
      <c r="K13" s="1216" t="s">
        <v>1320</v>
      </c>
      <c r="L13" s="1543"/>
      <c r="M13" s="1544"/>
    </row>
    <row r="14" spans="1:37" ht="18" customHeight="1">
      <c r="A14" s="1111" t="s">
        <v>1002</v>
      </c>
      <c r="B14" s="307" t="s">
        <v>1322</v>
      </c>
      <c r="C14" s="323">
        <f ca="1">ROUND(INDIRECT("'数据-取费表'!l"&amp;$G$1)*F43+'数据-取费表'!L14*INDIRECT("'数据-取费表'!S"&amp;$G$1),0)</f>
        <v>0</v>
      </c>
      <c r="D14" s="1496" t="s">
        <v>1323</v>
      </c>
      <c r="E14" s="1493"/>
      <c r="F14" s="324"/>
      <c r="G14" s="1535"/>
      <c r="H14" s="1111" t="s">
        <v>1003</v>
      </c>
      <c r="I14" s="307" t="s">
        <v>1324</v>
      </c>
      <c r="J14" s="24">
        <f ca="1">C29</f>
        <v>0</v>
      </c>
      <c r="K14" s="15"/>
      <c r="L14" s="914"/>
      <c r="M14" s="915"/>
    </row>
    <row r="15" spans="1:37" s="1548" customFormat="1" ht="18" customHeight="1" thickBot="1">
      <c r="A15" s="1111" t="s">
        <v>1004</v>
      </c>
      <c r="B15" s="307" t="s">
        <v>1325</v>
      </c>
      <c r="C15" s="24">
        <f ca="1">ROUND(C14*F15,0)</f>
        <v>0</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5"/>
      <c r="H16" s="1208" t="s">
        <v>998</v>
      </c>
      <c r="I16" s="1209" t="s">
        <v>1329</v>
      </c>
      <c r="J16" s="315">
        <f ca="1">ROUND(J17+J22+J23+J24,0)</f>
        <v>0</v>
      </c>
      <c r="K16" s="1216" t="s">
        <v>1330</v>
      </c>
      <c r="L16" s="1217"/>
      <c r="M16" s="1202"/>
    </row>
    <row r="17" spans="1:37" s="1548" customFormat="1" ht="18" customHeight="1">
      <c r="A17" s="1111" t="s">
        <v>1295</v>
      </c>
      <c r="B17" s="307" t="s">
        <v>1331</v>
      </c>
      <c r="C17" s="24">
        <f ca="1">ROUND(F17*(F43+INDIRECT("'数据-取费表'!S"&amp;$G$1)),0)</f>
        <v>0</v>
      </c>
      <c r="D17" s="307" t="s">
        <v>1332</v>
      </c>
      <c r="E17" s="307" t="s">
        <v>1333</v>
      </c>
      <c r="F17" s="26">
        <f>'数据-取费表'!B35</f>
        <v>200</v>
      </c>
      <c r="G17" s="1547"/>
      <c r="H17" s="1111" t="s">
        <v>1003</v>
      </c>
      <c r="I17" s="307" t="s">
        <v>1334</v>
      </c>
      <c r="J17" s="2500">
        <f ca="1">ROUND(IF(AND(项目基本情况!B11="自然人",项目基本情况!B10="北京市"),J6*M17/(1+'数据-取费表'!C42),J18+J19+J20),0)</f>
        <v>0</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0</v>
      </c>
      <c r="D18" s="307" t="s">
        <v>1326</v>
      </c>
      <c r="E18" s="307" t="s">
        <v>1327</v>
      </c>
      <c r="F18" s="327">
        <f>'数据-取费表'!B36</f>
        <v>1.4999999999999999E-2</v>
      </c>
      <c r="G18" s="1547"/>
      <c r="H18" s="1111" t="s">
        <v>1002</v>
      </c>
      <c r="I18" s="307" t="s">
        <v>1338</v>
      </c>
      <c r="J18" s="24">
        <f ca="1">ROUND(J6*M18/(1+'数据-取费表'!C42),0)</f>
        <v>0</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0</v>
      </c>
      <c r="D19" s="136" t="s">
        <v>1341</v>
      </c>
      <c r="E19" s="1511"/>
      <c r="F19" s="26"/>
      <c r="G19" s="1535"/>
      <c r="H19" s="1111" t="s">
        <v>1004</v>
      </c>
      <c r="I19" s="307" t="s">
        <v>1342</v>
      </c>
      <c r="J19" s="24">
        <f ca="1">IF(K19="按租金收入计税",ROUND(J6*M19/(1+'数据-取费表'!C42),0),ROUND(C29*M19*0.7,0))</f>
        <v>0</v>
      </c>
      <c r="K19" s="1521" t="s">
        <v>1343</v>
      </c>
      <c r="L19" s="307" t="s">
        <v>1327</v>
      </c>
      <c r="M19" s="327">
        <f>IF(K19="按租金收入计税",'数据-取费表'!B51,'数据-取费表'!B50)</f>
        <v>1.2E-2</v>
      </c>
    </row>
    <row r="20" spans="1:37" s="1548" customFormat="1" ht="18" customHeight="1">
      <c r="A20" s="1111" t="s">
        <v>1007</v>
      </c>
      <c r="B20" s="307" t="s">
        <v>1344</v>
      </c>
      <c r="C20" s="24">
        <f ca="1">ROUND(C19*F20,0)</f>
        <v>0</v>
      </c>
      <c r="D20" s="328" t="s">
        <v>1345</v>
      </c>
      <c r="E20" s="307" t="s">
        <v>1327</v>
      </c>
      <c r="F20" s="327">
        <f>'数据-取费表'!B37</f>
        <v>1.4999999999999999E-2</v>
      </c>
      <c r="G20" s="1547"/>
      <c r="H20" s="1111" t="s">
        <v>1294</v>
      </c>
      <c r="I20" s="159" t="s">
        <v>1346</v>
      </c>
      <c r="J20" s="25">
        <f ca="1">ROUND(M20*M21,0)</f>
        <v>0</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f ca="1">ROUND(J14*M22,0)</f>
        <v>0</v>
      </c>
      <c r="K22" s="1495" t="s">
        <v>1355</v>
      </c>
      <c r="L22" s="307" t="s">
        <v>1327</v>
      </c>
      <c r="M22" s="333">
        <f ca="1">INDIRECT("'数据-取费表'!Ak"&amp;$G$1)</f>
        <v>0</v>
      </c>
    </row>
    <row r="23" spans="1:37" s="1548"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ROUND(J13*M23,0)</f>
        <v>0</v>
      </c>
      <c r="K23" s="1495" t="s">
        <v>1359</v>
      </c>
      <c r="L23" s="307" t="s">
        <v>1360</v>
      </c>
      <c r="M23" s="335">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7" t="s">
        <v>1366</v>
      </c>
      <c r="C25" s="24"/>
      <c r="D25" s="136" t="s">
        <v>1367</v>
      </c>
      <c r="E25" s="1511"/>
      <c r="F25" s="26"/>
      <c r="G25" s="1535"/>
      <c r="H25" s="1208" t="s">
        <v>999</v>
      </c>
      <c r="I25" s="1223" t="s">
        <v>1368</v>
      </c>
      <c r="J25" s="315">
        <f ca="1">J5-J16</f>
        <v>0</v>
      </c>
      <c r="K25" s="1224" t="s">
        <v>1369</v>
      </c>
      <c r="L25" s="1225"/>
      <c r="M25" s="1226"/>
    </row>
    <row r="26" spans="1:37" ht="18" customHeight="1">
      <c r="A26" s="1111" t="s">
        <v>1002</v>
      </c>
      <c r="B26" s="307" t="s">
        <v>1370</v>
      </c>
      <c r="C26" s="24">
        <f ca="1">ROUND((C19+C20)*F26,0)</f>
        <v>0</v>
      </c>
      <c r="D26" s="328" t="s">
        <v>1371</v>
      </c>
      <c r="E26" s="318" t="s">
        <v>1372</v>
      </c>
      <c r="F26" s="317">
        <f ca="1">INDIRECT("'数据-取费表'!q"&amp;$G$1)</f>
        <v>0</v>
      </c>
      <c r="G26" s="1535"/>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0</v>
      </c>
      <c r="D29" s="1221"/>
      <c r="E29" s="1219"/>
      <c r="F29" s="1222"/>
      <c r="G29" s="1547"/>
      <c r="H29" s="339" t="s">
        <v>1001</v>
      </c>
      <c r="I29" s="340" t="s">
        <v>1384</v>
      </c>
      <c r="J29" s="341">
        <f ca="1">ROUND(J26/(1+F40)^F41,0)</f>
        <v>0</v>
      </c>
      <c r="K29" s="342" t="s">
        <v>1385</v>
      </c>
      <c r="L29" s="343"/>
      <c r="M29" s="34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0</v>
      </c>
      <c r="D30" s="1216" t="s">
        <v>1330</v>
      </c>
      <c r="E30" s="1217"/>
      <c r="F30" s="1202"/>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0</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f ca="1">IF(项目基本情况!B11="自然人","——",ROUND(C6*F32/(1+'数据-取费表'!C42),0))</f>
        <v>0</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f ca="1">IF(项目基本情况!B11="自然人","——",ROUND(F34*F35,))</f>
        <v>0</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0</v>
      </c>
      <c r="G35" s="1535"/>
      <c r="H35" s="2892"/>
      <c r="I35" s="1549"/>
      <c r="J35" s="1550"/>
      <c r="K35" s="2896"/>
      <c r="L35" s="2895"/>
      <c r="M35" s="2895"/>
    </row>
    <row r="36" spans="1:18" ht="18" customHeight="1">
      <c r="A36" s="1231" t="s">
        <v>1007</v>
      </c>
      <c r="B36" s="307" t="s">
        <v>1354</v>
      </c>
      <c r="C36" s="24">
        <f ca="1">ROUND(C29*F36,0)</f>
        <v>0</v>
      </c>
      <c r="D36" s="1495" t="s">
        <v>1387</v>
      </c>
      <c r="E36" s="307" t="s">
        <v>1327</v>
      </c>
      <c r="F36" s="333">
        <f ca="1">INDIRECT("'数据-取费表'!Ak"&amp;$G$1)</f>
        <v>0</v>
      </c>
      <c r="G36" s="1535"/>
      <c r="H36" s="2895"/>
      <c r="I36" s="1549"/>
      <c r="J36" s="1550"/>
      <c r="K36" s="2736"/>
      <c r="L36" s="2895"/>
      <c r="M36" s="2895"/>
    </row>
    <row r="37" spans="1:18" ht="18" customHeight="1">
      <c r="A37" s="1111" t="s">
        <v>1043</v>
      </c>
      <c r="B37" s="307" t="s">
        <v>1358</v>
      </c>
      <c r="C37" s="24">
        <f ca="1">ROUND(C13*F37,0)</f>
        <v>0</v>
      </c>
      <c r="D37" s="1495" t="s">
        <v>1359</v>
      </c>
      <c r="E37" s="307" t="s">
        <v>1360</v>
      </c>
      <c r="F37" s="335">
        <f ca="1">INDIRECT("'数据-取费表'!Al"&amp;$G$1)</f>
        <v>0</v>
      </c>
      <c r="G37" s="1535"/>
      <c r="H37" s="2895"/>
      <c r="I37" s="1549"/>
      <c r="J37" s="1550"/>
      <c r="K37" s="2736"/>
      <c r="L37" s="2895"/>
      <c r="M37" s="2895"/>
    </row>
    <row r="38" spans="1:18" ht="18" customHeight="1" thickBot="1">
      <c r="A38" s="1218" t="s">
        <v>1298</v>
      </c>
      <c r="B38" s="1219" t="s">
        <v>1344</v>
      </c>
      <c r="C38" s="1220">
        <f ca="1">ROUND(C5*F38,1)</f>
        <v>0</v>
      </c>
      <c r="D38" s="1221" t="s">
        <v>1364</v>
      </c>
      <c r="E38" s="1219" t="s">
        <v>1360</v>
      </c>
      <c r="F38" s="1215">
        <f ca="1">INDIRECT("'数据-取费表'!Am"&amp;$G$1)</f>
        <v>0</v>
      </c>
      <c r="G38" s="1535"/>
      <c r="H38" s="2895"/>
      <c r="I38" s="1549"/>
      <c r="J38" s="1550"/>
      <c r="K38" s="2899"/>
      <c r="L38" s="2895"/>
      <c r="M38" s="2895"/>
    </row>
    <row r="39" spans="1:18" ht="24.6" customHeight="1" thickTop="1">
      <c r="A39" s="1208" t="s">
        <v>999</v>
      </c>
      <c r="B39" s="1223" t="s">
        <v>1388</v>
      </c>
      <c r="C39" s="315">
        <f ca="1">C5-C30</f>
        <v>0</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#DIV/0!</v>
      </c>
      <c r="D40" s="329" t="s">
        <v>1374</v>
      </c>
      <c r="E40" s="307" t="s">
        <v>1375</v>
      </c>
      <c r="F40" s="317">
        <f ca="1">INDIRECT("'数据-取费表'!I"&amp;$G$1)</f>
        <v>0</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34.450000000000003</v>
      </c>
      <c r="G41" s="1535"/>
      <c r="H41" s="1322"/>
      <c r="I41" s="1549"/>
      <c r="J41" s="1550"/>
      <c r="K41" s="2736"/>
      <c r="L41" s="1322"/>
      <c r="M41" s="1322"/>
    </row>
    <row r="42" spans="1:18" ht="18" customHeight="1">
      <c r="A42" s="313"/>
      <c r="B42" s="314"/>
      <c r="C42" s="315"/>
      <c r="D42" s="332"/>
      <c r="E42" s="307" t="s">
        <v>1382</v>
      </c>
      <c r="F42" s="317">
        <f ca="1">INDIRECT("'数据-取费表'!v"&amp;$G$1)</f>
        <v>0</v>
      </c>
      <c r="G42" s="1535"/>
      <c r="H42" s="1322"/>
      <c r="I42" s="1549"/>
      <c r="J42" s="1550"/>
      <c r="K42" s="2736"/>
      <c r="L42" s="1322"/>
      <c r="M42" s="1322"/>
    </row>
    <row r="43" spans="1:18" ht="18" customHeight="1" thickBot="1">
      <c r="A43" s="339" t="s">
        <v>1001</v>
      </c>
      <c r="B43" s="340" t="s">
        <v>1392</v>
      </c>
      <c r="C43" s="341" t="e">
        <f ca="1">ROUND(C40/F43,0)</f>
        <v>#DIV/0!</v>
      </c>
      <c r="D43" s="342" t="s">
        <v>1393</v>
      </c>
      <c r="E43" s="343" t="s">
        <v>1394</v>
      </c>
      <c r="F43" s="344">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7" t="s">
        <v>1305</v>
      </c>
      <c r="F47" s="1188"/>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39" t="s">
        <v>1044</v>
      </c>
      <c r="B48" s="305" t="s">
        <v>1306</v>
      </c>
      <c r="C48" s="1510">
        <f ca="1">C49+C53+C55</f>
        <v>0</v>
      </c>
      <c r="D48" s="1241"/>
      <c r="E48" s="1242"/>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3">
        <f ca="1">ROUND(F49*F51*F50*(1-F52),0)</f>
        <v>0</v>
      </c>
      <c r="D49" s="1184" t="s">
        <v>1309</v>
      </c>
      <c r="E49" s="1523" t="s">
        <v>1396</v>
      </c>
      <c r="F49" s="1189"/>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5" t="s">
        <v>1311</v>
      </c>
      <c r="F50" s="1186">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8">
        <f ca="1">F8</f>
        <v>1</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3"/>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8" t="s">
        <v>1314</v>
      </c>
      <c r="C53" s="321">
        <f ca="1">ROUND(IF(F53="押一",C49/12*F11,IF(F53="押二",C49/12*2*F11,IF(F53="押三",C49/12*3*F11,C54*F11))),0)</f>
        <v>0</v>
      </c>
      <c r="D53" s="1517" t="s">
        <v>2796</v>
      </c>
      <c r="E53" s="318" t="s">
        <v>1315</v>
      </c>
      <c r="F53" s="1245"/>
      <c r="I53" s="1590" t="s">
        <v>1452</v>
      </c>
      <c r="J53" s="2352">
        <f ca="1">IF(M47="住宅",IF(D1="——",MAX(J51,L48),MAX(J51,L48-'数据-取费表'!B24)),IF(D1="——",MIN(J51,L48),MIN(J51,L48-'数据-取费表'!B24)))</f>
        <v>0</v>
      </c>
      <c r="K53" s="3745" t="s">
        <v>1453</v>
      </c>
      <c r="L53" s="3746"/>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7">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3">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20" t="s">
        <v>998</v>
      </c>
      <c r="B58" s="1087" t="s">
        <v>1329</v>
      </c>
      <c r="C58" s="321">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6">
        <f t="shared" ref="F60:F66" si="0">F32</f>
        <v>5.5000000000000007E-2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1"/>
      <c r="B63" s="1085"/>
      <c r="C63" s="29"/>
      <c r="D63" s="1095"/>
      <c r="E63" s="1079" t="s">
        <v>1404</v>
      </c>
      <c r="F63" s="308">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3">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5">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7">
        <f t="shared" ca="1" si="0"/>
        <v>0</v>
      </c>
      <c r="O66" s="1569" t="s">
        <v>1009</v>
      </c>
      <c r="P66" s="1570" t="s">
        <v>1463</v>
      </c>
      <c r="Q66" s="1571" t="e">
        <f ca="1">L60</f>
        <v>#DIV/0!</v>
      </c>
      <c r="R66" s="1571" t="s">
        <v>1486</v>
      </c>
    </row>
    <row r="67" spans="1:18" s="1535" customFormat="1" ht="16.5" thickBot="1">
      <c r="A67" s="1086" t="s">
        <v>999</v>
      </c>
      <c r="B67" s="1096" t="s">
        <v>1368</v>
      </c>
      <c r="C67" s="321">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6" t="e">
        <f ca="1">ROUND(C67*(1-((1+F70)/(1+F68))^F69)/(F68-F70),0)</f>
        <v>#DIV/0!</v>
      </c>
      <c r="D68" s="1094" t="s">
        <v>1374</v>
      </c>
      <c r="E68" s="1079" t="s">
        <v>1375</v>
      </c>
      <c r="F68" s="317">
        <f ca="1">F40</f>
        <v>0</v>
      </c>
      <c r="O68" s="1579" t="s">
        <v>1011</v>
      </c>
      <c r="P68" s="1618" t="s">
        <v>1488</v>
      </c>
      <c r="Q68" s="1571">
        <f ca="1">ROUND(Q69-Q70*Q71,0)</f>
        <v>0</v>
      </c>
      <c r="R68" s="1571" t="s">
        <v>1019</v>
      </c>
    </row>
    <row r="69" spans="1:18" s="1535" customFormat="1" ht="13.5" thickBot="1">
      <c r="A69" s="1080"/>
      <c r="B69" s="1081"/>
      <c r="C69" s="311"/>
      <c r="D69" s="1099" t="s">
        <v>1378</v>
      </c>
      <c r="E69" s="1079" t="s">
        <v>1379</v>
      </c>
      <c r="F69" s="338">
        <f ca="1">F41</f>
        <v>34.450000000000003</v>
      </c>
      <c r="O69" s="1579" t="s">
        <v>1016</v>
      </c>
      <c r="P69" s="1618" t="s">
        <v>1489</v>
      </c>
      <c r="Q69" s="1571">
        <f ca="1">C39</f>
        <v>0</v>
      </c>
      <c r="R69" s="1571" t="s">
        <v>1434</v>
      </c>
    </row>
    <row r="70" spans="1:18" s="1535" customFormat="1" ht="13.5" thickBot="1">
      <c r="A70" s="1083"/>
      <c r="B70" s="1084"/>
      <c r="C70" s="315"/>
      <c r="D70" s="1095"/>
      <c r="E70" s="1079" t="s">
        <v>1382</v>
      </c>
      <c r="F70" s="1183">
        <f ca="1">F42</f>
        <v>0</v>
      </c>
      <c r="O70" s="1579" t="s">
        <v>1017</v>
      </c>
      <c r="P70" s="1618" t="s">
        <v>1490</v>
      </c>
      <c r="Q70" s="1571">
        <f ca="1">C13</f>
        <v>0</v>
      </c>
      <c r="R70" s="1571" t="s">
        <v>1434</v>
      </c>
    </row>
    <row r="71" spans="1:18" s="1535" customFormat="1" ht="13.5" thickBot="1">
      <c r="A71" s="1100" t="s">
        <v>1001</v>
      </c>
      <c r="B71" s="1101" t="s">
        <v>1392</v>
      </c>
      <c r="C71" s="341" t="e">
        <f ca="1">ROUND(C68/F71,0)</f>
        <v>#DIV/0!</v>
      </c>
      <c r="D71" s="1102" t="s">
        <v>1393</v>
      </c>
      <c r="E71" s="1103" t="s">
        <v>1394</v>
      </c>
      <c r="F71" s="344">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5" t="s">
        <v>1411</v>
      </c>
      <c r="C75" s="346">
        <f ca="1">ROUND(C13*C76,0)</f>
        <v>0</v>
      </c>
      <c r="D75" s="1535"/>
      <c r="E75" s="1535"/>
      <c r="F75" s="1535"/>
      <c r="K75" s="1553"/>
      <c r="L75" s="1535"/>
      <c r="O75" s="1569" t="s">
        <v>1014</v>
      </c>
      <c r="P75" s="1570" t="s">
        <v>1454</v>
      </c>
      <c r="Q75" s="1571" t="e">
        <f ca="1">Q65+Q66</f>
        <v>#DIV/0!</v>
      </c>
      <c r="R75" s="1571" t="s">
        <v>1015</v>
      </c>
    </row>
    <row r="76" spans="1:18">
      <c r="B76" s="347" t="s">
        <v>1412</v>
      </c>
      <c r="C76" s="348">
        <f ca="1">INDIRECT("'数据-取费表'!j"&amp;$G$1)</f>
        <v>0</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1" sqref="E1:F1"/>
    </sheetView>
  </sheetViews>
  <sheetFormatPr defaultColWidth="8.875" defaultRowHeight="13.3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625" style="3199" customWidth="1"/>
    <col min="11" max="11" width="11.625" style="3199" customWidth="1"/>
    <col min="12" max="13" width="10.62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625" style="3039" customWidth="1"/>
    <col min="267" max="267" width="11.625" style="3039" customWidth="1"/>
    <col min="268" max="269" width="10.62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625" style="3039" customWidth="1"/>
    <col min="523" max="523" width="11.625" style="3039" customWidth="1"/>
    <col min="524" max="525" width="10.62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625" style="3039" customWidth="1"/>
    <col min="779" max="779" width="11.625" style="3039" customWidth="1"/>
    <col min="780" max="781" width="10.62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625" style="3039" customWidth="1"/>
    <col min="1035" max="1035" width="11.625" style="3039" customWidth="1"/>
    <col min="1036" max="1037" width="10.62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625" style="3039" customWidth="1"/>
    <col min="1291" max="1291" width="11.625" style="3039" customWidth="1"/>
    <col min="1292" max="1293" width="10.62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625" style="3039" customWidth="1"/>
    <col min="1547" max="1547" width="11.625" style="3039" customWidth="1"/>
    <col min="1548" max="1549" width="10.62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625" style="3039" customWidth="1"/>
    <col min="1803" max="1803" width="11.625" style="3039" customWidth="1"/>
    <col min="1804" max="1805" width="10.62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625" style="3039" customWidth="1"/>
    <col min="2059" max="2059" width="11.625" style="3039" customWidth="1"/>
    <col min="2060" max="2061" width="10.62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625" style="3039" customWidth="1"/>
    <col min="2315" max="2315" width="11.625" style="3039" customWidth="1"/>
    <col min="2316" max="2317" width="10.62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625" style="3039" customWidth="1"/>
    <col min="2571" max="2571" width="11.625" style="3039" customWidth="1"/>
    <col min="2572" max="2573" width="10.62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625" style="3039" customWidth="1"/>
    <col min="2827" max="2827" width="11.625" style="3039" customWidth="1"/>
    <col min="2828" max="2829" width="10.62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625" style="3039" customWidth="1"/>
    <col min="3083" max="3083" width="11.625" style="3039" customWidth="1"/>
    <col min="3084" max="3085" width="10.62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625" style="3039" customWidth="1"/>
    <col min="3339" max="3339" width="11.625" style="3039" customWidth="1"/>
    <col min="3340" max="3341" width="10.62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625" style="3039" customWidth="1"/>
    <col min="3595" max="3595" width="11.625" style="3039" customWidth="1"/>
    <col min="3596" max="3597" width="10.62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625" style="3039" customWidth="1"/>
    <col min="3851" max="3851" width="11.625" style="3039" customWidth="1"/>
    <col min="3852" max="3853" width="10.62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625" style="3039" customWidth="1"/>
    <col min="4107" max="4107" width="11.625" style="3039" customWidth="1"/>
    <col min="4108" max="4109" width="10.62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625" style="3039" customWidth="1"/>
    <col min="4363" max="4363" width="11.625" style="3039" customWidth="1"/>
    <col min="4364" max="4365" width="10.62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625" style="3039" customWidth="1"/>
    <col min="4619" max="4619" width="11.625" style="3039" customWidth="1"/>
    <col min="4620" max="4621" width="10.62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625" style="3039" customWidth="1"/>
    <col min="4875" max="4875" width="11.625" style="3039" customWidth="1"/>
    <col min="4876" max="4877" width="10.62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625" style="3039" customWidth="1"/>
    <col min="5131" max="5131" width="11.625" style="3039" customWidth="1"/>
    <col min="5132" max="5133" width="10.62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625" style="3039" customWidth="1"/>
    <col min="5387" max="5387" width="11.625" style="3039" customWidth="1"/>
    <col min="5388" max="5389" width="10.62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625" style="3039" customWidth="1"/>
    <col min="5643" max="5643" width="11.625" style="3039" customWidth="1"/>
    <col min="5644" max="5645" width="10.62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625" style="3039" customWidth="1"/>
    <col min="5899" max="5899" width="11.625" style="3039" customWidth="1"/>
    <col min="5900" max="5901" width="10.62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625" style="3039" customWidth="1"/>
    <col min="6155" max="6155" width="11.625" style="3039" customWidth="1"/>
    <col min="6156" max="6157" width="10.62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625" style="3039" customWidth="1"/>
    <col min="6411" max="6411" width="11.625" style="3039" customWidth="1"/>
    <col min="6412" max="6413" width="10.62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625" style="3039" customWidth="1"/>
    <col min="6667" max="6667" width="11.625" style="3039" customWidth="1"/>
    <col min="6668" max="6669" width="10.62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625" style="3039" customWidth="1"/>
    <col min="6923" max="6923" width="11.625" style="3039" customWidth="1"/>
    <col min="6924" max="6925" width="10.62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625" style="3039" customWidth="1"/>
    <col min="7179" max="7179" width="11.625" style="3039" customWidth="1"/>
    <col min="7180" max="7181" width="10.62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625" style="3039" customWidth="1"/>
    <col min="7435" max="7435" width="11.625" style="3039" customWidth="1"/>
    <col min="7436" max="7437" width="10.62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625" style="3039" customWidth="1"/>
    <col min="7691" max="7691" width="11.625" style="3039" customWidth="1"/>
    <col min="7692" max="7693" width="10.62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625" style="3039" customWidth="1"/>
    <col min="7947" max="7947" width="11.625" style="3039" customWidth="1"/>
    <col min="7948" max="7949" width="10.62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625" style="3039" customWidth="1"/>
    <col min="8203" max="8203" width="11.625" style="3039" customWidth="1"/>
    <col min="8204" max="8205" width="10.62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625" style="3039" customWidth="1"/>
    <col min="8459" max="8459" width="11.625" style="3039" customWidth="1"/>
    <col min="8460" max="8461" width="10.62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625" style="3039" customWidth="1"/>
    <col min="8715" max="8715" width="11.625" style="3039" customWidth="1"/>
    <col min="8716" max="8717" width="10.62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625" style="3039" customWidth="1"/>
    <col min="8971" max="8971" width="11.625" style="3039" customWidth="1"/>
    <col min="8972" max="8973" width="10.62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625" style="3039" customWidth="1"/>
    <col min="9227" max="9227" width="11.625" style="3039" customWidth="1"/>
    <col min="9228" max="9229" width="10.62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625" style="3039" customWidth="1"/>
    <col min="9483" max="9483" width="11.625" style="3039" customWidth="1"/>
    <col min="9484" max="9485" width="10.62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625" style="3039" customWidth="1"/>
    <col min="9739" max="9739" width="11.625" style="3039" customWidth="1"/>
    <col min="9740" max="9741" width="10.62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625" style="3039" customWidth="1"/>
    <col min="9995" max="9995" width="11.625" style="3039" customWidth="1"/>
    <col min="9996" max="9997" width="10.62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625" style="3039" customWidth="1"/>
    <col min="10251" max="10251" width="11.625" style="3039" customWidth="1"/>
    <col min="10252" max="10253" width="10.62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625" style="3039" customWidth="1"/>
    <col min="10507" max="10507" width="11.625" style="3039" customWidth="1"/>
    <col min="10508" max="10509" width="10.62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625" style="3039" customWidth="1"/>
    <col min="10763" max="10763" width="11.625" style="3039" customWidth="1"/>
    <col min="10764" max="10765" width="10.62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625" style="3039" customWidth="1"/>
    <col min="11019" max="11019" width="11.625" style="3039" customWidth="1"/>
    <col min="11020" max="11021" width="10.62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625" style="3039" customWidth="1"/>
    <col min="11275" max="11275" width="11.625" style="3039" customWidth="1"/>
    <col min="11276" max="11277" width="10.62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625" style="3039" customWidth="1"/>
    <col min="11531" max="11531" width="11.625" style="3039" customWidth="1"/>
    <col min="11532" max="11533" width="10.62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625" style="3039" customWidth="1"/>
    <col min="11787" max="11787" width="11.625" style="3039" customWidth="1"/>
    <col min="11788" max="11789" width="10.62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625" style="3039" customWidth="1"/>
    <col min="12043" max="12043" width="11.625" style="3039" customWidth="1"/>
    <col min="12044" max="12045" width="10.62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625" style="3039" customWidth="1"/>
    <col min="12299" max="12299" width="11.625" style="3039" customWidth="1"/>
    <col min="12300" max="12301" width="10.62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625" style="3039" customWidth="1"/>
    <col min="12555" max="12555" width="11.625" style="3039" customWidth="1"/>
    <col min="12556" max="12557" width="10.62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625" style="3039" customWidth="1"/>
    <col min="12811" max="12811" width="11.625" style="3039" customWidth="1"/>
    <col min="12812" max="12813" width="10.62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625" style="3039" customWidth="1"/>
    <col min="13067" max="13067" width="11.625" style="3039" customWidth="1"/>
    <col min="13068" max="13069" width="10.62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625" style="3039" customWidth="1"/>
    <col min="13323" max="13323" width="11.625" style="3039" customWidth="1"/>
    <col min="13324" max="13325" width="10.62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625" style="3039" customWidth="1"/>
    <col min="13579" max="13579" width="11.625" style="3039" customWidth="1"/>
    <col min="13580" max="13581" width="10.62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625" style="3039" customWidth="1"/>
    <col min="13835" max="13835" width="11.625" style="3039" customWidth="1"/>
    <col min="13836" max="13837" width="10.62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625" style="3039" customWidth="1"/>
    <col min="14091" max="14091" width="11.625" style="3039" customWidth="1"/>
    <col min="14092" max="14093" width="10.62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625" style="3039" customWidth="1"/>
    <col min="14347" max="14347" width="11.625" style="3039" customWidth="1"/>
    <col min="14348" max="14349" width="10.62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625" style="3039" customWidth="1"/>
    <col min="14603" max="14603" width="11.625" style="3039" customWidth="1"/>
    <col min="14604" max="14605" width="10.62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625" style="3039" customWidth="1"/>
    <col min="14859" max="14859" width="11.625" style="3039" customWidth="1"/>
    <col min="14860" max="14861" width="10.62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625" style="3039" customWidth="1"/>
    <col min="15115" max="15115" width="11.625" style="3039" customWidth="1"/>
    <col min="15116" max="15117" width="10.62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625" style="3039" customWidth="1"/>
    <col min="15371" max="15371" width="11.625" style="3039" customWidth="1"/>
    <col min="15372" max="15373" width="10.62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625" style="3039" customWidth="1"/>
    <col min="15627" max="15627" width="11.625" style="3039" customWidth="1"/>
    <col min="15628" max="15629" width="10.62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625" style="3039" customWidth="1"/>
    <col min="15883" max="15883" width="11.625" style="3039" customWidth="1"/>
    <col min="15884" max="15885" width="10.62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625" style="3039" customWidth="1"/>
    <col min="16139" max="16139" width="11.625" style="3039" customWidth="1"/>
    <col min="16140" max="16141" width="10.62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3122</v>
      </c>
      <c r="B1" s="3029"/>
      <c r="C1" s="3041"/>
      <c r="D1" s="3041"/>
      <c r="E1" s="3030"/>
      <c r="F1" s="3031"/>
      <c r="G1" s="3032"/>
      <c r="J1" s="3035" t="s">
        <v>3001</v>
      </c>
      <c r="K1" s="3036"/>
      <c r="L1" s="3036"/>
      <c r="M1" s="3036"/>
      <c r="N1" s="3036"/>
      <c r="O1" s="3036"/>
      <c r="P1" s="3036"/>
      <c r="Q1" s="3036"/>
      <c r="R1" s="3037"/>
      <c r="S1" s="3038"/>
      <c r="T1" s="3038"/>
      <c r="U1" s="3038"/>
    </row>
    <row r="2" spans="1:22" s="3050" customFormat="1" ht="13.35" customHeight="1">
      <c r="A2" s="1536" t="s">
        <v>3002</v>
      </c>
      <c r="B2" s="3040" t="e">
        <f>C40</f>
        <v>#DIV/0!</v>
      </c>
      <c r="C2" s="3041" t="s">
        <v>3003</v>
      </c>
      <c r="D2" s="3041"/>
      <c r="E2" s="3042"/>
      <c r="F2" s="3043"/>
      <c r="G2" s="3044"/>
      <c r="H2" s="3045"/>
      <c r="I2" s="3046"/>
      <c r="J2" s="3758" t="s">
        <v>3004</v>
      </c>
      <c r="K2" s="3759"/>
      <c r="L2" s="3047" t="s">
        <v>3005</v>
      </c>
      <c r="M2" s="3047" t="s">
        <v>3006</v>
      </c>
      <c r="N2" s="3047" t="s">
        <v>3007</v>
      </c>
      <c r="O2" s="3047" t="s">
        <v>3008</v>
      </c>
      <c r="P2" s="3047" t="s">
        <v>3009</v>
      </c>
      <c r="Q2" s="3048" t="s">
        <v>3010</v>
      </c>
      <c r="R2" s="3049" t="s">
        <v>3011</v>
      </c>
      <c r="S2" s="3038"/>
      <c r="T2" s="3038"/>
      <c r="U2" s="3038"/>
      <c r="V2" s="3046"/>
    </row>
    <row r="3" spans="1:22" s="3050" customFormat="1" ht="13.35" customHeight="1">
      <c r="A3" s="3051" t="s">
        <v>3012</v>
      </c>
      <c r="B3" s="3052" t="e">
        <f>ROUND(B2*10000/B4,0)</f>
        <v>#DIV/0!</v>
      </c>
      <c r="C3" s="3041" t="s">
        <v>3013</v>
      </c>
      <c r="D3" s="3041"/>
      <c r="E3" s="3042"/>
      <c r="F3" s="3043"/>
      <c r="G3" s="3044"/>
      <c r="H3" s="3045"/>
      <c r="I3" s="3046"/>
      <c r="J3" s="3760" t="s">
        <v>3014</v>
      </c>
      <c r="K3" s="3761"/>
      <c r="L3" s="3053"/>
      <c r="M3" s="3053"/>
      <c r="N3" s="3053"/>
      <c r="O3" s="3053"/>
      <c r="P3" s="3053"/>
      <c r="Q3" s="3054"/>
      <c r="R3" s="3055">
        <f>SUM(L3:Q3)</f>
        <v>0</v>
      </c>
      <c r="S3" s="3038"/>
      <c r="T3" s="3038"/>
      <c r="U3" s="3038"/>
      <c r="V3" s="3046"/>
    </row>
    <row r="4" spans="1:22" s="3050" customFormat="1" ht="13.35" customHeight="1">
      <c r="A4" s="3056" t="s">
        <v>3015</v>
      </c>
      <c r="B4" s="3057"/>
      <c r="C4" s="3041"/>
      <c r="D4" s="3041"/>
      <c r="E4" s="3042"/>
      <c r="F4" s="3043"/>
      <c r="G4" s="3044"/>
      <c r="H4" s="3045"/>
      <c r="I4" s="3046"/>
      <c r="J4" s="3760" t="s">
        <v>3016</v>
      </c>
      <c r="K4" s="3761"/>
      <c r="L4" s="3058"/>
      <c r="M4" s="3058"/>
      <c r="N4" s="3058"/>
      <c r="O4" s="3058"/>
      <c r="P4" s="3058"/>
      <c r="Q4" s="3059"/>
      <c r="R4" s="3060">
        <f>SUM(L4:Q4)</f>
        <v>0</v>
      </c>
      <c r="S4" s="3038"/>
      <c r="T4" s="3038"/>
      <c r="U4" s="3038"/>
      <c r="V4" s="3046"/>
    </row>
    <row r="5" spans="1:22" s="3050" customFormat="1" ht="13.35" customHeight="1" thickBot="1">
      <c r="A5" s="3061" t="s">
        <v>3017</v>
      </c>
      <c r="B5" s="3062"/>
      <c r="C5" s="3041"/>
      <c r="D5" s="3063"/>
      <c r="E5" s="3043"/>
      <c r="F5" s="3043"/>
      <c r="G5" s="3044"/>
      <c r="H5" s="3045"/>
      <c r="I5" s="3046"/>
      <c r="J5" s="3064" t="s">
        <v>3018</v>
      </c>
      <c r="K5" s="3065"/>
      <c r="L5" s="3065"/>
      <c r="M5" s="3066"/>
      <c r="N5" s="3066"/>
      <c r="O5" s="3066"/>
      <c r="P5" s="3066"/>
      <c r="Q5" s="3066"/>
      <c r="R5" s="3049">
        <f>SUM(R14,R19,R24,R25,R27,R28)</f>
        <v>0</v>
      </c>
      <c r="S5" s="3038"/>
      <c r="T5" s="3038" t="s">
        <v>3019</v>
      </c>
      <c r="U5" s="3038" t="e">
        <f>ROUND(R5*10000/365/R3,1)</f>
        <v>#DIV/0!</v>
      </c>
      <c r="V5" s="3046"/>
    </row>
    <row r="6" spans="1:22" s="3050" customFormat="1" ht="13.35" customHeight="1" thickBot="1">
      <c r="A6" s="3766" t="s">
        <v>3020</v>
      </c>
      <c r="B6" s="3767"/>
      <c r="C6" s="3768"/>
      <c r="D6" s="3067"/>
      <c r="E6" s="3068"/>
      <c r="F6" s="3069"/>
      <c r="G6" s="3070"/>
      <c r="H6" s="3045"/>
      <c r="I6" s="3046"/>
      <c r="J6" s="3752">
        <v>1</v>
      </c>
      <c r="K6" s="3753" t="s">
        <v>3021</v>
      </c>
      <c r="L6" s="3071" t="s">
        <v>3022</v>
      </c>
      <c r="M6" s="3072" t="s">
        <v>3023</v>
      </c>
      <c r="N6" s="3072" t="s">
        <v>3024</v>
      </c>
      <c r="O6" s="3072" t="s">
        <v>3025</v>
      </c>
      <c r="P6" s="3072" t="s">
        <v>3026</v>
      </c>
      <c r="Q6" s="3072" t="s">
        <v>3027</v>
      </c>
      <c r="R6" s="3055" t="s">
        <v>3028</v>
      </c>
      <c r="S6" s="3038"/>
      <c r="T6" s="3038" t="s">
        <v>3029</v>
      </c>
      <c r="U6" s="3038"/>
      <c r="V6" s="3046"/>
    </row>
    <row r="7" spans="1:22" s="3050" customFormat="1" ht="13.35" customHeight="1">
      <c r="A7" s="3073" t="s">
        <v>3030</v>
      </c>
      <c r="B7" s="3074"/>
      <c r="C7" s="3075"/>
      <c r="D7" s="3076">
        <f>SUM(D9,D10,D11,D17,0)</f>
        <v>0</v>
      </c>
      <c r="E7" s="3077" t="e">
        <f>E9+E10+E11+E17</f>
        <v>#DIV/0!</v>
      </c>
      <c r="F7" s="3078"/>
      <c r="G7" s="3079"/>
      <c r="H7" s="3045"/>
      <c r="I7" s="3046"/>
      <c r="J7" s="3752"/>
      <c r="K7" s="3754"/>
      <c r="L7" s="3080" t="s">
        <v>3031</v>
      </c>
      <c r="M7" s="3081"/>
      <c r="N7" s="3057"/>
      <c r="O7" s="3082"/>
      <c r="P7" s="3082"/>
      <c r="Q7" s="3083">
        <v>365</v>
      </c>
      <c r="R7" s="3084">
        <f>ROUND(M7*N7*O7*P7*Q7/10000,0)</f>
        <v>0</v>
      </c>
      <c r="S7" s="3038"/>
      <c r="T7" s="3038" t="s">
        <v>3032</v>
      </c>
      <c r="U7" s="3038"/>
      <c r="V7" s="3046"/>
    </row>
    <row r="8" spans="1:22" s="3050" customFormat="1" ht="13.35" customHeight="1">
      <c r="A8" s="3085" t="s">
        <v>3033</v>
      </c>
      <c r="B8" s="3769" t="s">
        <v>3034</v>
      </c>
      <c r="C8" s="3770"/>
      <c r="D8" s="3086" t="s">
        <v>3035</v>
      </c>
      <c r="E8" s="3087" t="s">
        <v>3036</v>
      </c>
      <c r="F8" s="3088" t="s">
        <v>3037</v>
      </c>
      <c r="G8" s="3089"/>
      <c r="H8" s="3045"/>
      <c r="I8" s="3046"/>
      <c r="J8" s="3752"/>
      <c r="K8" s="3754"/>
      <c r="L8" s="3080" t="s">
        <v>3038</v>
      </c>
      <c r="M8" s="3081"/>
      <c r="N8" s="3057"/>
      <c r="O8" s="3082"/>
      <c r="P8" s="3082"/>
      <c r="Q8" s="3083">
        <v>365</v>
      </c>
      <c r="R8" s="3084">
        <f t="shared" ref="R8:R13" si="0">ROUND(M8*N8*O8*P8*Q8/10000,0)</f>
        <v>0</v>
      </c>
      <c r="S8" s="3038"/>
      <c r="T8" s="3038" t="s">
        <v>3039</v>
      </c>
      <c r="U8" s="3038"/>
      <c r="V8" s="3046"/>
    </row>
    <row r="9" spans="1:22" s="3050" customFormat="1" ht="13.35" customHeight="1">
      <c r="A9" s="3085">
        <v>1</v>
      </c>
      <c r="B9" s="3769" t="s">
        <v>3040</v>
      </c>
      <c r="C9" s="3770"/>
      <c r="D9" s="3086">
        <f>ROUND(D6*E9,0)</f>
        <v>0</v>
      </c>
      <c r="E9" s="3090"/>
      <c r="F9" s="3091" t="s">
        <v>3041</v>
      </c>
      <c r="G9" s="3070"/>
      <c r="H9" s="3045"/>
      <c r="I9" s="3046"/>
      <c r="J9" s="3752"/>
      <c r="K9" s="3754"/>
      <c r="L9" s="3080" t="s">
        <v>3042</v>
      </c>
      <c r="M9" s="3081"/>
      <c r="N9" s="3057"/>
      <c r="O9" s="3082"/>
      <c r="P9" s="3082"/>
      <c r="Q9" s="3083">
        <v>365</v>
      </c>
      <c r="R9" s="3084">
        <f t="shared" si="0"/>
        <v>0</v>
      </c>
      <c r="S9" s="3038"/>
      <c r="T9" s="3038"/>
      <c r="U9" s="3038"/>
      <c r="V9" s="3046"/>
    </row>
    <row r="10" spans="1:22" s="3050" customFormat="1" ht="13.35" customHeight="1">
      <c r="A10" s="3085">
        <v>2</v>
      </c>
      <c r="B10" s="3769" t="s">
        <v>3043</v>
      </c>
      <c r="C10" s="3770"/>
      <c r="D10" s="3086">
        <f>ROUND(D6*E10,0)</f>
        <v>0</v>
      </c>
      <c r="E10" s="3090"/>
      <c r="F10" s="3091" t="s">
        <v>3044</v>
      </c>
      <c r="G10" s="3070"/>
      <c r="H10" s="3045"/>
      <c r="I10" s="3046"/>
      <c r="J10" s="3752"/>
      <c r="K10" s="3754"/>
      <c r="L10" s="3080" t="s">
        <v>3045</v>
      </c>
      <c r="M10" s="3081"/>
      <c r="N10" s="3057"/>
      <c r="O10" s="3082"/>
      <c r="P10" s="3082"/>
      <c r="Q10" s="3083">
        <v>365</v>
      </c>
      <c r="R10" s="3084">
        <f t="shared" si="0"/>
        <v>0</v>
      </c>
      <c r="S10" s="3038"/>
      <c r="T10" s="3038"/>
      <c r="U10" s="3038"/>
      <c r="V10" s="3046"/>
    </row>
    <row r="11" spans="1:22" s="3050" customFormat="1" ht="13.35" customHeight="1">
      <c r="A11" s="3085">
        <v>3</v>
      </c>
      <c r="B11" s="3769" t="s">
        <v>3046</v>
      </c>
      <c r="C11" s="3770"/>
      <c r="D11" s="3086">
        <f>D12+D14+D15+D16</f>
        <v>0</v>
      </c>
      <c r="E11" s="3092" t="e">
        <f>D11/D6</f>
        <v>#DIV/0!</v>
      </c>
      <c r="F11" s="3088"/>
      <c r="G11" s="3089"/>
      <c r="H11" s="3045"/>
      <c r="I11" s="3046"/>
      <c r="J11" s="3752"/>
      <c r="K11" s="3754"/>
      <c r="L11" s="3080" t="s">
        <v>3047</v>
      </c>
      <c r="M11" s="3081"/>
      <c r="N11" s="3057"/>
      <c r="O11" s="3082"/>
      <c r="P11" s="3082"/>
      <c r="Q11" s="3083">
        <v>365</v>
      </c>
      <c r="R11" s="3084">
        <f t="shared" si="0"/>
        <v>0</v>
      </c>
      <c r="S11" s="3038"/>
      <c r="T11" s="3038"/>
      <c r="U11" s="3038"/>
      <c r="V11" s="3046"/>
    </row>
    <row r="12" spans="1:22" s="3050" customFormat="1" ht="13.35" customHeight="1">
      <c r="A12" s="3093" t="s">
        <v>3048</v>
      </c>
      <c r="B12" s="3762" t="s">
        <v>3049</v>
      </c>
      <c r="C12" s="3763"/>
      <c r="D12" s="3094">
        <f>ROUND(D13*1.2%*(1-30%),0)</f>
        <v>0</v>
      </c>
      <c r="E12" s="3095">
        <v>1.2E-2</v>
      </c>
      <c r="F12" s="3088" t="s">
        <v>3050</v>
      </c>
      <c r="G12" s="3089"/>
      <c r="H12" s="3045"/>
      <c r="I12" s="3046"/>
      <c r="J12" s="3752"/>
      <c r="K12" s="3754"/>
      <c r="L12" s="3080" t="s">
        <v>3051</v>
      </c>
      <c r="M12" s="3081"/>
      <c r="N12" s="3057"/>
      <c r="O12" s="3082"/>
      <c r="P12" s="3082"/>
      <c r="Q12" s="3083">
        <v>365</v>
      </c>
      <c r="R12" s="3084">
        <f t="shared" si="0"/>
        <v>0</v>
      </c>
      <c r="S12" s="3038"/>
      <c r="T12" s="3038"/>
      <c r="U12" s="3038"/>
      <c r="V12" s="3046"/>
    </row>
    <row r="13" spans="1:22" s="3050" customFormat="1" ht="13.35" customHeight="1">
      <c r="A13" s="3093"/>
      <c r="B13" s="3096"/>
      <c r="C13" s="3097" t="s">
        <v>3052</v>
      </c>
      <c r="D13" s="3098"/>
      <c r="E13" s="3099"/>
      <c r="F13" s="3088"/>
      <c r="G13" s="3089"/>
      <c r="H13" s="3045"/>
      <c r="I13" s="3046"/>
      <c r="J13" s="3752"/>
      <c r="K13" s="3754"/>
      <c r="L13" s="3080" t="s">
        <v>3053</v>
      </c>
      <c r="M13" s="3081"/>
      <c r="N13" s="3057"/>
      <c r="O13" s="3082"/>
      <c r="P13" s="3082"/>
      <c r="Q13" s="3083">
        <v>365</v>
      </c>
      <c r="R13" s="3084">
        <f t="shared" si="0"/>
        <v>0</v>
      </c>
      <c r="S13" s="3038"/>
      <c r="T13" s="3038"/>
      <c r="U13" s="3038"/>
      <c r="V13" s="3046"/>
    </row>
    <row r="14" spans="1:22" s="3050" customFormat="1" ht="13.35" customHeight="1">
      <c r="A14" s="3093" t="s">
        <v>3054</v>
      </c>
      <c r="B14" s="3762" t="s">
        <v>3055</v>
      </c>
      <c r="C14" s="3763"/>
      <c r="D14" s="3094">
        <f>ROUND(E14*B5/10000,0)</f>
        <v>0</v>
      </c>
      <c r="E14" s="3083"/>
      <c r="F14" s="3088" t="s">
        <v>3056</v>
      </c>
      <c r="G14" s="3089"/>
      <c r="H14" s="3045"/>
      <c r="I14" s="3046"/>
      <c r="J14" s="3752"/>
      <c r="K14" s="3755"/>
      <c r="L14" s="3100" t="s">
        <v>3057</v>
      </c>
      <c r="M14" s="3101">
        <f>SUM(M7:M13)</f>
        <v>0</v>
      </c>
      <c r="N14" s="3101" t="e">
        <f>ROUND((N7*M7+N8*M8+N9*M9+N10*M10+N11*M11+N12*M12+N13*M13)/M14,0)</f>
        <v>#DIV/0!</v>
      </c>
      <c r="O14" s="3102"/>
      <c r="P14" s="3102"/>
      <c r="Q14" s="3103"/>
      <c r="R14" s="3049">
        <f>SUM(R7:R13)</f>
        <v>0</v>
      </c>
      <c r="S14" s="3038"/>
      <c r="T14" s="3038"/>
      <c r="U14" s="3038"/>
      <c r="V14" s="3046"/>
    </row>
    <row r="15" spans="1:22" s="3050" customFormat="1" ht="13.35" customHeight="1">
      <c r="A15" s="3093" t="s">
        <v>3058</v>
      </c>
      <c r="B15" s="3762" t="s">
        <v>3059</v>
      </c>
      <c r="C15" s="3763"/>
      <c r="D15" s="3094">
        <f>ROUND(D6*E15,0)</f>
        <v>0</v>
      </c>
      <c r="E15" s="3095">
        <v>5.5E-2</v>
      </c>
      <c r="F15" s="3088" t="s">
        <v>3060</v>
      </c>
      <c r="G15" s="3070"/>
      <c r="H15" s="3045"/>
      <c r="I15" s="3046"/>
      <c r="J15" s="3752">
        <v>2</v>
      </c>
      <c r="K15" s="3753" t="s">
        <v>3061</v>
      </c>
      <c r="L15" s="3080" t="s">
        <v>3062</v>
      </c>
      <c r="M15" s="3081" t="s">
        <v>3063</v>
      </c>
      <c r="N15" s="3081" t="s">
        <v>3064</v>
      </c>
      <c r="O15" s="3082" t="s">
        <v>3065</v>
      </c>
      <c r="P15" s="3082" t="s">
        <v>3027</v>
      </c>
      <c r="Q15" s="3057" t="s">
        <v>3066</v>
      </c>
      <c r="R15" s="3104" t="s">
        <v>3028</v>
      </c>
      <c r="S15" s="3038"/>
      <c r="T15" s="3038"/>
      <c r="U15" s="3038"/>
      <c r="V15" s="3046"/>
    </row>
    <row r="16" spans="1:22" s="3050" customFormat="1" ht="13.35" customHeight="1">
      <c r="A16" s="3093" t="s">
        <v>3067</v>
      </c>
      <c r="B16" s="3762" t="s">
        <v>3068</v>
      </c>
      <c r="C16" s="3763"/>
      <c r="D16" s="3105">
        <f>D6*E16</f>
        <v>0</v>
      </c>
      <c r="E16" s="3106"/>
      <c r="F16" s="3091" t="s">
        <v>3069</v>
      </c>
      <c r="G16" s="3070"/>
      <c r="H16" s="3045"/>
      <c r="I16" s="3046"/>
      <c r="J16" s="3752"/>
      <c r="K16" s="3754"/>
      <c r="L16" s="3080" t="s">
        <v>3070</v>
      </c>
      <c r="M16" s="3081"/>
      <c r="N16" s="3081"/>
      <c r="O16" s="3082"/>
      <c r="P16" s="3083">
        <v>365</v>
      </c>
      <c r="Q16" s="3057"/>
      <c r="R16" s="3104">
        <f>ROUND(M16*N16*O16*P16/10000,0)</f>
        <v>0</v>
      </c>
      <c r="S16" s="3038"/>
      <c r="T16" s="3038"/>
      <c r="U16" s="3038"/>
      <c r="V16" s="3046"/>
    </row>
    <row r="17" spans="1:22" s="3050" customFormat="1" ht="13.35" customHeight="1" thickBot="1">
      <c r="A17" s="3107">
        <v>4</v>
      </c>
      <c r="B17" s="3764" t="s">
        <v>3071</v>
      </c>
      <c r="C17" s="3765"/>
      <c r="D17" s="3108">
        <f>ROUND(D6*E17,0)</f>
        <v>0</v>
      </c>
      <c r="E17" s="3109"/>
      <c r="F17" s="3110" t="s">
        <v>3072</v>
      </c>
      <c r="G17" s="3070"/>
      <c r="H17" s="3045"/>
      <c r="I17" s="3046"/>
      <c r="J17" s="3752"/>
      <c r="K17" s="3754"/>
      <c r="L17" s="3080" t="s">
        <v>3073</v>
      </c>
      <c r="M17" s="3081"/>
      <c r="N17" s="3081"/>
      <c r="O17" s="3082"/>
      <c r="P17" s="3083">
        <v>365</v>
      </c>
      <c r="Q17" s="3057"/>
      <c r="R17" s="3104">
        <f>ROUND(M17*N17*O17*P17/10000,0)</f>
        <v>0</v>
      </c>
      <c r="S17" s="3038"/>
      <c r="T17" s="3038"/>
      <c r="U17" s="3038"/>
      <c r="V17" s="3046"/>
    </row>
    <row r="18" spans="1:22" s="3050" customFormat="1" ht="13.35" customHeight="1" thickBot="1">
      <c r="A18" s="3073" t="s">
        <v>3074</v>
      </c>
      <c r="B18" s="3074"/>
      <c r="C18" s="3074"/>
      <c r="D18" s="3111">
        <f>ROUND(D6*E18,0)</f>
        <v>0</v>
      </c>
      <c r="E18" s="3112"/>
      <c r="F18" s="3113" t="s">
        <v>3075</v>
      </c>
      <c r="G18" s="3070"/>
      <c r="H18" s="3045"/>
      <c r="I18" s="3046"/>
      <c r="J18" s="3752"/>
      <c r="K18" s="3754"/>
      <c r="L18" s="3080" t="s">
        <v>3076</v>
      </c>
      <c r="M18" s="3081"/>
      <c r="N18" s="3081"/>
      <c r="O18" s="3082"/>
      <c r="P18" s="3083">
        <v>365</v>
      </c>
      <c r="Q18" s="3057"/>
      <c r="R18" s="3104">
        <f>ROUND(M18*N18*O18*P18/10000,0)</f>
        <v>0</v>
      </c>
      <c r="S18" s="3038"/>
      <c r="T18" s="3038"/>
      <c r="U18" s="3038"/>
      <c r="V18" s="3046"/>
    </row>
    <row r="19" spans="1:22" s="3050" customFormat="1" ht="13.35" customHeight="1" thickBot="1">
      <c r="A19" s="3114" t="s">
        <v>3077</v>
      </c>
      <c r="B19" s="3068"/>
      <c r="C19" s="3068"/>
      <c r="D19" s="3068"/>
      <c r="E19" s="3068"/>
      <c r="F19" s="3069"/>
      <c r="G19" s="3089"/>
      <c r="H19" s="3045"/>
      <c r="I19" s="3046"/>
      <c r="J19" s="3752"/>
      <c r="K19" s="3755"/>
      <c r="L19" s="3100" t="s">
        <v>3057</v>
      </c>
      <c r="M19" s="3101"/>
      <c r="N19" s="3101">
        <f>SUM(N16:N18)</f>
        <v>0</v>
      </c>
      <c r="O19" s="3102"/>
      <c r="P19" s="3115" t="s">
        <v>3121</v>
      </c>
      <c r="Q19" s="3082">
        <v>0</v>
      </c>
      <c r="R19" s="3116">
        <f>ROUND(IF(P19="按比例",R14*Q19,SUM(R16:R18)),0)</f>
        <v>0</v>
      </c>
      <c r="S19" s="3038"/>
      <c r="T19" s="3038"/>
      <c r="U19" s="3038"/>
      <c r="V19" s="3046"/>
    </row>
    <row r="20" spans="1:22" s="3050" customFormat="1" ht="13.35" customHeight="1">
      <c r="A20" s="3073"/>
      <c r="B20" s="3074"/>
      <c r="C20" s="3074"/>
      <c r="D20" s="3074"/>
      <c r="E20" s="3074"/>
      <c r="F20" s="3117"/>
      <c r="G20" s="3089"/>
      <c r="H20" s="3045"/>
      <c r="I20" s="3046"/>
      <c r="J20" s="3752">
        <v>3</v>
      </c>
      <c r="K20" s="3753" t="s">
        <v>3078</v>
      </c>
      <c r="L20" s="3080" t="s">
        <v>3079</v>
      </c>
      <c r="M20" s="3081" t="s">
        <v>3080</v>
      </c>
      <c r="N20" s="3118" t="s">
        <v>3081</v>
      </c>
      <c r="O20" s="3082" t="s">
        <v>3082</v>
      </c>
      <c r="P20" s="3083" t="s">
        <v>3083</v>
      </c>
      <c r="Q20" s="3057" t="s">
        <v>3084</v>
      </c>
      <c r="R20" s="3104" t="s">
        <v>3085</v>
      </c>
      <c r="S20" s="3119"/>
      <c r="T20" s="3119"/>
      <c r="U20" s="3119"/>
      <c r="V20" s="3046"/>
    </row>
    <row r="21" spans="1:22" s="3050" customFormat="1" ht="13.35" customHeight="1">
      <c r="A21" s="3073"/>
      <c r="B21" s="3074"/>
      <c r="C21" s="3120" t="s">
        <v>3086</v>
      </c>
      <c r="D21" s="3121" t="s">
        <v>3087</v>
      </c>
      <c r="E21" s="3122" t="s">
        <v>3088</v>
      </c>
      <c r="F21" s="3117"/>
      <c r="G21" s="3089"/>
      <c r="H21" s="3045"/>
      <c r="I21" s="3046"/>
      <c r="J21" s="3752"/>
      <c r="K21" s="3754"/>
      <c r="L21" s="3080" t="s">
        <v>3089</v>
      </c>
      <c r="M21" s="3081"/>
      <c r="N21" s="3081"/>
      <c r="O21" s="3082"/>
      <c r="P21" s="3083">
        <v>365</v>
      </c>
      <c r="Q21" s="3057"/>
      <c r="R21" s="3123">
        <f>ROUND(M21*N21*O21*P21/10000,0)</f>
        <v>0</v>
      </c>
      <c r="S21" s="3119"/>
      <c r="T21" s="3119"/>
      <c r="U21" s="3119"/>
      <c r="V21" s="3046"/>
    </row>
    <row r="22" spans="1:22" s="3050" customFormat="1" ht="13.35" customHeight="1">
      <c r="A22" s="3073"/>
      <c r="B22" s="3074"/>
      <c r="C22" s="3124" t="s">
        <v>3090</v>
      </c>
      <c r="D22" s="3125" t="s">
        <v>3091</v>
      </c>
      <c r="E22" s="3126" t="s">
        <v>3092</v>
      </c>
      <c r="F22" s="3117"/>
      <c r="G22" s="3127"/>
      <c r="H22" s="3045"/>
      <c r="I22" s="3046"/>
      <c r="J22" s="3752"/>
      <c r="K22" s="3754"/>
      <c r="L22" s="3080" t="s">
        <v>3093</v>
      </c>
      <c r="M22" s="3081"/>
      <c r="N22" s="3081"/>
      <c r="O22" s="3082"/>
      <c r="P22" s="3083">
        <v>365</v>
      </c>
      <c r="Q22" s="3057"/>
      <c r="R22" s="3123">
        <f>ROUND(M22*N22*O22*P22/10000,0)</f>
        <v>0</v>
      </c>
      <c r="S22" s="3119"/>
      <c r="T22" s="3119"/>
      <c r="U22" s="3119"/>
      <c r="V22" s="3046"/>
    </row>
    <row r="23" spans="1:22" s="3050" customFormat="1" ht="13.35" customHeight="1">
      <c r="A23" s="3128">
        <v>1</v>
      </c>
      <c r="B23" s="3129" t="s">
        <v>3094</v>
      </c>
      <c r="C23" s="3130">
        <f>D6</f>
        <v>0</v>
      </c>
      <c r="D23" s="3131">
        <f>C23*(1+D24)</f>
        <v>0</v>
      </c>
      <c r="E23" s="3132">
        <f>D23*(1+E24)</f>
        <v>0</v>
      </c>
      <c r="F23" s="3133"/>
      <c r="G23" s="3134"/>
      <c r="H23" s="3045"/>
      <c r="I23" s="3046"/>
      <c r="J23" s="3752"/>
      <c r="K23" s="3754"/>
      <c r="L23" s="3080" t="s">
        <v>3095</v>
      </c>
      <c r="M23" s="3081"/>
      <c r="N23" s="3081"/>
      <c r="O23" s="3082"/>
      <c r="P23" s="3083">
        <v>365</v>
      </c>
      <c r="Q23" s="3057"/>
      <c r="R23" s="3123">
        <f>ROUND(M23*N23*O23*P23/10000,0)</f>
        <v>0</v>
      </c>
      <c r="S23" s="3038"/>
      <c r="T23" s="3038"/>
      <c r="U23" s="3038"/>
      <c r="V23" s="3046"/>
    </row>
    <row r="24" spans="1:22" s="3050" customFormat="1" ht="13.35" customHeight="1">
      <c r="A24" s="3135"/>
      <c r="B24" s="3136" t="s">
        <v>3096</v>
      </c>
      <c r="C24" s="3137"/>
      <c r="D24" s="3138"/>
      <c r="E24" s="3139"/>
      <c r="F24" s="3140"/>
      <c r="G24" s="3134"/>
      <c r="H24" s="3045"/>
      <c r="I24" s="3046"/>
      <c r="J24" s="3752"/>
      <c r="K24" s="3755"/>
      <c r="L24" s="3100" t="s">
        <v>3057</v>
      </c>
      <c r="M24" s="3101">
        <f>SUM(M21:M23)</f>
        <v>0</v>
      </c>
      <c r="N24" s="3101"/>
      <c r="O24" s="3102"/>
      <c r="P24" s="3115" t="s">
        <v>3121</v>
      </c>
      <c r="Q24" s="3082">
        <v>0</v>
      </c>
      <c r="R24" s="3116">
        <f>ROUND(IF(P24="按比例",R14*Q24,SUM(R21:R23)),0)</f>
        <v>0</v>
      </c>
      <c r="S24" s="3038"/>
      <c r="T24" s="3038"/>
      <c r="U24" s="3038"/>
      <c r="V24" s="3046"/>
    </row>
    <row r="25" spans="1:22" s="3147" customFormat="1" ht="13.35" customHeight="1">
      <c r="A25" s="3135"/>
      <c r="B25" s="3136"/>
      <c r="C25" s="3137"/>
      <c r="D25" s="3138"/>
      <c r="E25" s="3139"/>
      <c r="F25" s="3140"/>
      <c r="G25" s="3127"/>
      <c r="H25" s="3045"/>
      <c r="I25" s="3046"/>
      <c r="J25" s="3141">
        <v>4</v>
      </c>
      <c r="K25" s="3142" t="s">
        <v>3097</v>
      </c>
      <c r="L25" s="3143"/>
      <c r="M25" s="3143"/>
      <c r="N25" s="3143"/>
      <c r="O25" s="3143"/>
      <c r="P25" s="3144"/>
      <c r="Q25" s="3145">
        <v>0</v>
      </c>
      <c r="R25" s="3116">
        <f>ROUND(R14*Q25,0)</f>
        <v>0</v>
      </c>
      <c r="S25" s="3038"/>
      <c r="T25" s="3038"/>
      <c r="U25" s="3038"/>
      <c r="V25" s="3146"/>
    </row>
    <row r="26" spans="1:22" s="3147" customFormat="1" ht="13.35" customHeight="1">
      <c r="A26" s="3128">
        <v>2</v>
      </c>
      <c r="B26" s="3129" t="s">
        <v>3098</v>
      </c>
      <c r="C26" s="3130">
        <f>D7</f>
        <v>0</v>
      </c>
      <c r="D26" s="3131">
        <f>D23*D27</f>
        <v>0</v>
      </c>
      <c r="E26" s="3132">
        <f>E23*E27</f>
        <v>0</v>
      </c>
      <c r="F26" s="3133"/>
      <c r="G26" s="3134"/>
      <c r="H26" s="3045"/>
      <c r="I26" s="3046"/>
      <c r="J26" s="3756">
        <v>5</v>
      </c>
      <c r="K26" s="3148" t="s">
        <v>3099</v>
      </c>
      <c r="L26" s="3149"/>
      <c r="M26" s="3150"/>
      <c r="N26" s="3151" t="s">
        <v>3100</v>
      </c>
      <c r="O26" s="3151" t="s">
        <v>3101</v>
      </c>
      <c r="P26" s="3152" t="s">
        <v>3102</v>
      </c>
      <c r="Q26" s="3152" t="s">
        <v>3103</v>
      </c>
      <c r="R26" s="3055" t="s">
        <v>3028</v>
      </c>
      <c r="S26" s="3153"/>
      <c r="T26" s="3153"/>
      <c r="U26" s="3153"/>
      <c r="V26" s="3146"/>
    </row>
    <row r="27" spans="1:22" s="3050" customFormat="1" ht="13.35" customHeight="1">
      <c r="A27" s="3135"/>
      <c r="B27" s="3136" t="s">
        <v>3104</v>
      </c>
      <c r="C27" s="3154" t="e">
        <f>E7</f>
        <v>#DIV/0!</v>
      </c>
      <c r="D27" s="3138"/>
      <c r="E27" s="3139"/>
      <c r="F27" s="3140"/>
      <c r="G27" s="3134"/>
      <c r="H27" s="3155"/>
      <c r="I27" s="3146"/>
      <c r="J27" s="3757"/>
      <c r="K27" s="3156"/>
      <c r="L27" s="3157"/>
      <c r="M27" s="3158"/>
      <c r="N27" s="3159"/>
      <c r="O27" s="3159"/>
      <c r="P27" s="3159"/>
      <c r="Q27" s="3160"/>
      <c r="R27" s="3116">
        <f>ROUND(O27*N27*P27*(1-Q27)/10000,0)</f>
        <v>0</v>
      </c>
      <c r="S27" s="3038"/>
      <c r="T27" s="3038"/>
      <c r="U27" s="3038"/>
      <c r="V27" s="3046"/>
    </row>
    <row r="28" spans="1:22" s="3147" customFormat="1" ht="13.35" customHeight="1" thickBot="1">
      <c r="A28" s="3135"/>
      <c r="B28" s="3136"/>
      <c r="C28" s="3154"/>
      <c r="D28" s="3138"/>
      <c r="E28" s="3139" t="s">
        <v>3105</v>
      </c>
      <c r="F28" s="3140"/>
      <c r="G28" s="3127"/>
      <c r="H28" s="3155"/>
      <c r="I28" s="3146"/>
      <c r="J28" s="3161">
        <v>6</v>
      </c>
      <c r="K28" s="3162" t="s">
        <v>3106</v>
      </c>
      <c r="L28" s="3163" t="s">
        <v>3107</v>
      </c>
      <c r="M28" s="3164"/>
      <c r="N28" s="3163" t="s">
        <v>3108</v>
      </c>
      <c r="O28" s="3165"/>
      <c r="P28" s="3163" t="s">
        <v>3109</v>
      </c>
      <c r="Q28" s="3166">
        <v>1.4999999999999999E-2</v>
      </c>
      <c r="R28" s="3167"/>
      <c r="S28" s="3119"/>
      <c r="T28" s="3119"/>
      <c r="U28" s="3119"/>
      <c r="V28" s="3146"/>
    </row>
    <row r="29" spans="1:22" s="3147" customFormat="1" ht="13.35" customHeight="1">
      <c r="A29" s="3128">
        <v>3</v>
      </c>
      <c r="B29" s="3129" t="s">
        <v>3110</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35" customHeight="1" thickBot="1">
      <c r="A30" s="3135"/>
      <c r="B30" s="3136" t="s">
        <v>3104</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35" customHeight="1">
      <c r="A31" s="3135"/>
      <c r="B31" s="3136"/>
      <c r="C31" s="3169"/>
      <c r="D31" s="3168"/>
      <c r="E31" s="3099"/>
      <c r="F31" s="3140"/>
      <c r="G31" s="3127"/>
      <c r="H31" s="3155"/>
      <c r="I31" s="3146"/>
      <c r="J31" s="3035" t="s">
        <v>3111</v>
      </c>
      <c r="K31" s="3036"/>
      <c r="L31" s="3036"/>
      <c r="M31" s="3036"/>
      <c r="N31" s="3036"/>
      <c r="O31" s="3036"/>
      <c r="P31" s="3036"/>
      <c r="Q31" s="3036"/>
      <c r="R31" s="3037"/>
      <c r="S31" s="3119"/>
      <c r="T31" s="3038"/>
      <c r="U31" s="3038"/>
      <c r="V31" s="3146"/>
    </row>
    <row r="32" spans="1:22" s="3147" customFormat="1" ht="13.35" customHeight="1">
      <c r="A32" s="3128">
        <v>4</v>
      </c>
      <c r="B32" s="3129" t="s">
        <v>3112</v>
      </c>
      <c r="C32" s="3130">
        <f>C23-C26-C29</f>
        <v>0</v>
      </c>
      <c r="D32" s="3131">
        <f>D23-D26-D29</f>
        <v>0</v>
      </c>
      <c r="E32" s="3132">
        <f>E23-E26-E29</f>
        <v>0</v>
      </c>
      <c r="F32" s="3133"/>
      <c r="G32" s="3127"/>
      <c r="H32" s="3045"/>
      <c r="I32" s="3046"/>
      <c r="J32" s="3758" t="s">
        <v>3004</v>
      </c>
      <c r="K32" s="3759"/>
      <c r="L32" s="3047" t="s">
        <v>3005</v>
      </c>
      <c r="M32" s="3047" t="s">
        <v>3006</v>
      </c>
      <c r="N32" s="3047" t="s">
        <v>3007</v>
      </c>
      <c r="O32" s="3047" t="s">
        <v>3008</v>
      </c>
      <c r="P32" s="3047" t="s">
        <v>3009</v>
      </c>
      <c r="Q32" s="3048" t="s">
        <v>3010</v>
      </c>
      <c r="R32" s="3170" t="s">
        <v>3011</v>
      </c>
      <c r="S32" s="3119"/>
      <c r="T32" s="3038"/>
      <c r="U32" s="3038"/>
      <c r="V32" s="3146"/>
    </row>
    <row r="33" spans="1:23" s="3050" customFormat="1" ht="13.35" customHeight="1">
      <c r="A33" s="3128"/>
      <c r="B33" s="3129"/>
      <c r="C33" s="3130"/>
      <c r="D33" s="3171"/>
      <c r="E33" s="3172"/>
      <c r="F33" s="3133"/>
      <c r="G33" s="3127"/>
      <c r="H33" s="3155"/>
      <c r="I33" s="3146"/>
      <c r="J33" s="3760" t="s">
        <v>3014</v>
      </c>
      <c r="K33" s="3761"/>
      <c r="L33" s="3053"/>
      <c r="M33" s="3053"/>
      <c r="N33" s="3053"/>
      <c r="O33" s="3053"/>
      <c r="P33" s="3053"/>
      <c r="Q33" s="3054"/>
      <c r="R33" s="3173">
        <f>SUM(L33:Q33)</f>
        <v>0</v>
      </c>
      <c r="S33" s="3119"/>
      <c r="T33" s="3038"/>
      <c r="U33" s="3038"/>
      <c r="V33" s="3046"/>
    </row>
    <row r="34" spans="1:23" s="3050" customFormat="1" ht="13.35" customHeight="1">
      <c r="A34" s="3128">
        <v>5</v>
      </c>
      <c r="B34" s="3129" t="s">
        <v>3113</v>
      </c>
      <c r="C34" s="3174"/>
      <c r="D34" s="3175"/>
      <c r="E34" s="3176"/>
      <c r="F34" s="3133"/>
      <c r="G34" s="3127"/>
      <c r="H34" s="3155"/>
      <c r="I34" s="3146"/>
      <c r="J34" s="3760" t="s">
        <v>3016</v>
      </c>
      <c r="K34" s="3761"/>
      <c r="L34" s="3058"/>
      <c r="M34" s="3058"/>
      <c r="N34" s="3058"/>
      <c r="O34" s="3058"/>
      <c r="P34" s="3058"/>
      <c r="Q34" s="3059"/>
      <c r="R34" s="3177">
        <f>SUM(L34:Q34)</f>
        <v>0</v>
      </c>
      <c r="S34" s="3119"/>
      <c r="T34" s="3038"/>
      <c r="U34" s="3038" t="e">
        <f>ROUND(R35*10000/365/R33,1)</f>
        <v>#DIV/0!</v>
      </c>
      <c r="V34" s="3046"/>
    </row>
    <row r="35" spans="1:23" s="3050" customFormat="1" ht="13.35" customHeight="1">
      <c r="A35" s="3128">
        <v>6</v>
      </c>
      <c r="B35" s="3129" t="s">
        <v>3114</v>
      </c>
      <c r="C35" s="3178"/>
      <c r="D35" s="3179"/>
      <c r="E35" s="3180"/>
      <c r="F35" s="3133"/>
      <c r="G35" s="3181"/>
      <c r="H35" s="3045"/>
      <c r="I35" s="3146"/>
      <c r="J35" s="3064" t="s">
        <v>3018</v>
      </c>
      <c r="K35" s="3065"/>
      <c r="L35" s="3065"/>
      <c r="M35" s="3066"/>
      <c r="N35" s="3066"/>
      <c r="O35" s="3066"/>
      <c r="P35" s="3066"/>
      <c r="Q35" s="3066"/>
      <c r="R35" s="3182">
        <f>R40+R41+R43</f>
        <v>0</v>
      </c>
      <c r="S35" s="3119"/>
      <c r="T35" s="3038" t="s">
        <v>3019</v>
      </c>
      <c r="U35" s="3038"/>
      <c r="V35" s="3046"/>
    </row>
    <row r="36" spans="1:23" s="3050" customFormat="1" ht="13.35" customHeight="1" thickBot="1">
      <c r="A36" s="3128">
        <v>7</v>
      </c>
      <c r="B36" s="3183" t="s">
        <v>3115</v>
      </c>
      <c r="C36" s="3184"/>
      <c r="D36" s="3185"/>
      <c r="E36" s="3186"/>
      <c r="F36" s="3187">
        <f>C36+D36+E36</f>
        <v>0</v>
      </c>
      <c r="G36" s="3127"/>
      <c r="H36" s="3045"/>
      <c r="I36" s="3046"/>
      <c r="J36" s="3752">
        <v>1</v>
      </c>
      <c r="K36" s="3753" t="s">
        <v>3116</v>
      </c>
      <c r="L36" s="3071"/>
      <c r="M36" s="3072"/>
      <c r="N36" s="3072"/>
      <c r="O36" s="3072"/>
      <c r="P36" s="3072"/>
      <c r="Q36" s="3072"/>
      <c r="R36" s="3055" t="s">
        <v>3028</v>
      </c>
      <c r="S36" s="3119"/>
      <c r="T36" s="3038" t="s">
        <v>3029</v>
      </c>
      <c r="U36" s="3038"/>
      <c r="V36" s="3046"/>
    </row>
    <row r="37" spans="1:23" s="3050" customFormat="1" ht="13.35" customHeight="1">
      <c r="A37" s="3128"/>
      <c r="B37" s="3129"/>
      <c r="C37" s="3129"/>
      <c r="D37" s="3129"/>
      <c r="E37" s="3129"/>
      <c r="F37" s="3133"/>
      <c r="G37" s="3127"/>
      <c r="H37" s="3045"/>
      <c r="I37" s="3046"/>
      <c r="J37" s="3752"/>
      <c r="K37" s="3754"/>
      <c r="L37" s="3080"/>
      <c r="M37" s="3081"/>
      <c r="N37" s="3057"/>
      <c r="O37" s="3082"/>
      <c r="P37" s="3082"/>
      <c r="Q37" s="3083"/>
      <c r="R37" s="3084"/>
      <c r="S37" s="3119"/>
      <c r="T37" s="3038" t="s">
        <v>3032</v>
      </c>
      <c r="U37" s="3038"/>
      <c r="V37" s="3046"/>
    </row>
    <row r="38" spans="1:23" s="3050" customFormat="1" ht="13.35" customHeight="1">
      <c r="A38" s="3128">
        <v>8</v>
      </c>
      <c r="B38" s="3129"/>
      <c r="C38" s="3086" t="e">
        <f>ROUND(C32*(1-((1+C35)/(1+C34))^C36)/(C34-C35),0)</f>
        <v>#DIV/0!</v>
      </c>
      <c r="D38" s="3086">
        <f>IF(D23=0,0,ROUND(D32*(1-((1+D35)/(1+D34))^D36)/(D34-D35),0))</f>
        <v>0</v>
      </c>
      <c r="E38" s="3086">
        <f>IF(E23=0,0,ROUND(E32*(1-((1+E35)/(1+E34))^E36)/(E34-E35),0))</f>
        <v>0</v>
      </c>
      <c r="F38" s="3133"/>
      <c r="G38" s="3127"/>
      <c r="H38" s="3045"/>
      <c r="I38" s="3046"/>
      <c r="J38" s="3752"/>
      <c r="K38" s="3754"/>
      <c r="L38" s="3080"/>
      <c r="M38" s="3081"/>
      <c r="N38" s="3057"/>
      <c r="O38" s="3082"/>
      <c r="P38" s="3082"/>
      <c r="Q38" s="3083"/>
      <c r="R38" s="3084"/>
      <c r="S38" s="3119"/>
      <c r="T38" s="3038" t="s">
        <v>3039</v>
      </c>
      <c r="U38" s="3038"/>
      <c r="V38" s="3046"/>
    </row>
    <row r="39" spans="1:23" s="3050" customFormat="1" ht="13.35" customHeight="1">
      <c r="A39" s="3128">
        <v>9</v>
      </c>
      <c r="B39" s="3129" t="s">
        <v>3117</v>
      </c>
      <c r="C39" s="3094" t="e">
        <f>C38</f>
        <v>#DIV/0!</v>
      </c>
      <c r="D39" s="3129">
        <f>D38/(1+D34)^C36</f>
        <v>0</v>
      </c>
      <c r="E39" s="3129">
        <f>E38/(1+E34)^(C36+D36)</f>
        <v>0</v>
      </c>
      <c r="F39" s="3133"/>
      <c r="G39" s="3188"/>
      <c r="H39" s="3045"/>
      <c r="I39" s="3046"/>
      <c r="J39" s="3752"/>
      <c r="K39" s="3754"/>
      <c r="L39" s="3080"/>
      <c r="M39" s="3081"/>
      <c r="N39" s="3057"/>
      <c r="O39" s="3082"/>
      <c r="P39" s="3082"/>
      <c r="Q39" s="3083"/>
      <c r="R39" s="3084"/>
      <c r="S39" s="3119"/>
      <c r="T39" s="3038"/>
      <c r="U39" s="3038"/>
      <c r="V39" s="3046"/>
    </row>
    <row r="40" spans="1:23" s="3050" customFormat="1" ht="13.35" customHeight="1">
      <c r="A40" s="3189">
        <v>10</v>
      </c>
      <c r="B40" s="3129" t="s">
        <v>3118</v>
      </c>
      <c r="C40" s="3190" t="e">
        <f>C39+D39+E39</f>
        <v>#DIV/0!</v>
      </c>
      <c r="D40" s="3191"/>
      <c r="E40" s="3191"/>
      <c r="F40" s="3192"/>
      <c r="G40" s="3127"/>
      <c r="H40" s="3045"/>
      <c r="I40" s="3046"/>
      <c r="J40" s="3752"/>
      <c r="K40" s="3755"/>
      <c r="L40" s="3100" t="s">
        <v>3057</v>
      </c>
      <c r="M40" s="3101"/>
      <c r="N40" s="3101"/>
      <c r="O40" s="3102"/>
      <c r="P40" s="3102"/>
      <c r="Q40" s="3103"/>
      <c r="R40" s="3049">
        <f>SUM(R37:R39)</f>
        <v>0</v>
      </c>
      <c r="S40" s="3119"/>
      <c r="T40" s="3038"/>
      <c r="U40" s="3038"/>
      <c r="V40" s="3046"/>
    </row>
    <row r="41" spans="1:23" s="3050" customFormat="1" ht="13.35" customHeight="1" thickBot="1">
      <c r="A41" s="3193">
        <v>11</v>
      </c>
      <c r="B41" s="3194" t="s">
        <v>3119</v>
      </c>
      <c r="C41" s="3194" t="e">
        <f>ROUND(C40*10000/B4,0)</f>
        <v>#DIV/0!</v>
      </c>
      <c r="D41" s="3195"/>
      <c r="E41" s="3195"/>
      <c r="F41" s="3196"/>
      <c r="G41" s="3197"/>
      <c r="H41" s="3045"/>
      <c r="I41" s="3046"/>
      <c r="J41" s="3141">
        <v>2</v>
      </c>
      <c r="K41" s="3142" t="s">
        <v>3097</v>
      </c>
      <c r="L41" s="3143"/>
      <c r="M41" s="3143"/>
      <c r="N41" s="3143"/>
      <c r="O41" s="3143"/>
      <c r="P41" s="3144"/>
      <c r="Q41" s="3145"/>
      <c r="R41" s="3116">
        <f>ROUND(R40*Q41,0)</f>
        <v>0</v>
      </c>
      <c r="S41" s="3119"/>
      <c r="T41" s="3038"/>
      <c r="U41" s="3153"/>
      <c r="V41" s="3046"/>
    </row>
    <row r="42" spans="1:23" s="3050" customFormat="1" ht="13.35" customHeight="1">
      <c r="G42" s="3197"/>
      <c r="H42" s="3045"/>
      <c r="I42" s="3046"/>
      <c r="J42" s="3756">
        <v>3</v>
      </c>
      <c r="K42" s="3148" t="s">
        <v>3099</v>
      </c>
      <c r="L42" s="3149"/>
      <c r="M42" s="3150"/>
      <c r="N42" s="3151" t="s">
        <v>3100</v>
      </c>
      <c r="O42" s="3151" t="s">
        <v>3101</v>
      </c>
      <c r="P42" s="3152" t="s">
        <v>3102</v>
      </c>
      <c r="Q42" s="3152" t="s">
        <v>3103</v>
      </c>
      <c r="R42" s="3055" t="s">
        <v>3028</v>
      </c>
      <c r="S42" s="3153"/>
      <c r="T42" s="3153"/>
      <c r="U42" s="3038"/>
      <c r="V42" s="3046"/>
    </row>
    <row r="43" spans="1:23" ht="13.35" customHeight="1">
      <c r="A43" s="3050"/>
      <c r="B43" s="3050"/>
      <c r="C43" s="3050"/>
      <c r="D43" s="3050"/>
      <c r="E43" s="3050"/>
      <c r="F43" s="3050"/>
      <c r="I43" s="3033"/>
      <c r="J43" s="3757"/>
      <c r="K43" s="3156"/>
      <c r="L43" s="3157"/>
      <c r="M43" s="3158"/>
      <c r="N43" s="3081"/>
      <c r="O43" s="3081"/>
      <c r="P43" s="3081"/>
      <c r="Q43" s="3145"/>
      <c r="R43" s="3116">
        <f>ROUND(O43*N43*P43*(1-Q43)/10000,0)</f>
        <v>0</v>
      </c>
      <c r="S43" s="3119"/>
      <c r="T43" s="3038"/>
      <c r="V43" s="3199"/>
      <c r="W43" s="3200"/>
    </row>
    <row r="44" spans="1:23" ht="13.35" customHeight="1" thickBot="1">
      <c r="J44" s="3161">
        <v>6</v>
      </c>
      <c r="K44" s="3162" t="s">
        <v>3106</v>
      </c>
      <c r="L44" s="3201" t="s">
        <v>3107</v>
      </c>
      <c r="M44" s="3164"/>
      <c r="N44" s="3201" t="s">
        <v>3108</v>
      </c>
      <c r="O44" s="3164"/>
      <c r="P44" s="3201" t="s">
        <v>3109</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2287</v>
      </c>
      <c r="B1" s="2020"/>
      <c r="C1" s="2020"/>
      <c r="D1" s="2020"/>
      <c r="E1" s="2021"/>
      <c r="F1" s="2902"/>
      <c r="G1" s="1641"/>
      <c r="H1" s="1641"/>
      <c r="I1" s="1641"/>
      <c r="J1" s="1641"/>
      <c r="K1" s="1641"/>
      <c r="L1" s="1641"/>
      <c r="M1" s="1641"/>
      <c r="N1" s="1641"/>
      <c r="O1" s="1641"/>
      <c r="P1" s="1641"/>
      <c r="Q1" s="1641"/>
      <c r="R1" s="1641"/>
      <c r="S1" s="1641"/>
    </row>
    <row r="2" spans="1:22" ht="15.75">
      <c r="A2" s="2022" t="s">
        <v>2088</v>
      </c>
      <c r="B2" s="2023">
        <f ca="1">SUMIF(B6:B13,"&lt;&gt;#ref!",B6:B13)</f>
        <v>0</v>
      </c>
      <c r="C2" s="2024" t="s">
        <v>2280</v>
      </c>
      <c r="D2" s="2025" t="s">
        <v>2281</v>
      </c>
      <c r="E2" s="2799">
        <f>SUM(E6:E13)</f>
        <v>683.55</v>
      </c>
      <c r="F2" s="2902"/>
      <c r="G2" s="1641"/>
      <c r="H2" s="1641"/>
      <c r="I2" s="1641"/>
      <c r="J2" s="1641"/>
      <c r="K2" s="1641"/>
      <c r="L2" s="1641"/>
      <c r="M2" s="1641"/>
      <c r="N2" s="1641"/>
      <c r="O2" s="1641"/>
      <c r="P2" s="1641"/>
      <c r="Q2" s="1641"/>
      <c r="R2" s="1641"/>
      <c r="S2" s="1641"/>
    </row>
    <row r="3" spans="1:22" ht="15.75">
      <c r="A3" s="2022" t="s">
        <v>1300</v>
      </c>
      <c r="B3" s="2793">
        <f ca="1">ROUND(B2*10000/E2,0)</f>
        <v>0</v>
      </c>
      <c r="C3" s="2024" t="s">
        <v>2288</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2282</v>
      </c>
      <c r="B5" s="3771" t="s">
        <v>2283</v>
      </c>
      <c r="C5" s="3772"/>
      <c r="D5" s="2903"/>
      <c r="E5" s="2026" t="s">
        <v>2284</v>
      </c>
      <c r="F5" s="2027" t="s">
        <v>2285</v>
      </c>
      <c r="G5" s="1641"/>
      <c r="H5" s="1641"/>
      <c r="I5" s="1641"/>
      <c r="J5" s="1641"/>
      <c r="K5" s="1641"/>
      <c r="L5" s="1641"/>
      <c r="M5" s="1641"/>
      <c r="N5" s="1641"/>
      <c r="O5" s="1641"/>
      <c r="P5" s="1641"/>
      <c r="Q5" s="1641"/>
      <c r="R5" s="1641"/>
      <c r="S5" s="1641"/>
    </row>
    <row r="6" spans="1:22">
      <c r="A6" s="2796" t="str">
        <f>'数据-取费表'!AN6</f>
        <v>收益法</v>
      </c>
      <c r="B6" s="2794" t="e">
        <f ca="1">IF(F6="是",'数据-取费表'!AO6,0)</f>
        <v>#REF!</v>
      </c>
      <c r="C6" s="2024" t="s">
        <v>2280</v>
      </c>
      <c r="D6" s="2904"/>
      <c r="E6" s="2798">
        <f>IF(OR(A6=0,F6="否"),0,'数据-取费表'!K6+'数据-取费表'!S6)</f>
        <v>683.55</v>
      </c>
      <c r="F6" s="2028" t="s">
        <v>2286</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4" t="s">
        <v>2280</v>
      </c>
      <c r="D7" s="2904"/>
      <c r="E7" s="2798">
        <f>IF(OR(A7=0,F7="否"),0,'数据-取费表'!K7+'数据-取费表'!S7)</f>
        <v>0</v>
      </c>
      <c r="F7" s="2028" t="s">
        <v>2286</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4" t="s">
        <v>2280</v>
      </c>
      <c r="D8" s="2904"/>
      <c r="E8" s="2798">
        <f>IF(OR(A8=0,F8="否"),0,'数据-取费表'!K8+'数据-取费表'!S8)</f>
        <v>0</v>
      </c>
      <c r="F8" s="2028" t="s">
        <v>2286</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2280</v>
      </c>
      <c r="D9" s="2904"/>
      <c r="E9" s="2798">
        <f>IF(OR(A9=0,F9="否"),0,'数据-取费表'!K9+'数据-取费表'!S9)</f>
        <v>0</v>
      </c>
      <c r="F9" s="2028" t="s">
        <v>2286</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2280</v>
      </c>
      <c r="D10" s="2904"/>
      <c r="E10" s="2798">
        <f>IF(OR(A10=0,F10="否"),0,'数据-取费表'!K10+'数据-取费表'!S10)</f>
        <v>0</v>
      </c>
      <c r="F10" s="2028" t="s">
        <v>2286</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2280</v>
      </c>
      <c r="D11" s="2904"/>
      <c r="E11" s="2798">
        <f>IF(OR(A11=0,F11="否"),0,'数据-取费表'!K11+'数据-取费表'!S11)</f>
        <v>0</v>
      </c>
      <c r="F11" s="2028" t="s">
        <v>2286</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2280</v>
      </c>
      <c r="D12" s="2904"/>
      <c r="E12" s="2798">
        <f>IF(OR(A12=0,F12="否"),0,'数据-取费表'!K12+'数据-取费表'!S12)</f>
        <v>0</v>
      </c>
      <c r="F12" s="2028" t="s">
        <v>2286</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2280</v>
      </c>
      <c r="D13" s="2905"/>
      <c r="E13" s="2798">
        <f>IF(OR(A13=0,F13="否"),0,'数据-取费表'!K13+'数据-取费表'!S13)</f>
        <v>0</v>
      </c>
      <c r="F13" s="2028" t="s">
        <v>2286</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300-000000000000}">
      <formula1>判定</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2290</v>
      </c>
      <c r="C1" s="1375" t="s">
        <v>2291</v>
      </c>
      <c r="D1" s="1362"/>
      <c r="E1" s="2510"/>
      <c r="F1" s="2031" t="s">
        <v>2292</v>
      </c>
      <c r="G1" s="1372" t="s">
        <v>2293</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2" customFormat="1" ht="28.5" customHeight="1" thickTop="1">
      <c r="A2" s="1358" t="s">
        <v>1299</v>
      </c>
      <c r="B2" s="1295" t="e">
        <f ca="1">IF(C2="——",ROUND(C49*D3/10000,0),ROUND(C49*D3/10000,0)-D2)</f>
        <v>#DIV/0!</v>
      </c>
      <c r="C2" s="2033"/>
      <c r="D2" s="1244" t="e">
        <f ca="1">SUMIF(INDIRECT("'"&amp;F2&amp;"'"&amp;"!A:A"),"承租人权益价值",INDIRECT("'"&amp;F2&amp;"'"&amp;"!c:c"))</f>
        <v>#REF!</v>
      </c>
      <c r="E2" s="2034" t="s">
        <v>2294</v>
      </c>
      <c r="F2" s="2035"/>
      <c r="G2" s="1036"/>
      <c r="H2" s="1036"/>
      <c r="I2" s="1036"/>
      <c r="J2" s="1036"/>
      <c r="K2" s="2036"/>
      <c r="L2" s="2908"/>
      <c r="M2" s="2909"/>
      <c r="N2" s="2909"/>
      <c r="O2" s="2909"/>
      <c r="P2" s="2037"/>
      <c r="Q2" s="2038"/>
      <c r="R2" s="2038"/>
      <c r="S2" s="2038"/>
      <c r="T2" s="2038"/>
      <c r="U2" s="2038"/>
      <c r="V2" s="2038"/>
      <c r="W2" s="2038"/>
      <c r="X2" s="2038"/>
      <c r="Y2" s="2038"/>
      <c r="Z2" s="2038"/>
      <c r="AA2" s="2038"/>
      <c r="AB2" s="2038"/>
      <c r="AC2" s="2039"/>
    </row>
    <row r="3" spans="1:29" s="352" customFormat="1" ht="28.5" customHeight="1" thickBot="1">
      <c r="A3" s="208" t="s">
        <v>1300</v>
      </c>
      <c r="B3" s="358" t="e">
        <f ca="1">IF(C2="——",C49,ROUND(B2*10000/D3,0))</f>
        <v>#DIV/0!</v>
      </c>
      <c r="C3" s="359" t="s">
        <v>2295</v>
      </c>
      <c r="D3" s="358">
        <f>IF(D1="",'数据-汇总表'!E3,SUMIF('数据-汇总表'!$C19:$C33,D1,'数据-汇总表'!$E19:$E33))</f>
        <v>683.55</v>
      </c>
      <c r="E3" s="1036"/>
      <c r="F3" s="2040"/>
      <c r="G3" s="1036"/>
      <c r="H3" s="1036"/>
      <c r="I3" s="1036"/>
      <c r="J3" s="1036"/>
      <c r="K3" s="2036"/>
      <c r="L3" s="2908"/>
      <c r="M3" s="2909"/>
      <c r="N3" s="2909"/>
      <c r="O3" s="2909"/>
      <c r="P3" s="2037"/>
      <c r="Q3" s="2038"/>
      <c r="R3" s="2038"/>
      <c r="S3" s="2038"/>
      <c r="T3" s="2038"/>
      <c r="U3" s="2038"/>
      <c r="V3" s="2038"/>
      <c r="W3" s="2038"/>
      <c r="X3" s="2038"/>
      <c r="Y3" s="2038"/>
      <c r="Z3" s="2038"/>
      <c r="AA3" s="2038"/>
      <c r="AB3" s="2038"/>
      <c r="AC3" s="1190"/>
    </row>
    <row r="4" spans="1:29" ht="15">
      <c r="A4" s="360" t="s">
        <v>2296</v>
      </c>
      <c r="B4" s="361"/>
      <c r="C4" s="3635" t="s">
        <v>2297</v>
      </c>
      <c r="D4" s="3636"/>
      <c r="E4" s="3637" t="s">
        <v>2298</v>
      </c>
      <c r="F4" s="3638"/>
      <c r="G4" s="3635" t="s">
        <v>2299</v>
      </c>
      <c r="H4" s="3636"/>
      <c r="I4" s="3635" t="s">
        <v>2300</v>
      </c>
      <c r="J4" s="3636"/>
      <c r="K4" s="2041" t="s">
        <v>2301</v>
      </c>
      <c r="L4" s="2910"/>
      <c r="M4" s="2911"/>
      <c r="N4" s="2911"/>
      <c r="O4" s="2911"/>
      <c r="P4" s="3639" t="s">
        <v>2302</v>
      </c>
      <c r="Q4" s="3640"/>
      <c r="R4" s="3645" t="s">
        <v>2298</v>
      </c>
      <c r="S4" s="3646"/>
      <c r="T4" s="3645" t="s">
        <v>2299</v>
      </c>
      <c r="U4" s="3646"/>
      <c r="V4" s="3630" t="s">
        <v>2300</v>
      </c>
      <c r="W4" s="3630"/>
      <c r="X4" s="1506"/>
      <c r="Y4" s="3645" t="s">
        <v>2302</v>
      </c>
      <c r="Z4" s="3646"/>
      <c r="AA4" s="3632" t="s">
        <v>2298</v>
      </c>
      <c r="AB4" s="3632" t="s">
        <v>2299</v>
      </c>
      <c r="AC4" s="3632" t="s">
        <v>2300</v>
      </c>
    </row>
    <row r="5" spans="1:29" ht="15">
      <c r="A5" s="363"/>
      <c r="B5" s="364"/>
      <c r="C5" s="3750" t="s">
        <v>2303</v>
      </c>
      <c r="D5" s="3659"/>
      <c r="E5" s="3751" t="s">
        <v>2304</v>
      </c>
      <c r="F5" s="3654"/>
      <c r="G5" s="3750" t="s">
        <v>2305</v>
      </c>
      <c r="H5" s="3659"/>
      <c r="I5" s="3750" t="s">
        <v>2306</v>
      </c>
      <c r="J5" s="3659"/>
      <c r="K5" s="2042"/>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2042"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44762</v>
      </c>
      <c r="D7" s="370">
        <v>100</v>
      </c>
      <c r="E7" s="371"/>
      <c r="F7" s="372">
        <f>SUMIF(58:58,YEAR(E7)&amp;"-"&amp;MONTH(E7),59:59)</f>
        <v>0</v>
      </c>
      <c r="G7" s="371"/>
      <c r="H7" s="370">
        <f>SUMIF(58:58,YEAR(G7)&amp;"-"&amp;MONTH(G7),59:59)</f>
        <v>0</v>
      </c>
      <c r="I7" s="371"/>
      <c r="J7" s="370">
        <f>SUMIF(58:58,YEAR(I7)&amp;"-"&amp;MONTH(I7),59:59)</f>
        <v>0</v>
      </c>
      <c r="K7" s="2043"/>
      <c r="L7" s="2912"/>
      <c r="M7" s="2913"/>
      <c r="N7" s="2913"/>
      <c r="O7" s="2913"/>
      <c r="P7" s="3655" t="s">
        <v>2310</v>
      </c>
      <c r="Q7" s="3657"/>
      <c r="R7" s="708" t="s">
        <v>23</v>
      </c>
      <c r="S7" s="709">
        <f t="shared" ref="S7:S15" si="0">F7</f>
        <v>0</v>
      </c>
      <c r="T7" s="708" t="s">
        <v>23</v>
      </c>
      <c r="U7" s="709">
        <f t="shared" ref="U7:U15" si="1">H7</f>
        <v>0</v>
      </c>
      <c r="V7" s="708" t="s">
        <v>23</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2044"/>
      <c r="F8" s="372">
        <f>SUMIF(61:61,E8,62:62)-SUMIF(61:61,C8,62:62)+100</f>
        <v>0</v>
      </c>
      <c r="G8" s="373"/>
      <c r="H8" s="370">
        <f>SUMIF(61:61,G8,62:62)-SUMIF(61:61,C8,62:62)+100</f>
        <v>0</v>
      </c>
      <c r="I8" s="2044"/>
      <c r="J8" s="370">
        <f>SUMIF(61:61,I8,62:62)-SUMIF(61:61,C8,62:62)+100</f>
        <v>0</v>
      </c>
      <c r="K8" s="2043"/>
      <c r="L8" s="2912"/>
      <c r="M8" s="2913"/>
      <c r="N8" s="2913"/>
      <c r="O8" s="2913"/>
      <c r="P8" s="3655" t="s">
        <v>2313</v>
      </c>
      <c r="Q8" s="3656"/>
      <c r="R8" s="708" t="s">
        <v>23</v>
      </c>
      <c r="S8" s="709">
        <f t="shared" si="0"/>
        <v>0</v>
      </c>
      <c r="T8" s="708" t="s">
        <v>23</v>
      </c>
      <c r="U8" s="709">
        <f t="shared" si="1"/>
        <v>0</v>
      </c>
      <c r="V8" s="708" t="s">
        <v>23</v>
      </c>
      <c r="W8" s="709">
        <f t="shared" si="2"/>
        <v>0</v>
      </c>
      <c r="X8" s="710"/>
      <c r="Y8" s="3655" t="s">
        <v>2313</v>
      </c>
      <c r="Z8" s="3656"/>
      <c r="AA8" s="711" t="e">
        <f t="shared" ref="AA8:AA19" si="3">D8/F8</f>
        <v>#DIV/0!</v>
      </c>
      <c r="AB8" s="711" t="e">
        <f t="shared" ref="AB8:AB19" si="4">D8/H8</f>
        <v>#DIV/0!</v>
      </c>
      <c r="AC8" s="711"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3"/>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6"/>
      <c r="M11" s="2911"/>
      <c r="N11" s="2911"/>
      <c r="O11" s="2911"/>
      <c r="P11" s="3631"/>
      <c r="Q11" s="1494" t="str">
        <f t="shared" si="6"/>
        <v>容积率</v>
      </c>
      <c r="R11" s="708" t="s">
        <v>21</v>
      </c>
      <c r="S11" s="709" t="e">
        <f t="shared" si="0"/>
        <v>#N/A</v>
      </c>
      <c r="T11" s="708" t="s">
        <v>21</v>
      </c>
      <c r="U11" s="709" t="e">
        <f t="shared" si="1"/>
        <v>#N/A</v>
      </c>
      <c r="V11" s="708" t="s">
        <v>21</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390"/>
      <c r="F12" s="383">
        <f>SUMIF(70:70,E12,71:71)-SUMIF(70:70,C12,71:71)+100</f>
        <v>100</v>
      </c>
      <c r="G12" s="390"/>
      <c r="H12" s="132">
        <f>SUMIF(70:70,G12,71:71)-SUMIF(70:70,C12,71:71)+100</f>
        <v>100</v>
      </c>
      <c r="I12" s="390"/>
      <c r="J12" s="132">
        <f>SUMIF(70:70,I12,71:71)-SUMIF(70:70,C12,71:71)+100</f>
        <v>100</v>
      </c>
      <c r="K12" s="2046"/>
      <c r="L12" s="2912"/>
      <c r="M12" s="2913"/>
      <c r="N12" s="2913"/>
      <c r="O12" s="2913"/>
      <c r="P12" s="3631"/>
      <c r="Q12" s="1494">
        <f t="shared" si="6"/>
        <v>111</v>
      </c>
      <c r="R12" s="708" t="s">
        <v>21</v>
      </c>
      <c r="S12" s="709">
        <f t="shared" si="0"/>
        <v>100</v>
      </c>
      <c r="T12" s="708" t="s">
        <v>21</v>
      </c>
      <c r="U12" s="709">
        <f t="shared" si="1"/>
        <v>100</v>
      </c>
      <c r="V12" s="708" t="s">
        <v>21</v>
      </c>
      <c r="W12" s="709">
        <f t="shared" si="2"/>
        <v>100</v>
      </c>
      <c r="X12" s="710"/>
      <c r="Y12" s="3520"/>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2046"/>
      <c r="L13" s="2917"/>
      <c r="M13" s="2911"/>
      <c r="N13" s="2911"/>
      <c r="O13" s="2911"/>
      <c r="P13" s="3631"/>
      <c r="Q13" s="1494">
        <f t="shared" si="6"/>
        <v>111</v>
      </c>
      <c r="R13" s="708" t="s">
        <v>21</v>
      </c>
      <c r="S13" s="709">
        <f t="shared" si="0"/>
        <v>100</v>
      </c>
      <c r="T13" s="708" t="s">
        <v>21</v>
      </c>
      <c r="U13" s="709">
        <f t="shared" si="1"/>
        <v>100</v>
      </c>
      <c r="V13" s="708" t="s">
        <v>21</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395"/>
      <c r="F14" s="397">
        <f>SUMIF(74:74,E14,75:75)-SUMIF(74:74,C14,75:75)+100</f>
        <v>100</v>
      </c>
      <c r="G14" s="395"/>
      <c r="H14" s="396">
        <f>SUMIF(74:74,G14,75:75)-SUMIF(74:74,C14,75:75)+100</f>
        <v>100</v>
      </c>
      <c r="I14" s="395"/>
      <c r="J14" s="396">
        <f>SUMIF(74:74,I14,75:75)-SUMIF(74:74,C14,75:75)+100</f>
        <v>100</v>
      </c>
      <c r="K14" s="2046"/>
      <c r="L14" s="2917"/>
      <c r="M14" s="2911"/>
      <c r="N14" s="2911"/>
      <c r="O14" s="2911"/>
      <c r="P14" s="3631"/>
      <c r="Q14" s="1494">
        <f t="shared" si="6"/>
        <v>111</v>
      </c>
      <c r="R14" s="708" t="s">
        <v>21</v>
      </c>
      <c r="S14" s="709">
        <f t="shared" si="0"/>
        <v>100</v>
      </c>
      <c r="T14" s="708" t="s">
        <v>21</v>
      </c>
      <c r="U14" s="709">
        <f t="shared" si="1"/>
        <v>100</v>
      </c>
      <c r="V14" s="708" t="s">
        <v>21</v>
      </c>
      <c r="W14" s="709">
        <f t="shared" si="2"/>
        <v>100</v>
      </c>
      <c r="X14" s="710"/>
      <c r="Y14" s="3520"/>
      <c r="Z14" s="55">
        <f t="shared" si="7"/>
        <v>111</v>
      </c>
      <c r="AA14" s="711">
        <f t="shared" si="3"/>
        <v>1</v>
      </c>
      <c r="AB14" s="711">
        <f t="shared" si="4"/>
        <v>1</v>
      </c>
      <c r="AC14" s="711">
        <f t="shared" si="5"/>
        <v>1</v>
      </c>
    </row>
    <row r="15" spans="1:29" ht="99.75">
      <c r="A15" s="398" t="s">
        <v>2320</v>
      </c>
      <c r="B15" s="65" t="s">
        <v>1883</v>
      </c>
      <c r="C15" s="204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7"/>
      <c r="M15" s="2911"/>
      <c r="N15" s="2911"/>
      <c r="O15" s="2911"/>
      <c r="P15" s="3621" t="s">
        <v>2321</v>
      </c>
      <c r="Q15" s="1503" t="str">
        <f t="shared" si="6"/>
        <v>居住社区成熟度</v>
      </c>
      <c r="R15" s="712" t="s">
        <v>21</v>
      </c>
      <c r="S15" s="713">
        <f t="shared" si="0"/>
        <v>100</v>
      </c>
      <c r="T15" s="712" t="s">
        <v>21</v>
      </c>
      <c r="U15" s="713">
        <f t="shared" si="1"/>
        <v>100</v>
      </c>
      <c r="V15" s="712" t="s">
        <v>21</v>
      </c>
      <c r="W15" s="713">
        <f t="shared" si="2"/>
        <v>100</v>
      </c>
      <c r="X15" s="1506"/>
      <c r="Y15" s="3623" t="s">
        <v>2321</v>
      </c>
      <c r="Z15" s="1507" t="str">
        <f t="shared" si="7"/>
        <v>居住社区成熟度</v>
      </c>
      <c r="AA15" s="1504">
        <f t="shared" si="3"/>
        <v>1</v>
      </c>
      <c r="AB15" s="1504">
        <f t="shared" si="4"/>
        <v>1</v>
      </c>
      <c r="AC15" s="1504">
        <f t="shared" si="5"/>
        <v>1</v>
      </c>
    </row>
    <row r="16" spans="1:29" ht="15">
      <c r="A16" s="386"/>
      <c r="B16" s="404"/>
      <c r="C16" s="405"/>
      <c r="D16" s="406"/>
      <c r="E16" s="2049"/>
      <c r="F16" s="406"/>
      <c r="G16" s="2050"/>
      <c r="H16" s="408"/>
      <c r="I16" s="2050"/>
      <c r="J16" s="406"/>
      <c r="K16" s="2051"/>
      <c r="L16" s="2917"/>
      <c r="M16" s="2911"/>
      <c r="N16" s="2911"/>
      <c r="O16" s="2911"/>
      <c r="P16" s="3622"/>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7"/>
      <c r="M17" s="2911"/>
      <c r="N17" s="2911"/>
      <c r="O17" s="2911"/>
      <c r="P17" s="3622"/>
      <c r="Q17" s="1503" t="str">
        <f>B17</f>
        <v>交通便捷度</v>
      </c>
      <c r="R17" s="712" t="s">
        <v>21</v>
      </c>
      <c r="S17" s="713">
        <f>F17</f>
        <v>100</v>
      </c>
      <c r="T17" s="712" t="s">
        <v>21</v>
      </c>
      <c r="U17" s="713">
        <f>H17</f>
        <v>100</v>
      </c>
      <c r="V17" s="712" t="s">
        <v>21</v>
      </c>
      <c r="W17" s="713">
        <f>J17</f>
        <v>100</v>
      </c>
      <c r="X17" s="1506"/>
      <c r="Y17" s="3624"/>
      <c r="Z17" s="1507" t="str">
        <f>Q17</f>
        <v>交通便捷度</v>
      </c>
      <c r="AA17" s="1504">
        <f t="shared" si="3"/>
        <v>1</v>
      </c>
      <c r="AB17" s="1504">
        <f t="shared" si="4"/>
        <v>1</v>
      </c>
      <c r="AC17" s="1504">
        <f t="shared" si="5"/>
        <v>1</v>
      </c>
    </row>
    <row r="18" spans="1:29" ht="15">
      <c r="A18" s="386"/>
      <c r="B18" s="414"/>
      <c r="C18" s="2053"/>
      <c r="D18" s="408"/>
      <c r="E18" s="2054"/>
      <c r="F18" s="408"/>
      <c r="G18" s="2055"/>
      <c r="H18" s="406"/>
      <c r="I18" s="2055"/>
      <c r="J18" s="406"/>
      <c r="K18" s="2051"/>
      <c r="L18" s="2917"/>
      <c r="M18" s="2911"/>
      <c r="N18" s="2911"/>
      <c r="O18" s="2911"/>
      <c r="P18" s="3622"/>
      <c r="Q18" s="1503"/>
      <c r="R18" s="712"/>
      <c r="S18" s="713"/>
      <c r="T18" s="712"/>
      <c r="U18" s="713"/>
      <c r="V18" s="712"/>
      <c r="W18" s="713"/>
      <c r="X18" s="1506"/>
      <c r="Y18" s="3624"/>
      <c r="Z18" s="1507"/>
      <c r="AA18" s="1504">
        <v>1</v>
      </c>
      <c r="AB18" s="1504">
        <v>1</v>
      </c>
      <c r="AC18" s="1504">
        <v>1</v>
      </c>
    </row>
    <row r="19" spans="1:29" ht="42.75">
      <c r="A19" s="386"/>
      <c r="B19" s="409" t="s">
        <v>1884</v>
      </c>
      <c r="C19" s="205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7"/>
      <c r="M19" s="2911"/>
      <c r="N19" s="2911"/>
      <c r="O19" s="2911"/>
      <c r="P19" s="3622"/>
      <c r="Q19" s="1503" t="str">
        <f>B19</f>
        <v>公共配套设施</v>
      </c>
      <c r="R19" s="712" t="s">
        <v>21</v>
      </c>
      <c r="S19" s="713">
        <f>F19</f>
        <v>100</v>
      </c>
      <c r="T19" s="712" t="s">
        <v>21</v>
      </c>
      <c r="U19" s="713">
        <f>H19</f>
        <v>100</v>
      </c>
      <c r="V19" s="712" t="s">
        <v>21</v>
      </c>
      <c r="W19" s="713">
        <f>J19</f>
        <v>100</v>
      </c>
      <c r="X19" s="1506"/>
      <c r="Y19" s="3624"/>
      <c r="Z19" s="1507" t="str">
        <f>Q19</f>
        <v>公共配套设施</v>
      </c>
      <c r="AA19" s="1504">
        <f t="shared" si="3"/>
        <v>1</v>
      </c>
      <c r="AB19" s="1504">
        <f t="shared" si="4"/>
        <v>1</v>
      </c>
      <c r="AC19" s="1504">
        <f t="shared" si="5"/>
        <v>1</v>
      </c>
    </row>
    <row r="20" spans="1:29" ht="15">
      <c r="A20" s="386"/>
      <c r="B20" s="414"/>
      <c r="C20" s="405"/>
      <c r="D20" s="406"/>
      <c r="E20" s="2049"/>
      <c r="F20" s="406"/>
      <c r="G20" s="2050"/>
      <c r="H20" s="406"/>
      <c r="I20" s="2050"/>
      <c r="J20" s="406"/>
      <c r="K20" s="2051"/>
      <c r="L20" s="2917"/>
      <c r="M20" s="2911"/>
      <c r="N20" s="2911"/>
      <c r="O20" s="2911"/>
      <c r="P20" s="3622"/>
      <c r="Q20" s="1503"/>
      <c r="R20" s="712"/>
      <c r="S20" s="713"/>
      <c r="T20" s="712"/>
      <c r="U20" s="713"/>
      <c r="V20" s="712"/>
      <c r="W20" s="713"/>
      <c r="X20" s="1506"/>
      <c r="Y20" s="3624"/>
      <c r="Z20" s="1507"/>
      <c r="AA20" s="1504">
        <v>1</v>
      </c>
      <c r="AB20" s="1504">
        <v>1</v>
      </c>
      <c r="AC20" s="1504">
        <v>1</v>
      </c>
    </row>
    <row r="21" spans="1:29" ht="28.5">
      <c r="A21" s="386"/>
      <c r="B21" s="1262" t="s">
        <v>1886</v>
      </c>
      <c r="C21" s="205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6"/>
      <c r="G22" s="2056"/>
      <c r="H22" s="406"/>
      <c r="I22" s="405"/>
      <c r="J22" s="406"/>
      <c r="K22" s="2057"/>
      <c r="L22" s="2917"/>
      <c r="M22" s="2911"/>
      <c r="N22" s="2911"/>
      <c r="O22" s="2911"/>
      <c r="P22" s="3622"/>
      <c r="Q22" s="1503"/>
      <c r="R22" s="712"/>
      <c r="S22" s="713"/>
      <c r="T22" s="712"/>
      <c r="U22" s="713"/>
      <c r="V22" s="712"/>
      <c r="W22" s="713"/>
      <c r="X22" s="1506"/>
      <c r="Y22" s="3624"/>
      <c r="Z22" s="1507"/>
      <c r="AA22" s="1504">
        <v>1</v>
      </c>
      <c r="AB22" s="1504">
        <v>1</v>
      </c>
      <c r="AC22" s="1504">
        <v>1</v>
      </c>
    </row>
    <row r="23" spans="1:29" ht="57">
      <c r="A23" s="386"/>
      <c r="B23" s="409" t="s">
        <v>1887</v>
      </c>
      <c r="C23" s="205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7"/>
      <c r="M23" s="2911"/>
      <c r="N23" s="2911"/>
      <c r="O23" s="2911"/>
      <c r="P23" s="3622"/>
      <c r="Q23" s="1503" t="str">
        <f>B23</f>
        <v>自然及人文环境</v>
      </c>
      <c r="R23" s="712" t="s">
        <v>21</v>
      </c>
      <c r="S23" s="713">
        <f>F23</f>
        <v>100</v>
      </c>
      <c r="T23" s="712" t="s">
        <v>21</v>
      </c>
      <c r="U23" s="713">
        <f>H23</f>
        <v>100</v>
      </c>
      <c r="V23" s="712" t="s">
        <v>21</v>
      </c>
      <c r="W23" s="713">
        <f>J23</f>
        <v>100</v>
      </c>
      <c r="X23" s="1506"/>
      <c r="Y23" s="3624"/>
      <c r="Z23" s="1507" t="str">
        <f>Q23</f>
        <v>自然及人文环境</v>
      </c>
      <c r="AA23" s="1504">
        <f>D23/F23</f>
        <v>1</v>
      </c>
      <c r="AB23" s="1504">
        <f>D23/H23</f>
        <v>1</v>
      </c>
      <c r="AC23" s="1504">
        <f>D23/J23</f>
        <v>1</v>
      </c>
    </row>
    <row r="24" spans="1:29" ht="15">
      <c r="A24" s="386"/>
      <c r="B24" s="414"/>
      <c r="C24" s="405"/>
      <c r="D24" s="406"/>
      <c r="E24" s="2049"/>
      <c r="F24" s="406"/>
      <c r="G24" s="2050"/>
      <c r="H24" s="406"/>
      <c r="I24" s="2050"/>
      <c r="J24" s="406"/>
      <c r="K24" s="2051"/>
      <c r="L24" s="2917"/>
      <c r="M24" s="2911"/>
      <c r="N24" s="2911"/>
      <c r="O24" s="2911"/>
      <c r="P24" s="3622"/>
      <c r="Q24" s="1503"/>
      <c r="R24" s="712"/>
      <c r="S24" s="713"/>
      <c r="T24" s="712"/>
      <c r="U24" s="713"/>
      <c r="V24" s="712"/>
      <c r="W24" s="713"/>
      <c r="X24" s="1506"/>
      <c r="Y24" s="3624"/>
      <c r="Z24" s="1507"/>
      <c r="AA24" s="1504">
        <v>1</v>
      </c>
      <c r="AB24" s="1504">
        <v>1</v>
      </c>
      <c r="AC24" s="1504">
        <v>1</v>
      </c>
    </row>
    <row r="25" spans="1:29" ht="15">
      <c r="A25" s="386"/>
      <c r="B25" s="380" t="s">
        <v>2322</v>
      </c>
      <c r="C25" s="418"/>
      <c r="D25" s="393">
        <v>100</v>
      </c>
      <c r="E25" s="2058"/>
      <c r="F25" s="393">
        <f>SUMIF(86:86,E25,87:87)-SUMIF(86:86,C25,87:87)+100</f>
        <v>100</v>
      </c>
      <c r="G25" s="2059"/>
      <c r="H25" s="393">
        <f>SUMIF(86:86,G25,87:87)-SUMIF(86:86,C25,87:87)+100</f>
        <v>100</v>
      </c>
      <c r="I25" s="2059"/>
      <c r="J25" s="393">
        <f>SUMIF(86:86,I25,87:87)-SUMIF(86:86,C25,87:87)+100</f>
        <v>100</v>
      </c>
      <c r="K25" s="384"/>
      <c r="L25" s="2917"/>
      <c r="M25" s="2911"/>
      <c r="N25" s="2911"/>
      <c r="O25" s="2911"/>
      <c r="P25" s="3622"/>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624"/>
      <c r="Z25" s="1507" t="str">
        <f>Q25</f>
        <v>楼层-1</v>
      </c>
      <c r="AA25" s="1504">
        <f t="shared" ref="AA25:AA46" si="15">D25/F25</f>
        <v>1</v>
      </c>
      <c r="AB25" s="1504">
        <f t="shared" ref="AB25:AB46" si="16">D25/H25</f>
        <v>1</v>
      </c>
      <c r="AC25" s="1504">
        <f t="shared" ref="AC25:AC46" si="17">D25/J25</f>
        <v>1</v>
      </c>
    </row>
    <row r="26" spans="1:29" ht="15">
      <c r="A26" s="386"/>
      <c r="B26" s="380" t="s">
        <v>2323</v>
      </c>
      <c r="C26" s="418"/>
      <c r="D26" s="393">
        <v>100</v>
      </c>
      <c r="E26" s="2058"/>
      <c r="F26" s="393">
        <f>SUMIF(88:88,E26,89:89)-SUMIF(88:88,C26,89:89)+100</f>
        <v>100</v>
      </c>
      <c r="G26" s="2059"/>
      <c r="H26" s="393">
        <f>SUMIF(88:88,G26,89:89)-SUMIF(88:88,C26,89:89)+100</f>
        <v>100</v>
      </c>
      <c r="I26" s="2059"/>
      <c r="J26" s="393">
        <f>SUMIF(88:88,I26,89:89)-SUMIF(88:88,C26,89:89)+100</f>
        <v>100</v>
      </c>
      <c r="K26" s="384"/>
      <c r="L26" s="2917"/>
      <c r="M26" s="2911"/>
      <c r="N26" s="2911"/>
      <c r="O26" s="2911"/>
      <c r="P26" s="3622"/>
      <c r="Q26" s="1503" t="str">
        <f t="shared" si="11"/>
        <v>朝向</v>
      </c>
      <c r="R26" s="712" t="s">
        <v>21</v>
      </c>
      <c r="S26" s="713">
        <f t="shared" si="12"/>
        <v>100</v>
      </c>
      <c r="T26" s="712" t="s">
        <v>21</v>
      </c>
      <c r="U26" s="713">
        <f t="shared" si="13"/>
        <v>100</v>
      </c>
      <c r="V26" s="712" t="s">
        <v>21</v>
      </c>
      <c r="W26" s="713">
        <f t="shared" si="14"/>
        <v>100</v>
      </c>
      <c r="X26" s="1506"/>
      <c r="Y26" s="3624"/>
      <c r="Z26" s="1507" t="str">
        <f>Q26</f>
        <v>朝向</v>
      </c>
      <c r="AA26" s="1504">
        <f t="shared" si="15"/>
        <v>1</v>
      </c>
      <c r="AB26" s="1504">
        <f t="shared" si="16"/>
        <v>1</v>
      </c>
      <c r="AC26" s="1504">
        <f t="shared" si="17"/>
        <v>1</v>
      </c>
    </row>
    <row r="27" spans="1:29" s="113" customFormat="1" ht="15">
      <c r="A27" s="389"/>
      <c r="B27" s="1264">
        <v>111</v>
      </c>
      <c r="C27" s="390"/>
      <c r="D27" s="420">
        <v>100</v>
      </c>
      <c r="E27" s="423"/>
      <c r="F27" s="420">
        <f>SUMIF(90:90,E27,91:91)-SUMIF(90:90,C27,91:91)+100</f>
        <v>100</v>
      </c>
      <c r="G27" s="421"/>
      <c r="H27" s="420">
        <f>SUMIF(90:90,G27,91:91)-SUMIF(90:90,C27,91:91)+100</f>
        <v>100</v>
      </c>
      <c r="I27" s="421"/>
      <c r="J27" s="420">
        <f>SUMIF(90:90,I27,91:91)-SUMIF(90:90,C27,91:91)+100</f>
        <v>100</v>
      </c>
      <c r="K27" s="2046"/>
      <c r="L27" s="2912"/>
      <c r="M27" s="2913"/>
      <c r="N27" s="2913"/>
      <c r="O27" s="2913"/>
      <c r="P27" s="3622"/>
      <c r="Q27" s="1494">
        <f t="shared" si="11"/>
        <v>111</v>
      </c>
      <c r="R27" s="708" t="s">
        <v>21</v>
      </c>
      <c r="S27" s="709">
        <f t="shared" si="12"/>
        <v>100</v>
      </c>
      <c r="T27" s="708" t="s">
        <v>21</v>
      </c>
      <c r="U27" s="709">
        <f t="shared" si="13"/>
        <v>100</v>
      </c>
      <c r="V27" s="708" t="s">
        <v>21</v>
      </c>
      <c r="W27" s="709">
        <f t="shared" si="14"/>
        <v>100</v>
      </c>
      <c r="X27" s="710"/>
      <c r="Y27" s="3624"/>
      <c r="Z27" s="55">
        <f>Q27</f>
        <v>111</v>
      </c>
      <c r="AA27" s="1504">
        <f t="shared" si="15"/>
        <v>1</v>
      </c>
      <c r="AB27" s="1504">
        <f t="shared" si="16"/>
        <v>1</v>
      </c>
      <c r="AC27" s="1504">
        <f t="shared" si="17"/>
        <v>1</v>
      </c>
    </row>
    <row r="28" spans="1:29" ht="15">
      <c r="A28" s="386"/>
      <c r="B28" s="1264">
        <v>111</v>
      </c>
      <c r="C28" s="392"/>
      <c r="D28" s="393">
        <v>100</v>
      </c>
      <c r="E28" s="392"/>
      <c r="F28" s="393">
        <f>SUMIF(92:92,E28,93:93)-SUMIF(92:92,C28,93:93)+100</f>
        <v>100</v>
      </c>
      <c r="G28" s="2060"/>
      <c r="H28" s="393">
        <f>SUMIF(92:92,G28,93:93)-SUMIF(92:92,C28,93:93)+100</f>
        <v>100</v>
      </c>
      <c r="I28" s="392"/>
      <c r="J28" s="393">
        <f>SUMIF(92:92,I28,93:93)-SUMIF(92:92,C28,93:93)+100</f>
        <v>100</v>
      </c>
      <c r="K28" s="2046"/>
      <c r="L28" s="2917"/>
      <c r="M28" s="2911"/>
      <c r="N28" s="2911"/>
      <c r="O28" s="2911"/>
      <c r="P28" s="3622"/>
      <c r="Q28" s="1503">
        <f t="shared" si="11"/>
        <v>111</v>
      </c>
      <c r="R28" s="712" t="s">
        <v>21</v>
      </c>
      <c r="S28" s="713">
        <f t="shared" si="12"/>
        <v>100</v>
      </c>
      <c r="T28" s="712" t="s">
        <v>21</v>
      </c>
      <c r="U28" s="713">
        <f t="shared" si="13"/>
        <v>100</v>
      </c>
      <c r="V28" s="712" t="s">
        <v>21</v>
      </c>
      <c r="W28" s="713">
        <f t="shared" si="14"/>
        <v>100</v>
      </c>
      <c r="X28" s="1506"/>
      <c r="Y28" s="3624"/>
      <c r="Z28" s="1507">
        <f t="shared" ref="Z28:Z46" si="18">Q28</f>
        <v>111</v>
      </c>
      <c r="AA28" s="1504">
        <f t="shared" si="15"/>
        <v>1</v>
      </c>
      <c r="AB28" s="1504">
        <f t="shared" si="16"/>
        <v>1</v>
      </c>
      <c r="AC28" s="1504">
        <f t="shared" si="17"/>
        <v>1</v>
      </c>
    </row>
    <row r="29" spans="1:29" ht="15">
      <c r="A29" s="386"/>
      <c r="B29" s="1264">
        <v>111</v>
      </c>
      <c r="C29" s="392"/>
      <c r="D29" s="393">
        <v>100</v>
      </c>
      <c r="E29" s="392"/>
      <c r="F29" s="393">
        <f>SUMIF(94:94,E29,95:95)-SUMIF(94:94,C29,95:95)+100</f>
        <v>100</v>
      </c>
      <c r="G29" s="2060"/>
      <c r="H29" s="393">
        <f>SUMIF(94:94,G29,95:95)-SUMIF(94:94,C29,95:95)+100</f>
        <v>100</v>
      </c>
      <c r="I29" s="392"/>
      <c r="J29" s="393">
        <f>SUMIF(94:94,I29,95:95)-SUMIF(94:94,C29,95:95)+100</f>
        <v>100</v>
      </c>
      <c r="K29" s="2046"/>
      <c r="L29" s="2917"/>
      <c r="M29" s="2911"/>
      <c r="N29" s="2911"/>
      <c r="O29" s="2911"/>
      <c r="P29" s="3622"/>
      <c r="Q29" s="1503">
        <f t="shared" si="11"/>
        <v>111</v>
      </c>
      <c r="R29" s="712" t="s">
        <v>21</v>
      </c>
      <c r="S29" s="713">
        <f t="shared" si="12"/>
        <v>100</v>
      </c>
      <c r="T29" s="712" t="s">
        <v>21</v>
      </c>
      <c r="U29" s="713">
        <f t="shared" si="13"/>
        <v>100</v>
      </c>
      <c r="V29" s="712" t="s">
        <v>21</v>
      </c>
      <c r="W29" s="713">
        <f t="shared" si="14"/>
        <v>100</v>
      </c>
      <c r="X29" s="1506"/>
      <c r="Y29" s="3624"/>
      <c r="Z29" s="1507">
        <f t="shared" si="18"/>
        <v>111</v>
      </c>
      <c r="AA29" s="1504">
        <f t="shared" si="15"/>
        <v>1</v>
      </c>
      <c r="AB29" s="1504">
        <f t="shared" si="16"/>
        <v>1</v>
      </c>
      <c r="AC29" s="1504">
        <f t="shared" si="17"/>
        <v>1</v>
      </c>
    </row>
    <row r="30" spans="1:29" ht="15">
      <c r="A30" s="386"/>
      <c r="B30" s="1264">
        <v>111</v>
      </c>
      <c r="C30" s="392"/>
      <c r="D30" s="393">
        <v>100</v>
      </c>
      <c r="E30" s="392"/>
      <c r="F30" s="393">
        <f>SUMIF(96:96,E30,97:97)-SUMIF(96:96,C30,97:97)+100</f>
        <v>100</v>
      </c>
      <c r="G30" s="2060"/>
      <c r="H30" s="393">
        <f>SUMIF(96:96,G30,97:97)-SUMIF(96:96,C30,97:97)+100</f>
        <v>100</v>
      </c>
      <c r="I30" s="392"/>
      <c r="J30" s="393">
        <f>SUMIF(96:96,I30,97:97)-SUMIF(96:96,C30,97:97)+100</f>
        <v>100</v>
      </c>
      <c r="K30" s="2046"/>
      <c r="L30" s="2917"/>
      <c r="M30" s="2911"/>
      <c r="N30" s="2911"/>
      <c r="O30" s="2911"/>
      <c r="P30" s="3622"/>
      <c r="Q30" s="1503">
        <f t="shared" si="11"/>
        <v>111</v>
      </c>
      <c r="R30" s="712" t="s">
        <v>21</v>
      </c>
      <c r="S30" s="713">
        <f t="shared" si="12"/>
        <v>100</v>
      </c>
      <c r="T30" s="712" t="s">
        <v>21</v>
      </c>
      <c r="U30" s="713">
        <f t="shared" si="13"/>
        <v>100</v>
      </c>
      <c r="V30" s="712" t="s">
        <v>21</v>
      </c>
      <c r="W30" s="713">
        <f t="shared" si="14"/>
        <v>100</v>
      </c>
      <c r="X30" s="1506"/>
      <c r="Y30" s="3624"/>
      <c r="Z30" s="1507">
        <f t="shared" si="18"/>
        <v>111</v>
      </c>
      <c r="AA30" s="1504">
        <f t="shared" si="15"/>
        <v>1</v>
      </c>
      <c r="AB30" s="1504">
        <f t="shared" si="16"/>
        <v>1</v>
      </c>
      <c r="AC30" s="1504">
        <f t="shared" si="17"/>
        <v>1</v>
      </c>
    </row>
    <row r="31" spans="1:29" ht="15.75" thickBot="1">
      <c r="A31" s="394"/>
      <c r="B31" s="1264">
        <v>111</v>
      </c>
      <c r="C31" s="395"/>
      <c r="D31" s="396">
        <v>100</v>
      </c>
      <c r="E31" s="395"/>
      <c r="F31" s="396">
        <f>SUMIF(98:98,E31,99:99)-SUMIF(98:98,C31,99:99)+100</f>
        <v>100</v>
      </c>
      <c r="G31" s="2061"/>
      <c r="H31" s="396">
        <f>SUMIF(98:98,G31,99:99)-SUMIF(98:98,C31,99:99)+100</f>
        <v>100</v>
      </c>
      <c r="I31" s="395"/>
      <c r="J31" s="396">
        <f>SUMIF(98:98,I31,99:99)-SUMIF(98:98,C31,99:99)+100</f>
        <v>100</v>
      </c>
      <c r="K31" s="2046"/>
      <c r="L31" s="2917"/>
      <c r="M31" s="2911"/>
      <c r="N31" s="2911"/>
      <c r="O31" s="2911"/>
      <c r="P31" s="3622"/>
      <c r="Q31" s="1503">
        <f t="shared" si="11"/>
        <v>111</v>
      </c>
      <c r="R31" s="712" t="s">
        <v>21</v>
      </c>
      <c r="S31" s="713">
        <f t="shared" si="12"/>
        <v>100</v>
      </c>
      <c r="T31" s="712" t="s">
        <v>21</v>
      </c>
      <c r="U31" s="713">
        <f t="shared" si="13"/>
        <v>100</v>
      </c>
      <c r="V31" s="712" t="s">
        <v>21</v>
      </c>
      <c r="W31" s="713">
        <f t="shared" si="14"/>
        <v>100</v>
      </c>
      <c r="X31" s="1506"/>
      <c r="Y31" s="3624"/>
      <c r="Z31" s="1507">
        <f t="shared" si="18"/>
        <v>111</v>
      </c>
      <c r="AA31" s="1504">
        <f t="shared" si="15"/>
        <v>1</v>
      </c>
      <c r="AB31" s="1504">
        <f t="shared" si="16"/>
        <v>1</v>
      </c>
      <c r="AC31" s="1504">
        <f t="shared" si="17"/>
        <v>1</v>
      </c>
    </row>
    <row r="32" spans="1:29" ht="15">
      <c r="A32" s="398" t="s">
        <v>2324</v>
      </c>
      <c r="B32" s="67" t="s">
        <v>2325</v>
      </c>
      <c r="C32" s="2062"/>
      <c r="D32" s="425">
        <v>100</v>
      </c>
      <c r="E32" s="2063"/>
      <c r="F32" s="419">
        <f>SUMIF(100:100,E32,101:101)-SUMIF(100:100,C32,101:101)+100</f>
        <v>100</v>
      </c>
      <c r="G32" s="2062"/>
      <c r="H32" s="425">
        <f>SUMIF(100:100,G32,101:101)-SUMIF(100:100,C32,101:101)+100</f>
        <v>100</v>
      </c>
      <c r="I32" s="2063"/>
      <c r="J32" s="393">
        <f>SUMIF(100:100,I32,101:101)-SUMIF(100:100,C32,101:101)+100</f>
        <v>100</v>
      </c>
      <c r="K32" s="384"/>
      <c r="L32" s="2917"/>
      <c r="M32" s="2911"/>
      <c r="N32" s="2911"/>
      <c r="O32" s="2911"/>
      <c r="P32" s="3625" t="s">
        <v>2326</v>
      </c>
      <c r="Q32" s="1503" t="str">
        <f t="shared" si="11"/>
        <v>建筑类型</v>
      </c>
      <c r="R32" s="712" t="s">
        <v>21</v>
      </c>
      <c r="S32" s="713">
        <f t="shared" si="12"/>
        <v>100</v>
      </c>
      <c r="T32" s="712" t="s">
        <v>21</v>
      </c>
      <c r="U32" s="713">
        <f t="shared" si="13"/>
        <v>100</v>
      </c>
      <c r="V32" s="712" t="s">
        <v>21</v>
      </c>
      <c r="W32" s="713">
        <f t="shared" si="14"/>
        <v>100</v>
      </c>
      <c r="X32" s="1506"/>
      <c r="Y32" s="3628" t="s">
        <v>2326</v>
      </c>
      <c r="Z32" s="1507" t="str">
        <f t="shared" si="18"/>
        <v>建筑类型</v>
      </c>
      <c r="AA32" s="1504">
        <f t="shared" si="15"/>
        <v>1</v>
      </c>
      <c r="AB32" s="1504">
        <f t="shared" si="16"/>
        <v>1</v>
      </c>
      <c r="AC32" s="1504">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6"/>
      <c r="L33" s="2916"/>
      <c r="M33" s="2918"/>
      <c r="N33" s="2918"/>
      <c r="O33" s="2918"/>
      <c r="P33" s="3626"/>
      <c r="Q33" s="714" t="str">
        <f t="shared" si="11"/>
        <v>项目建筑规模</v>
      </c>
      <c r="R33" s="715" t="s">
        <v>21</v>
      </c>
      <c r="S33" s="716" t="e">
        <f t="shared" si="12"/>
        <v>#N/A</v>
      </c>
      <c r="T33" s="715" t="s">
        <v>21</v>
      </c>
      <c r="U33" s="716" t="e">
        <f t="shared" si="13"/>
        <v>#N/A</v>
      </c>
      <c r="V33" s="715" t="s">
        <v>21</v>
      </c>
      <c r="W33" s="716" t="e">
        <f t="shared" si="14"/>
        <v>#N/A</v>
      </c>
      <c r="X33" s="717"/>
      <c r="Y33" s="3628"/>
      <c r="Z33" s="718" t="str">
        <f t="shared" si="18"/>
        <v>项目建筑规模</v>
      </c>
      <c r="AA33" s="1504" t="e">
        <f t="shared" si="15"/>
        <v>#N/A</v>
      </c>
      <c r="AB33" s="1504" t="e">
        <f t="shared" si="16"/>
        <v>#N/A</v>
      </c>
      <c r="AC33" s="1504" t="e">
        <f t="shared" si="17"/>
        <v>#N/A</v>
      </c>
    </row>
    <row r="34" spans="1:29" ht="15">
      <c r="A34" s="430"/>
      <c r="B34" s="380" t="s">
        <v>2328</v>
      </c>
      <c r="C34" s="2064"/>
      <c r="D34" s="393">
        <v>100</v>
      </c>
      <c r="E34" s="2065"/>
      <c r="F34" s="419">
        <f>SUMIF(105:105,E34,106:106)-SUMIF(105:105,C34,106:106)+100</f>
        <v>100</v>
      </c>
      <c r="G34" s="2064"/>
      <c r="H34" s="393">
        <f>SUMIF(105:105,G34,106:106)-SUMIF(105:105,C34,106:106)+100</f>
        <v>100</v>
      </c>
      <c r="I34" s="2065"/>
      <c r="J34" s="393">
        <f>SUMIF(105:105,I34,106:106)-SUMIF(105:105,C34,106:106)+100</f>
        <v>100</v>
      </c>
      <c r="K34" s="384"/>
      <c r="L34" s="2917"/>
      <c r="M34" s="2911"/>
      <c r="N34" s="2911"/>
      <c r="O34" s="2911"/>
      <c r="P34" s="3626"/>
      <c r="Q34" s="1503" t="str">
        <f t="shared" si="11"/>
        <v>建筑结构</v>
      </c>
      <c r="R34" s="712" t="s">
        <v>21</v>
      </c>
      <c r="S34" s="713">
        <f t="shared" si="12"/>
        <v>100</v>
      </c>
      <c r="T34" s="712" t="s">
        <v>21</v>
      </c>
      <c r="U34" s="713">
        <f t="shared" si="13"/>
        <v>100</v>
      </c>
      <c r="V34" s="712" t="s">
        <v>21</v>
      </c>
      <c r="W34" s="713">
        <f t="shared" si="14"/>
        <v>100</v>
      </c>
      <c r="X34" s="1506"/>
      <c r="Y34" s="3628"/>
      <c r="Z34" s="1507" t="str">
        <f t="shared" si="18"/>
        <v>建筑结构</v>
      </c>
      <c r="AA34" s="1504">
        <f t="shared" si="15"/>
        <v>1</v>
      </c>
      <c r="AB34" s="1504">
        <f t="shared" si="16"/>
        <v>1</v>
      </c>
      <c r="AC34" s="1504">
        <f t="shared" si="17"/>
        <v>1</v>
      </c>
    </row>
    <row r="35" spans="1:29" ht="15">
      <c r="A35" s="430"/>
      <c r="B35" s="380" t="s">
        <v>2329</v>
      </c>
      <c r="C35" s="2058"/>
      <c r="D35" s="393">
        <v>100</v>
      </c>
      <c r="E35" s="2059"/>
      <c r="F35" s="419">
        <f>SUMIF(107:107,E35,108:108)-SUMIF(107:107,C35,108:108)+100</f>
        <v>100</v>
      </c>
      <c r="G35" s="2058"/>
      <c r="H35" s="393">
        <f>SUMIF(107:107,G35,108:108)-SUMIF(107:107,C35,108:108)+100</f>
        <v>100</v>
      </c>
      <c r="I35" s="2059"/>
      <c r="J35" s="393">
        <f>SUMIF(107:107,I35,108:108)-SUMIF(107:107,C35,108:108)+100</f>
        <v>100</v>
      </c>
      <c r="K35" s="384"/>
      <c r="L35" s="2917"/>
      <c r="M35" s="2911"/>
      <c r="N35" s="2911"/>
      <c r="O35" s="2911"/>
      <c r="P35" s="3626"/>
      <c r="Q35" s="1503" t="str">
        <f t="shared" si="11"/>
        <v>建筑品质</v>
      </c>
      <c r="R35" s="712" t="s">
        <v>21</v>
      </c>
      <c r="S35" s="713">
        <f t="shared" si="12"/>
        <v>100</v>
      </c>
      <c r="T35" s="712" t="s">
        <v>21</v>
      </c>
      <c r="U35" s="713">
        <f t="shared" si="13"/>
        <v>100</v>
      </c>
      <c r="V35" s="712" t="s">
        <v>21</v>
      </c>
      <c r="W35" s="713">
        <f t="shared" si="14"/>
        <v>100</v>
      </c>
      <c r="X35" s="1506"/>
      <c r="Y35" s="3628"/>
      <c r="Z35" s="1507" t="str">
        <f t="shared" si="18"/>
        <v>建筑品质</v>
      </c>
      <c r="AA35" s="1504">
        <f t="shared" si="15"/>
        <v>1</v>
      </c>
      <c r="AB35" s="1504">
        <f t="shared" si="16"/>
        <v>1</v>
      </c>
      <c r="AC35" s="1504">
        <f t="shared" si="17"/>
        <v>1</v>
      </c>
    </row>
    <row r="36" spans="1:29" ht="15">
      <c r="A36" s="430"/>
      <c r="B36" s="380" t="s">
        <v>2330</v>
      </c>
      <c r="C36" s="2058"/>
      <c r="D36" s="393">
        <v>100</v>
      </c>
      <c r="E36" s="2059"/>
      <c r="F36" s="419">
        <f>SUMIF(109:109,E36,110:110)-SUMIF(109:109,C36,110:110)+100</f>
        <v>100</v>
      </c>
      <c r="G36" s="2058"/>
      <c r="H36" s="393">
        <f>SUMIF(109:109,G36,110:110)-SUMIF(109:109,C36,110:110)+100</f>
        <v>100</v>
      </c>
      <c r="I36" s="2059"/>
      <c r="J36" s="393">
        <f>SUMIF(109:109,I36,110:110)-SUMIF(109:109,C36,110:110)+100</f>
        <v>100</v>
      </c>
      <c r="K36" s="384"/>
      <c r="L36" s="2917"/>
      <c r="M36" s="2911"/>
      <c r="N36" s="2911"/>
      <c r="O36" s="2911"/>
      <c r="P36" s="3626"/>
      <c r="Q36" s="1503" t="str">
        <f t="shared" si="11"/>
        <v>公共部分装修</v>
      </c>
      <c r="R36" s="712" t="s">
        <v>21</v>
      </c>
      <c r="S36" s="713">
        <f t="shared" si="12"/>
        <v>100</v>
      </c>
      <c r="T36" s="712" t="s">
        <v>21</v>
      </c>
      <c r="U36" s="713">
        <f t="shared" si="13"/>
        <v>100</v>
      </c>
      <c r="V36" s="712" t="s">
        <v>21</v>
      </c>
      <c r="W36" s="713">
        <f t="shared" si="14"/>
        <v>100</v>
      </c>
      <c r="X36" s="1506"/>
      <c r="Y36" s="3628"/>
      <c r="Z36" s="1507" t="str">
        <f t="shared" si="18"/>
        <v>公共部分装修</v>
      </c>
      <c r="AA36" s="1504">
        <f t="shared" si="15"/>
        <v>1</v>
      </c>
      <c r="AB36" s="1504">
        <f t="shared" si="16"/>
        <v>1</v>
      </c>
      <c r="AC36" s="1504">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2"/>
      <c r="M37" s="2913"/>
      <c r="N37" s="2913"/>
      <c r="O37" s="2913"/>
      <c r="P37" s="3626"/>
      <c r="Q37" s="1494" t="str">
        <f t="shared" si="11"/>
        <v>成新度</v>
      </c>
      <c r="R37" s="708" t="s">
        <v>21</v>
      </c>
      <c r="S37" s="709" t="e">
        <f t="shared" si="12"/>
        <v>#N/A</v>
      </c>
      <c r="T37" s="708" t="s">
        <v>21</v>
      </c>
      <c r="U37" s="709" t="e">
        <f t="shared" si="13"/>
        <v>#N/A</v>
      </c>
      <c r="V37" s="708" t="s">
        <v>21</v>
      </c>
      <c r="W37" s="709" t="e">
        <f t="shared" si="14"/>
        <v>#N/A</v>
      </c>
      <c r="X37" s="710"/>
      <c r="Y37" s="3628"/>
      <c r="Z37" s="55" t="str">
        <f t="shared" si="18"/>
        <v>成新度</v>
      </c>
      <c r="AA37" s="711" t="e">
        <f t="shared" si="15"/>
        <v>#N/A</v>
      </c>
      <c r="AB37" s="711" t="e">
        <f t="shared" si="16"/>
        <v>#N/A</v>
      </c>
      <c r="AC37" s="711" t="e">
        <f t="shared" si="17"/>
        <v>#N/A</v>
      </c>
    </row>
    <row r="38" spans="1:29" ht="15">
      <c r="A38" s="430"/>
      <c r="B38" s="380" t="s">
        <v>2332</v>
      </c>
      <c r="C38" s="2058"/>
      <c r="D38" s="393">
        <v>100</v>
      </c>
      <c r="E38" s="2059"/>
      <c r="F38" s="419">
        <f>SUMIF(114:114,E38,115:115)-SUMIF(114:114,C38,115:115)+100</f>
        <v>100</v>
      </c>
      <c r="G38" s="2058"/>
      <c r="H38" s="393">
        <f>SUMIF(114:114,G38,115:115)-SUMIF(114:114,C38,115:115)+100</f>
        <v>100</v>
      </c>
      <c r="I38" s="2059"/>
      <c r="J38" s="393">
        <f>SUMIF(114:114,I38,115:115)-SUMIF(114:114,C38,115:115)+100</f>
        <v>100</v>
      </c>
      <c r="K38" s="384"/>
      <c r="L38" s="2917"/>
      <c r="M38" s="2911"/>
      <c r="N38" s="2911"/>
      <c r="O38" s="2911"/>
      <c r="P38" s="3626" t="s">
        <v>2326</v>
      </c>
      <c r="Q38" s="1503" t="str">
        <f t="shared" si="11"/>
        <v>物业管理</v>
      </c>
      <c r="R38" s="712" t="s">
        <v>21</v>
      </c>
      <c r="S38" s="713">
        <f t="shared" si="12"/>
        <v>100</v>
      </c>
      <c r="T38" s="712" t="s">
        <v>21</v>
      </c>
      <c r="U38" s="713">
        <f t="shared" si="13"/>
        <v>100</v>
      </c>
      <c r="V38" s="712" t="s">
        <v>21</v>
      </c>
      <c r="W38" s="713">
        <f t="shared" si="14"/>
        <v>100</v>
      </c>
      <c r="X38" s="1506"/>
      <c r="Y38" s="3628" t="s">
        <v>2326</v>
      </c>
      <c r="Z38" s="1507" t="str">
        <f t="shared" si="18"/>
        <v>物业管理</v>
      </c>
      <c r="AA38" s="1504">
        <f t="shared" si="15"/>
        <v>1</v>
      </c>
      <c r="AB38" s="1504">
        <f t="shared" si="16"/>
        <v>1</v>
      </c>
      <c r="AC38" s="1504">
        <f t="shared" si="17"/>
        <v>1</v>
      </c>
    </row>
    <row r="39" spans="1:29" ht="15">
      <c r="A39" s="430"/>
      <c r="B39" s="380" t="s">
        <v>2333</v>
      </c>
      <c r="C39" s="2058"/>
      <c r="D39" s="393">
        <v>100</v>
      </c>
      <c r="E39" s="2059"/>
      <c r="F39" s="419">
        <f>SUMIF(116:116,E39,117:117)-SUMIF(116:116,C39,117:117)+100</f>
        <v>100</v>
      </c>
      <c r="G39" s="2058"/>
      <c r="H39" s="393">
        <f>SUMIF(116:116,G39,117:117)-SUMIF(116:116,C39,117:117)+100</f>
        <v>100</v>
      </c>
      <c r="I39" s="2059"/>
      <c r="J39" s="393">
        <f>SUMIF(116:116,I39,117:117)-SUMIF(116:116,C39,117:117)+100</f>
        <v>100</v>
      </c>
      <c r="K39" s="384"/>
      <c r="L39" s="2917"/>
      <c r="M39" s="2911"/>
      <c r="N39" s="2911"/>
      <c r="O39" s="2911"/>
      <c r="P39" s="3626"/>
      <c r="Q39" s="1503" t="str">
        <f t="shared" si="11"/>
        <v>市政基础设施</v>
      </c>
      <c r="R39" s="712" t="s">
        <v>21</v>
      </c>
      <c r="S39" s="713">
        <f t="shared" si="12"/>
        <v>100</v>
      </c>
      <c r="T39" s="712" t="s">
        <v>21</v>
      </c>
      <c r="U39" s="713">
        <f t="shared" si="13"/>
        <v>100</v>
      </c>
      <c r="V39" s="712" t="s">
        <v>21</v>
      </c>
      <c r="W39" s="713">
        <f t="shared" si="14"/>
        <v>100</v>
      </c>
      <c r="X39" s="1506"/>
      <c r="Y39" s="3628"/>
      <c r="Z39" s="1507" t="str">
        <f t="shared" si="18"/>
        <v>市政基础设施</v>
      </c>
      <c r="AA39" s="1504">
        <f t="shared" si="15"/>
        <v>1</v>
      </c>
      <c r="AB39" s="1504">
        <f t="shared" si="16"/>
        <v>1</v>
      </c>
      <c r="AC39" s="1504">
        <f t="shared" si="17"/>
        <v>1</v>
      </c>
    </row>
    <row r="40" spans="1:29" ht="15">
      <c r="A40" s="430"/>
      <c r="B40" s="380" t="s">
        <v>2334</v>
      </c>
      <c r="C40" s="2058"/>
      <c r="D40" s="393">
        <v>100</v>
      </c>
      <c r="E40" s="2059"/>
      <c r="F40" s="419">
        <f>SUMIF(118:118,E40,119:119)-SUMIF(118:118,C40,119:119)+100</f>
        <v>100</v>
      </c>
      <c r="G40" s="2058"/>
      <c r="H40" s="393">
        <f>SUMIF(118:118,G40,119:119)-SUMIF(118:118,C40,119:119)+100</f>
        <v>100</v>
      </c>
      <c r="I40" s="2059"/>
      <c r="J40" s="393">
        <f>SUMIF(118:118,I40,119:119)-SUMIF(118:118,C40,119:119)+100</f>
        <v>100</v>
      </c>
      <c r="K40" s="384"/>
      <c r="L40" s="2917"/>
      <c r="M40" s="2911"/>
      <c r="N40" s="2911"/>
      <c r="O40" s="2911"/>
      <c r="P40" s="3626"/>
      <c r="Q40" s="1503" t="str">
        <f t="shared" si="11"/>
        <v>房型</v>
      </c>
      <c r="R40" s="712" t="s">
        <v>21</v>
      </c>
      <c r="S40" s="713">
        <f t="shared" si="12"/>
        <v>100</v>
      </c>
      <c r="T40" s="712" t="s">
        <v>21</v>
      </c>
      <c r="U40" s="713">
        <f t="shared" si="13"/>
        <v>100</v>
      </c>
      <c r="V40" s="712" t="s">
        <v>21</v>
      </c>
      <c r="W40" s="713">
        <f t="shared" si="14"/>
        <v>100</v>
      </c>
      <c r="X40" s="1506"/>
      <c r="Y40" s="3628"/>
      <c r="Z40" s="1507" t="str">
        <f t="shared" si="18"/>
        <v>房型</v>
      </c>
      <c r="AA40" s="1504">
        <f t="shared" si="15"/>
        <v>1</v>
      </c>
      <c r="AB40" s="1504">
        <f t="shared" si="16"/>
        <v>1</v>
      </c>
      <c r="AC40" s="1504">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6"/>
      <c r="L41" s="2916"/>
      <c r="M41" s="2918"/>
      <c r="N41" s="2918"/>
      <c r="O41" s="2918"/>
      <c r="P41" s="3626"/>
      <c r="Q41" s="714" t="str">
        <f t="shared" si="11"/>
        <v>单套/主力户型建筑面积</v>
      </c>
      <c r="R41" s="715" t="s">
        <v>21</v>
      </c>
      <c r="S41" s="716">
        <f t="shared" si="12"/>
        <v>100</v>
      </c>
      <c r="T41" s="715" t="s">
        <v>21</v>
      </c>
      <c r="U41" s="716">
        <f t="shared" si="13"/>
        <v>100</v>
      </c>
      <c r="V41" s="715" t="s">
        <v>21</v>
      </c>
      <c r="W41" s="716">
        <f t="shared" si="14"/>
        <v>100</v>
      </c>
      <c r="X41" s="717"/>
      <c r="Y41" s="3628"/>
      <c r="Z41" s="718" t="str">
        <f t="shared" si="18"/>
        <v>单套/主力户型建筑面积</v>
      </c>
      <c r="AA41" s="1504">
        <f t="shared" si="15"/>
        <v>1</v>
      </c>
      <c r="AB41" s="1504">
        <f t="shared" si="16"/>
        <v>1</v>
      </c>
      <c r="AC41" s="1504">
        <f t="shared" si="17"/>
        <v>1</v>
      </c>
    </row>
    <row r="42" spans="1:29" ht="15">
      <c r="A42" s="430"/>
      <c r="B42" s="380" t="s">
        <v>2336</v>
      </c>
      <c r="C42" s="2058"/>
      <c r="D42" s="393">
        <v>100</v>
      </c>
      <c r="E42" s="2059"/>
      <c r="F42" s="419">
        <f>SUMIF(122:122,E42,123:123)-SUMIF(122:122,C42,123:123)+100</f>
        <v>100</v>
      </c>
      <c r="G42" s="2058"/>
      <c r="H42" s="393">
        <f>SUMIF(122:122,G42,123:123)-SUMIF(122:122,C42,123:123)+100</f>
        <v>100</v>
      </c>
      <c r="I42" s="2059"/>
      <c r="J42" s="393">
        <f>SUMIF(122:122,I42,123:123)-SUMIF(122:122,C42,123:123)+100</f>
        <v>100</v>
      </c>
      <c r="K42" s="384"/>
      <c r="L42" s="2917"/>
      <c r="M42" s="2911"/>
      <c r="N42" s="2911"/>
      <c r="O42" s="2911"/>
      <c r="P42" s="3626"/>
      <c r="Q42" s="1503" t="str">
        <f t="shared" si="11"/>
        <v>内部装修</v>
      </c>
      <c r="R42" s="712" t="s">
        <v>21</v>
      </c>
      <c r="S42" s="713">
        <f t="shared" si="12"/>
        <v>100</v>
      </c>
      <c r="T42" s="712" t="s">
        <v>21</v>
      </c>
      <c r="U42" s="713">
        <f t="shared" si="13"/>
        <v>100</v>
      </c>
      <c r="V42" s="712" t="s">
        <v>21</v>
      </c>
      <c r="W42" s="713">
        <f t="shared" si="14"/>
        <v>100</v>
      </c>
      <c r="X42" s="1506"/>
      <c r="Y42" s="3628"/>
      <c r="Z42" s="1507" t="str">
        <f t="shared" si="18"/>
        <v>内部装修</v>
      </c>
      <c r="AA42" s="1504">
        <f t="shared" si="15"/>
        <v>1</v>
      </c>
      <c r="AB42" s="1504">
        <f t="shared" si="16"/>
        <v>1</v>
      </c>
      <c r="AC42" s="1504">
        <f t="shared" si="17"/>
        <v>1</v>
      </c>
    </row>
    <row r="43" spans="1:29" ht="15">
      <c r="A43" s="430"/>
      <c r="B43" s="380" t="s">
        <v>2337</v>
      </c>
      <c r="C43" s="2058"/>
      <c r="D43" s="393">
        <v>100</v>
      </c>
      <c r="E43" s="2059"/>
      <c r="F43" s="419">
        <f>SUMIF(124:124,E43,125:125)-SUMIF(124:124,C43,125:125)+100</f>
        <v>100</v>
      </c>
      <c r="G43" s="2058"/>
      <c r="H43" s="393">
        <f>SUMIF(124:124,G43,125:125)-SUMIF(124:124,C43,125:125)+100</f>
        <v>100</v>
      </c>
      <c r="I43" s="2059"/>
      <c r="J43" s="393">
        <f>SUMIF(124:124,I43,125:125)-SUMIF(124:124,C43,125:125)+100</f>
        <v>100</v>
      </c>
      <c r="K43" s="384"/>
      <c r="L43" s="2917"/>
      <c r="M43" s="2911"/>
      <c r="N43" s="2911"/>
      <c r="O43" s="2911"/>
      <c r="P43" s="3626"/>
      <c r="Q43" s="1503" t="str">
        <f t="shared" si="11"/>
        <v>内部装修维护情况</v>
      </c>
      <c r="R43" s="712" t="s">
        <v>21</v>
      </c>
      <c r="S43" s="713">
        <f t="shared" si="12"/>
        <v>100</v>
      </c>
      <c r="T43" s="712" t="s">
        <v>21</v>
      </c>
      <c r="U43" s="713">
        <f t="shared" si="13"/>
        <v>100</v>
      </c>
      <c r="V43" s="712" t="s">
        <v>21</v>
      </c>
      <c r="W43" s="713">
        <f t="shared" si="14"/>
        <v>100</v>
      </c>
      <c r="X43" s="1506"/>
      <c r="Y43" s="3628"/>
      <c r="Z43" s="1507" t="str">
        <f t="shared" si="18"/>
        <v>内部装修维护情况</v>
      </c>
      <c r="AA43" s="1504">
        <f t="shared" si="15"/>
        <v>1</v>
      </c>
      <c r="AB43" s="1504">
        <f t="shared" si="16"/>
        <v>1</v>
      </c>
      <c r="AC43" s="1504">
        <f t="shared" si="17"/>
        <v>1</v>
      </c>
    </row>
    <row r="44" spans="1:29" s="113" customFormat="1" ht="15">
      <c r="A44" s="431"/>
      <c r="B44" s="1264">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6"/>
      <c r="L44" s="2912"/>
      <c r="M44" s="2913"/>
      <c r="N44" s="2913"/>
      <c r="O44" s="2913"/>
      <c r="P44" s="3626"/>
      <c r="Q44" s="1494">
        <f t="shared" si="11"/>
        <v>111</v>
      </c>
      <c r="R44" s="708" t="s">
        <v>21</v>
      </c>
      <c r="S44" s="709">
        <f t="shared" si="12"/>
        <v>100</v>
      </c>
      <c r="T44" s="708" t="s">
        <v>21</v>
      </c>
      <c r="U44" s="709">
        <f t="shared" si="13"/>
        <v>100</v>
      </c>
      <c r="V44" s="708" t="s">
        <v>21</v>
      </c>
      <c r="W44" s="709">
        <f t="shared" si="14"/>
        <v>100</v>
      </c>
      <c r="X44" s="710"/>
      <c r="Y44" s="3628"/>
      <c r="Z44" s="55">
        <f t="shared" si="18"/>
        <v>111</v>
      </c>
      <c r="AA44" s="711">
        <f t="shared" si="15"/>
        <v>1</v>
      </c>
      <c r="AB44" s="711">
        <f t="shared" si="16"/>
        <v>1</v>
      </c>
      <c r="AC44" s="711">
        <f t="shared" si="17"/>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6"/>
      <c r="L45" s="2917"/>
      <c r="M45" s="2911"/>
      <c r="N45" s="2911"/>
      <c r="O45" s="2911"/>
      <c r="P45" s="3626"/>
      <c r="Q45" s="1503">
        <f t="shared" si="11"/>
        <v>111</v>
      </c>
      <c r="R45" s="712" t="s">
        <v>21</v>
      </c>
      <c r="S45" s="713">
        <f t="shared" si="12"/>
        <v>100</v>
      </c>
      <c r="T45" s="712" t="s">
        <v>21</v>
      </c>
      <c r="U45" s="713">
        <f t="shared" si="13"/>
        <v>100</v>
      </c>
      <c r="V45" s="712" t="s">
        <v>21</v>
      </c>
      <c r="W45" s="713">
        <f t="shared" si="14"/>
        <v>100</v>
      </c>
      <c r="X45" s="1506"/>
      <c r="Y45" s="3628"/>
      <c r="Z45" s="1507">
        <f t="shared" si="18"/>
        <v>111</v>
      </c>
      <c r="AA45" s="1504">
        <f t="shared" si="15"/>
        <v>1</v>
      </c>
      <c r="AB45" s="1504">
        <f t="shared" si="16"/>
        <v>1</v>
      </c>
      <c r="AC45" s="1504">
        <f t="shared" si="17"/>
        <v>1</v>
      </c>
    </row>
    <row r="46" spans="1:29" ht="15.75" thickBot="1">
      <c r="A46" s="436"/>
      <c r="B46" s="204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6"/>
      <c r="L46" s="2917"/>
      <c r="M46" s="2911"/>
      <c r="N46" s="2911"/>
      <c r="O46" s="2911"/>
      <c r="P46" s="3627"/>
      <c r="Q46" s="1503">
        <f t="shared" si="11"/>
        <v>111</v>
      </c>
      <c r="R46" s="712" t="s">
        <v>20</v>
      </c>
      <c r="S46" s="713">
        <f t="shared" si="12"/>
        <v>100</v>
      </c>
      <c r="T46" s="712" t="s">
        <v>20</v>
      </c>
      <c r="U46" s="713">
        <f t="shared" si="13"/>
        <v>100</v>
      </c>
      <c r="V46" s="712" t="s">
        <v>20</v>
      </c>
      <c r="W46" s="713">
        <f t="shared" si="14"/>
        <v>100</v>
      </c>
      <c r="X46" s="1506"/>
      <c r="Y46" s="3629"/>
      <c r="Z46" s="1507">
        <f t="shared" si="18"/>
        <v>111</v>
      </c>
      <c r="AA46" s="1504">
        <f t="shared" si="15"/>
        <v>1</v>
      </c>
      <c r="AB46" s="1504">
        <f t="shared" si="16"/>
        <v>1</v>
      </c>
      <c r="AC46" s="1504">
        <f t="shared" si="17"/>
        <v>1</v>
      </c>
    </row>
    <row r="47" spans="1:29" ht="15">
      <c r="A47" s="437" t="s">
        <v>2338</v>
      </c>
      <c r="B47" s="438"/>
      <c r="C47" s="1285" t="s">
        <v>19</v>
      </c>
      <c r="D47" s="1286"/>
      <c r="E47" s="1287"/>
      <c r="F47" s="1288"/>
      <c r="G47" s="1289"/>
      <c r="H47" s="1290"/>
      <c r="I47" s="1287"/>
      <c r="J47" s="1290"/>
      <c r="K47" s="2066"/>
      <c r="L47" s="2919"/>
      <c r="M47" s="2920"/>
      <c r="N47" s="2911"/>
      <c r="O47" s="2920"/>
      <c r="P47" s="3616" t="str">
        <f>A47</f>
        <v>成交单价（元/平方米）</v>
      </c>
      <c r="Q47" s="3616"/>
      <c r="R47" s="3617">
        <f>E47</f>
        <v>0</v>
      </c>
      <c r="S47" s="3617"/>
      <c r="T47" s="3617">
        <f>G47</f>
        <v>0</v>
      </c>
      <c r="U47" s="3617"/>
      <c r="V47" s="3617">
        <f>I47</f>
        <v>0</v>
      </c>
      <c r="W47" s="3617"/>
      <c r="X47" s="697"/>
      <c r="Y47" s="719"/>
      <c r="Z47" s="697"/>
      <c r="AA47" s="697"/>
      <c r="AB47" s="697"/>
      <c r="AC47" s="697"/>
    </row>
    <row r="48" spans="1:29" ht="15.75" thickBot="1">
      <c r="A48" s="444" t="s">
        <v>2339</v>
      </c>
      <c r="B48" s="445"/>
      <c r="C48" s="1291" t="e">
        <f>R49</f>
        <v>#DIV/0!</v>
      </c>
      <c r="D48" s="2504" t="s">
        <v>2816</v>
      </c>
      <c r="E48" s="1292" t="e">
        <f>R48</f>
        <v>#DIV/0!</v>
      </c>
      <c r="F48" s="2505"/>
      <c r="G48" s="1291" t="e">
        <f>T48</f>
        <v>#DIV/0!</v>
      </c>
      <c r="H48" s="2505"/>
      <c r="I48" s="1292" t="e">
        <f>V48</f>
        <v>#DIV/0!</v>
      </c>
      <c r="J48" s="2505"/>
      <c r="K48" s="2506">
        <f>F48+H48+J48</f>
        <v>0</v>
      </c>
      <c r="L48" s="2919"/>
      <c r="M48" s="2920"/>
      <c r="N48" s="2920"/>
      <c r="O48" s="2920"/>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697"/>
      <c r="Y48" s="697"/>
      <c r="Z48" s="697"/>
      <c r="AA48" s="697"/>
      <c r="AB48" s="697"/>
      <c r="AC48" s="697"/>
    </row>
    <row r="49" spans="1:29" ht="15.75" thickBot="1">
      <c r="A49" s="448" t="s">
        <v>2340</v>
      </c>
      <c r="B49" s="449"/>
      <c r="C49" s="1293" t="e">
        <f>R49</f>
        <v>#DIV/0!</v>
      </c>
      <c r="D49" s="1294"/>
      <c r="E49" s="1294"/>
      <c r="F49" s="1294"/>
      <c r="G49" s="1294"/>
      <c r="H49" s="1294"/>
      <c r="I49" s="1294"/>
      <c r="J49" s="1294"/>
      <c r="K49" s="2067"/>
      <c r="L49" s="2919"/>
      <c r="M49" s="2920"/>
      <c r="N49" s="2920"/>
      <c r="O49" s="2920"/>
      <c r="P49" s="3618" t="str">
        <f>A49</f>
        <v>估价对象XX用房的比较价值（楼面单价，元/平方米）</v>
      </c>
      <c r="Q49" s="3619"/>
      <c r="R49" s="3620" t="e">
        <f>IF(F1="售价",ROUND(IF(D48="简单平均",AVERAGE(R48:V48),R48*F48+T48*H48+V48*J48),0),ROUND(IF(D48="简单平均",AVERAGE(R48:V48),R48*F48+T48*H48+V48*J48),1))</f>
        <v>#DIV/0!</v>
      </c>
      <c r="S49" s="3620"/>
      <c r="T49" s="3620"/>
      <c r="U49" s="3620"/>
      <c r="V49" s="3620"/>
      <c r="W49" s="362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row>
    <row r="53" spans="1:29" ht="13.5" customHeight="1">
      <c r="A53" s="2920"/>
      <c r="B53" s="2920"/>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row>
    <row r="54" spans="1:29" s="458" customFormat="1" ht="13.5" customHeight="1">
      <c r="A54" s="2923"/>
      <c r="B54" s="2923"/>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069"/>
    </row>
    <row r="55" spans="1:29" s="458"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1" t="s">
        <v>2344</v>
      </c>
      <c r="B57" s="697"/>
      <c r="C57" s="702"/>
      <c r="D57" s="702"/>
      <c r="E57" s="702"/>
      <c r="F57" s="703"/>
      <c r="G57" s="703"/>
      <c r="H57" s="702"/>
      <c r="I57" s="702"/>
      <c r="J57" s="702"/>
      <c r="K57" s="1070"/>
      <c r="L57" s="1071"/>
      <c r="M57" s="1069"/>
      <c r="N57" s="1069"/>
      <c r="O57" s="1069"/>
      <c r="P57" s="2070"/>
      <c r="Q57" s="460"/>
    </row>
    <row r="58" spans="1:29" s="464" customFormat="1" ht="15">
      <c r="A58" s="461" t="s">
        <v>2345</v>
      </c>
      <c r="B58" s="462"/>
      <c r="C58" s="1317" t="str">
        <f>YEAR(C7)&amp;"-"&amp;MONTH(C7)</f>
        <v>2022-7</v>
      </c>
      <c r="D58" s="1316">
        <f>EDATE(C58,-1)</f>
        <v>44713</v>
      </c>
      <c r="E58" s="1316">
        <f>EDATE(D58,-1)</f>
        <v>44682</v>
      </c>
      <c r="F58" s="1316">
        <f t="shared" ref="F58:O58" si="19">EDATE(E58,-1)</f>
        <v>44652</v>
      </c>
      <c r="G58" s="1316">
        <f t="shared" si="19"/>
        <v>44621</v>
      </c>
      <c r="H58" s="1316">
        <f t="shared" si="19"/>
        <v>44593</v>
      </c>
      <c r="I58" s="1316">
        <f t="shared" si="19"/>
        <v>44562</v>
      </c>
      <c r="J58" s="1316">
        <f t="shared" si="19"/>
        <v>44531</v>
      </c>
      <c r="K58" s="1316">
        <f t="shared" si="19"/>
        <v>44501</v>
      </c>
      <c r="L58" s="1316">
        <f t="shared" si="19"/>
        <v>44470</v>
      </c>
      <c r="M58" s="1316">
        <f t="shared" si="19"/>
        <v>44440</v>
      </c>
      <c r="N58" s="1316">
        <f t="shared" si="19"/>
        <v>44409</v>
      </c>
      <c r="O58" s="1316">
        <f t="shared" si="19"/>
        <v>44378</v>
      </c>
      <c r="P58" s="1312"/>
    </row>
    <row r="59" spans="1:29" s="113" customFormat="1" ht="15">
      <c r="A59" s="465"/>
      <c r="B59" s="2071"/>
      <c r="C59" s="1314">
        <v>100</v>
      </c>
      <c r="D59" s="467"/>
      <c r="E59" s="468"/>
      <c r="F59" s="468"/>
      <c r="G59" s="468"/>
      <c r="H59" s="468"/>
      <c r="I59" s="468"/>
      <c r="J59" s="468"/>
      <c r="K59" s="468"/>
      <c r="L59" s="468"/>
      <c r="M59" s="469"/>
      <c r="N59" s="468"/>
      <c r="O59" s="469"/>
      <c r="P59" s="2072"/>
    </row>
    <row r="60" spans="1:29" s="113" customFormat="1" ht="15.75" thickBot="1">
      <c r="A60" s="471" t="s">
        <v>2346</v>
      </c>
      <c r="B60" s="472"/>
      <c r="C60" s="473"/>
      <c r="D60" s="474"/>
      <c r="E60" s="474"/>
      <c r="F60" s="474"/>
      <c r="G60" s="474"/>
      <c r="H60" s="474"/>
      <c r="I60" s="474"/>
      <c r="J60" s="474"/>
      <c r="K60" s="474"/>
      <c r="L60" s="474"/>
      <c r="M60" s="475"/>
      <c r="N60" s="474"/>
      <c r="O60" s="475"/>
      <c r="P60" s="2072"/>
      <c r="Q60" s="460"/>
    </row>
    <row r="61" spans="1:29" s="113" customFormat="1" ht="15">
      <c r="A61" s="477" t="s">
        <v>2347</v>
      </c>
      <c r="B61" s="466"/>
      <c r="C61" s="478" t="s">
        <v>2348</v>
      </c>
      <c r="D61" s="479"/>
      <c r="E61" s="479"/>
      <c r="F61" s="479"/>
      <c r="G61" s="479"/>
      <c r="H61" s="479"/>
      <c r="I61" s="479"/>
      <c r="J61" s="479"/>
      <c r="K61" s="479"/>
      <c r="L61" s="480"/>
      <c r="M61" s="481"/>
      <c r="N61" s="1061"/>
      <c r="O61" s="1061"/>
      <c r="P61" s="2073"/>
      <c r="Q61" s="460"/>
    </row>
    <row r="62" spans="1:29" s="113" customFormat="1" ht="15.75" thickBot="1">
      <c r="A62" s="477"/>
      <c r="B62" s="466"/>
      <c r="C62" s="467">
        <v>100</v>
      </c>
      <c r="D62" s="468"/>
      <c r="E62" s="468"/>
      <c r="F62" s="468"/>
      <c r="G62" s="468"/>
      <c r="H62" s="468"/>
      <c r="I62" s="468"/>
      <c r="J62" s="468"/>
      <c r="K62" s="468"/>
      <c r="L62" s="468"/>
      <c r="M62" s="470"/>
      <c r="N62" s="1061"/>
      <c r="O62" s="1061"/>
      <c r="P62" s="2072"/>
      <c r="Q62" s="460"/>
    </row>
    <row r="63" spans="1:29">
      <c r="A63" s="483" t="s">
        <v>2349</v>
      </c>
      <c r="B63" s="484" t="s">
        <v>2315</v>
      </c>
      <c r="C63" s="485">
        <f>C9</f>
        <v>0</v>
      </c>
      <c r="D63" s="486"/>
      <c r="E63" s="486"/>
      <c r="F63" s="486"/>
      <c r="G63" s="486"/>
      <c r="H63" s="486"/>
      <c r="I63" s="486"/>
      <c r="J63" s="486"/>
      <c r="K63" s="487"/>
      <c r="L63" s="488"/>
      <c r="M63" s="489"/>
      <c r="N63" s="1062"/>
      <c r="O63" s="1062"/>
      <c r="P63" s="2074"/>
      <c r="Q63" s="460"/>
    </row>
    <row r="64" spans="1:29" ht="15.75" thickBot="1">
      <c r="A64" s="490"/>
      <c r="B64" s="491"/>
      <c r="C64" s="492">
        <v>100</v>
      </c>
      <c r="D64" s="492"/>
      <c r="E64" s="492"/>
      <c r="F64" s="492"/>
      <c r="G64" s="492"/>
      <c r="H64" s="492"/>
      <c r="I64" s="492"/>
      <c r="J64" s="492"/>
      <c r="K64" s="492"/>
      <c r="L64" s="492"/>
      <c r="M64" s="493"/>
      <c r="N64" s="1063"/>
      <c r="O64" s="1063"/>
      <c r="P64" s="2074"/>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4"/>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4"/>
      <c r="Q67" s="460"/>
    </row>
    <row r="68" spans="1:17" ht="15">
      <c r="A68" s="490"/>
      <c r="B68" s="504"/>
      <c r="C68" s="505"/>
      <c r="D68" s="505"/>
      <c r="E68" s="505"/>
      <c r="F68" s="505"/>
      <c r="G68" s="505"/>
      <c r="H68" s="505"/>
      <c r="I68" s="505"/>
      <c r="J68" s="505"/>
      <c r="K68" s="506"/>
      <c r="L68" s="507"/>
      <c r="M68" s="508"/>
      <c r="N68" s="1062"/>
      <c r="O68" s="1062"/>
      <c r="P68" s="207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4"/>
      <c r="Q69" s="460"/>
    </row>
    <row r="70" spans="1:17" s="429" customFormat="1" ht="15.75" thickTop="1">
      <c r="A70" s="509"/>
      <c r="B70" s="494">
        <f>B12</f>
        <v>111</v>
      </c>
      <c r="C70" s="510"/>
      <c r="D70" s="510"/>
      <c r="E70" s="510"/>
      <c r="F70" s="510"/>
      <c r="G70" s="510"/>
      <c r="H70" s="511"/>
      <c r="I70" s="511"/>
      <c r="J70" s="511"/>
      <c r="K70" s="511"/>
      <c r="L70" s="512"/>
      <c r="M70" s="513"/>
      <c r="N70" s="1064"/>
      <c r="O70" s="1064"/>
      <c r="P70" s="2075"/>
      <c r="Q70" s="515"/>
    </row>
    <row r="71" spans="1:17" s="429" customFormat="1" ht="15.75" thickBot="1">
      <c r="A71" s="509"/>
      <c r="B71" s="499"/>
      <c r="C71" s="516"/>
      <c r="D71" s="492"/>
      <c r="E71" s="492"/>
      <c r="F71" s="492"/>
      <c r="G71" s="492"/>
      <c r="H71" s="492"/>
      <c r="I71" s="492"/>
      <c r="J71" s="492"/>
      <c r="K71" s="492"/>
      <c r="L71" s="492"/>
      <c r="M71" s="493"/>
      <c r="N71" s="1063"/>
      <c r="O71" s="1063"/>
      <c r="P71" s="2075"/>
      <c r="Q71" s="515"/>
    </row>
    <row r="72" spans="1:17" s="429" customFormat="1" ht="15.75" thickTop="1">
      <c r="A72" s="509"/>
      <c r="B72" s="494">
        <f>B13</f>
        <v>111</v>
      </c>
      <c r="C72" s="510"/>
      <c r="D72" s="510"/>
      <c r="E72" s="510"/>
      <c r="F72" s="510"/>
      <c r="G72" s="510"/>
      <c r="H72" s="511"/>
      <c r="I72" s="511"/>
      <c r="J72" s="511"/>
      <c r="K72" s="511"/>
      <c r="L72" s="512"/>
      <c r="M72" s="513"/>
      <c r="N72" s="1064"/>
      <c r="O72" s="1064"/>
      <c r="P72" s="2076"/>
      <c r="Q72" s="517"/>
    </row>
    <row r="73" spans="1:17" s="429" customFormat="1" ht="15.75" thickBot="1">
      <c r="A73" s="509"/>
      <c r="B73" s="499"/>
      <c r="C73" s="516"/>
      <c r="D73" s="516"/>
      <c r="E73" s="516"/>
      <c r="F73" s="516"/>
      <c r="G73" s="516"/>
      <c r="H73" s="518"/>
      <c r="I73" s="518"/>
      <c r="J73" s="518"/>
      <c r="K73" s="518"/>
      <c r="L73" s="518"/>
      <c r="M73" s="519"/>
      <c r="N73" s="1064"/>
      <c r="O73" s="1064"/>
      <c r="P73" s="2075"/>
      <c r="Q73" s="515"/>
    </row>
    <row r="74" spans="1:17" s="429" customFormat="1" ht="15.75" thickTop="1">
      <c r="A74" s="509"/>
      <c r="B74" s="502">
        <f>B14</f>
        <v>111</v>
      </c>
      <c r="C74" s="510"/>
      <c r="D74" s="510"/>
      <c r="E74" s="510"/>
      <c r="F74" s="510"/>
      <c r="G74" s="479"/>
      <c r="H74" s="520"/>
      <c r="I74" s="520"/>
      <c r="J74" s="520"/>
      <c r="K74" s="520"/>
      <c r="L74" s="521"/>
      <c r="M74" s="522"/>
      <c r="N74" s="1064"/>
      <c r="O74" s="1064"/>
      <c r="P74" s="2077"/>
      <c r="Q74" s="515"/>
    </row>
    <row r="75" spans="1:17" s="429" customFormat="1" ht="15.75" thickBot="1">
      <c r="A75" s="524"/>
      <c r="B75" s="525"/>
      <c r="C75" s="526"/>
      <c r="D75" s="526"/>
      <c r="E75" s="526"/>
      <c r="F75" s="526"/>
      <c r="G75" s="526"/>
      <c r="H75" s="527"/>
      <c r="I75" s="527"/>
      <c r="J75" s="527"/>
      <c r="K75" s="527"/>
      <c r="L75" s="527"/>
      <c r="M75" s="528"/>
      <c r="N75" s="1064"/>
      <c r="O75" s="1064"/>
      <c r="P75" s="2075"/>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4"/>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4"/>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4"/>
      <c r="Q81" s="460"/>
    </row>
    <row r="82" spans="1:17" ht="15.75" thickTop="1">
      <c r="A82" s="490"/>
      <c r="B82" s="502" t="s">
        <v>1886</v>
      </c>
      <c r="C82" s="495" t="s">
        <v>2365</v>
      </c>
      <c r="D82" s="495" t="s">
        <v>2366</v>
      </c>
      <c r="E82" s="495" t="s">
        <v>2367</v>
      </c>
      <c r="F82" s="495" t="s">
        <v>2368</v>
      </c>
      <c r="G82" s="495" t="s">
        <v>2369</v>
      </c>
      <c r="H82" s="495"/>
      <c r="I82" s="495"/>
      <c r="J82" s="495"/>
      <c r="K82" s="495"/>
      <c r="L82" s="495"/>
      <c r="M82" s="1260"/>
      <c r="N82" s="1063"/>
      <c r="O82" s="1063"/>
      <c r="P82" s="207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4"/>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4"/>
      <c r="Q85" s="460"/>
    </row>
    <row r="86" spans="1:17" s="113" customFormat="1" ht="15.75" thickTop="1">
      <c r="A86" s="535"/>
      <c r="B86" s="494" t="s">
        <v>2371</v>
      </c>
      <c r="C86" s="510"/>
      <c r="D86" s="510"/>
      <c r="E86" s="510"/>
      <c r="F86" s="510"/>
      <c r="G86" s="510"/>
      <c r="H86" s="510"/>
      <c r="I86" s="510"/>
      <c r="J86" s="510"/>
      <c r="K86" s="510"/>
      <c r="L86" s="536"/>
      <c r="M86" s="537"/>
      <c r="N86" s="1061"/>
      <c r="O86" s="1061"/>
      <c r="P86" s="207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4"/>
      <c r="Q87" s="460"/>
    </row>
    <row r="88" spans="1:17" s="113" customFormat="1" ht="15.75" thickTop="1">
      <c r="A88" s="535"/>
      <c r="B88" s="494" t="s">
        <v>2372</v>
      </c>
      <c r="C88" s="510"/>
      <c r="D88" s="510"/>
      <c r="E88" s="510"/>
      <c r="F88" s="2079"/>
      <c r="G88" s="510"/>
      <c r="H88" s="510"/>
      <c r="I88" s="510"/>
      <c r="J88" s="510"/>
      <c r="K88" s="510"/>
      <c r="L88" s="510"/>
      <c r="M88" s="537"/>
      <c r="N88" s="1061"/>
      <c r="O88" s="1061"/>
      <c r="P88" s="207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4"/>
      <c r="Q89" s="460"/>
    </row>
    <row r="90" spans="1:17" s="429" customFormat="1" ht="15.75" thickTop="1">
      <c r="A90" s="509"/>
      <c r="B90" s="494">
        <f>B27</f>
        <v>111</v>
      </c>
      <c r="C90" s="510"/>
      <c r="D90" s="510"/>
      <c r="E90" s="510"/>
      <c r="F90" s="510"/>
      <c r="G90" s="510"/>
      <c r="H90" s="511"/>
      <c r="I90" s="511"/>
      <c r="J90" s="511"/>
      <c r="K90" s="511"/>
      <c r="L90" s="512"/>
      <c r="M90" s="513"/>
      <c r="N90" s="1064"/>
      <c r="O90" s="1064"/>
      <c r="P90" s="2075"/>
      <c r="Q90" s="515"/>
    </row>
    <row r="91" spans="1:17" s="429" customFormat="1" ht="15.75" thickBot="1">
      <c r="A91" s="509"/>
      <c r="B91" s="499"/>
      <c r="C91" s="516"/>
      <c r="D91" s="516"/>
      <c r="E91" s="516"/>
      <c r="F91" s="516"/>
      <c r="G91" s="516"/>
      <c r="H91" s="518"/>
      <c r="I91" s="518"/>
      <c r="J91" s="518"/>
      <c r="K91" s="518"/>
      <c r="L91" s="518"/>
      <c r="M91" s="519"/>
      <c r="N91" s="1064"/>
      <c r="O91" s="1064"/>
      <c r="P91" s="2075"/>
      <c r="Q91" s="515"/>
    </row>
    <row r="92" spans="1:17" ht="15.75" thickTop="1">
      <c r="A92" s="490"/>
      <c r="B92" s="494">
        <f>B28</f>
        <v>111</v>
      </c>
      <c r="C92" s="510"/>
      <c r="D92" s="510"/>
      <c r="E92" s="510"/>
      <c r="F92" s="510"/>
      <c r="G92" s="539"/>
      <c r="H92" s="539"/>
      <c r="I92" s="539"/>
      <c r="J92" s="539"/>
      <c r="K92" s="540"/>
      <c r="L92" s="541"/>
      <c r="M92" s="542"/>
      <c r="N92" s="1062"/>
      <c r="O92" s="1062"/>
      <c r="P92" s="2074"/>
      <c r="Q92" s="460"/>
    </row>
    <row r="93" spans="1:17" ht="15.75" thickBot="1">
      <c r="A93" s="490"/>
      <c r="B93" s="499"/>
      <c r="C93" s="516"/>
      <c r="D93" s="492"/>
      <c r="E93" s="492"/>
      <c r="F93" s="492"/>
      <c r="G93" s="492"/>
      <c r="H93" s="492"/>
      <c r="I93" s="492"/>
      <c r="J93" s="492"/>
      <c r="K93" s="492"/>
      <c r="L93" s="492"/>
      <c r="M93" s="493"/>
      <c r="N93" s="1063"/>
      <c r="O93" s="1063"/>
      <c r="P93" s="2074"/>
      <c r="Q93" s="460"/>
    </row>
    <row r="94" spans="1:17" ht="15.75" thickTop="1">
      <c r="A94" s="490"/>
      <c r="B94" s="494">
        <f>B29</f>
        <v>111</v>
      </c>
      <c r="C94" s="510"/>
      <c r="D94" s="510"/>
      <c r="E94" s="510"/>
      <c r="F94" s="510"/>
      <c r="G94" s="539"/>
      <c r="H94" s="539"/>
      <c r="I94" s="539"/>
      <c r="J94" s="539"/>
      <c r="K94" s="540"/>
      <c r="L94" s="541"/>
      <c r="M94" s="542"/>
      <c r="N94" s="1062"/>
      <c r="O94" s="1062"/>
      <c r="P94" s="2074"/>
      <c r="Q94" s="460"/>
    </row>
    <row r="95" spans="1:17" ht="15.75" thickBot="1">
      <c r="A95" s="490"/>
      <c r="B95" s="499"/>
      <c r="C95" s="516"/>
      <c r="D95" s="516"/>
      <c r="E95" s="516"/>
      <c r="F95" s="516"/>
      <c r="G95" s="492"/>
      <c r="H95" s="492"/>
      <c r="I95" s="492"/>
      <c r="J95" s="492"/>
      <c r="K95" s="492"/>
      <c r="L95" s="492"/>
      <c r="M95" s="493"/>
      <c r="N95" s="1063"/>
      <c r="O95" s="1063"/>
      <c r="P95" s="2074"/>
      <c r="Q95" s="460"/>
    </row>
    <row r="96" spans="1:17" ht="15.75" thickTop="1">
      <c r="A96" s="490"/>
      <c r="B96" s="494">
        <f>B30</f>
        <v>111</v>
      </c>
      <c r="C96" s="510"/>
      <c r="D96" s="510"/>
      <c r="E96" s="510"/>
      <c r="F96" s="510"/>
      <c r="G96" s="539"/>
      <c r="H96" s="539"/>
      <c r="I96" s="539"/>
      <c r="J96" s="539"/>
      <c r="K96" s="540"/>
      <c r="L96" s="541"/>
      <c r="M96" s="542"/>
      <c r="N96" s="1062"/>
      <c r="O96" s="1062"/>
      <c r="P96" s="2074"/>
      <c r="Q96" s="460"/>
    </row>
    <row r="97" spans="1:17" ht="15.75" thickBot="1">
      <c r="A97" s="490"/>
      <c r="B97" s="499"/>
      <c r="C97" s="526"/>
      <c r="D97" s="526"/>
      <c r="E97" s="526"/>
      <c r="F97" s="526"/>
      <c r="G97" s="492"/>
      <c r="H97" s="492"/>
      <c r="I97" s="492"/>
      <c r="J97" s="492"/>
      <c r="K97" s="492"/>
      <c r="L97" s="492"/>
      <c r="M97" s="493"/>
      <c r="N97" s="1063"/>
      <c r="O97" s="1063"/>
      <c r="P97" s="2074"/>
      <c r="Q97" s="460"/>
    </row>
    <row r="98" spans="1:17" ht="15.75" thickTop="1">
      <c r="A98" s="490"/>
      <c r="B98" s="502">
        <f>B31</f>
        <v>111</v>
      </c>
      <c r="C98" s="543"/>
      <c r="D98" s="543"/>
      <c r="E98" s="543"/>
      <c r="F98" s="543"/>
      <c r="G98" s="543"/>
      <c r="H98" s="543"/>
      <c r="I98" s="543"/>
      <c r="J98" s="543"/>
      <c r="K98" s="544"/>
      <c r="L98" s="545"/>
      <c r="M98" s="546"/>
      <c r="N98" s="1062"/>
      <c r="O98" s="1062"/>
      <c r="P98" s="2074"/>
      <c r="Q98" s="460"/>
    </row>
    <row r="99" spans="1:17" ht="15.75" thickBot="1">
      <c r="A99" s="2080"/>
      <c r="B99" s="525"/>
      <c r="C99" s="547"/>
      <c r="D99" s="547"/>
      <c r="E99" s="547"/>
      <c r="F99" s="547"/>
      <c r="G99" s="547"/>
      <c r="H99" s="547"/>
      <c r="I99" s="547"/>
      <c r="J99" s="547"/>
      <c r="K99" s="547"/>
      <c r="L99" s="547"/>
      <c r="M99" s="548"/>
      <c r="N99" s="1063"/>
      <c r="O99" s="1063"/>
      <c r="P99" s="2074"/>
      <c r="Q99" s="460"/>
    </row>
    <row r="100" spans="1:17">
      <c r="A100" s="483" t="s">
        <v>2324</v>
      </c>
      <c r="B100" s="484" t="s">
        <v>2373</v>
      </c>
      <c r="C100" s="486"/>
      <c r="D100" s="486"/>
      <c r="E100" s="486"/>
      <c r="F100" s="486"/>
      <c r="G100" s="486"/>
      <c r="H100" s="486"/>
      <c r="I100" s="486"/>
      <c r="J100" s="486"/>
      <c r="K100" s="487"/>
      <c r="L100" s="488"/>
      <c r="M100" s="489"/>
      <c r="N100" s="1062"/>
      <c r="O100" s="1062"/>
      <c r="P100" s="207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4"/>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4"/>
      <c r="Q102" s="460"/>
    </row>
    <row r="103" spans="1:17" s="429" customFormat="1">
      <c r="A103" s="549"/>
      <c r="B103" s="550"/>
      <c r="C103" s="551"/>
      <c r="D103" s="551"/>
      <c r="E103" s="551"/>
      <c r="F103" s="551"/>
      <c r="G103" s="551"/>
      <c r="H103" s="551"/>
      <c r="I103" s="551"/>
      <c r="J103" s="552"/>
      <c r="K103" s="552"/>
      <c r="L103" s="553"/>
      <c r="M103" s="554"/>
      <c r="N103" s="1064"/>
      <c r="O103" s="1064"/>
      <c r="P103" s="207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5"/>
      <c r="Q104" s="515"/>
    </row>
    <row r="105" spans="1:17" ht="15" thickTop="1">
      <c r="A105" s="555"/>
      <c r="B105" s="494" t="s">
        <v>2375</v>
      </c>
      <c r="C105" s="510"/>
      <c r="D105" s="510"/>
      <c r="E105" s="539"/>
      <c r="F105" s="539"/>
      <c r="G105" s="539"/>
      <c r="H105" s="539"/>
      <c r="I105" s="539"/>
      <c r="J105" s="539"/>
      <c r="K105" s="540"/>
      <c r="L105" s="541"/>
      <c r="M105" s="542"/>
      <c r="N105" s="1062"/>
      <c r="O105" s="1062"/>
      <c r="P105" s="207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4"/>
      <c r="Q106" s="460"/>
    </row>
    <row r="107" spans="1:17" ht="15" thickTop="1">
      <c r="A107" s="555"/>
      <c r="B107" s="494" t="s">
        <v>2376</v>
      </c>
      <c r="C107" s="539"/>
      <c r="D107" s="539"/>
      <c r="E107" s="539"/>
      <c r="F107" s="539"/>
      <c r="G107" s="539"/>
      <c r="H107" s="539"/>
      <c r="I107" s="539"/>
      <c r="J107" s="539"/>
      <c r="K107" s="540"/>
      <c r="L107" s="541"/>
      <c r="M107" s="542"/>
      <c r="N107" s="1062"/>
      <c r="O107" s="1062"/>
      <c r="P107" s="207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4"/>
      <c r="Q108" s="460"/>
    </row>
    <row r="109" spans="1:17" ht="15" thickTop="1">
      <c r="A109" s="555"/>
      <c r="B109" s="494" t="s">
        <v>2377</v>
      </c>
      <c r="C109" s="510"/>
      <c r="D109" s="510"/>
      <c r="E109" s="510"/>
      <c r="F109" s="539"/>
      <c r="G109" s="539"/>
      <c r="H109" s="539"/>
      <c r="I109" s="539"/>
      <c r="J109" s="539"/>
      <c r="K109" s="540"/>
      <c r="L109" s="541"/>
      <c r="M109" s="542"/>
      <c r="N109" s="1062"/>
      <c r="O109" s="1062"/>
      <c r="P109" s="207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4"/>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5"/>
      <c r="Q113" s="515"/>
    </row>
    <row r="114" spans="1:17" ht="15" thickTop="1">
      <c r="A114" s="555"/>
      <c r="B114" s="494" t="s">
        <v>2378</v>
      </c>
      <c r="C114" s="510"/>
      <c r="D114" s="510"/>
      <c r="E114" s="539"/>
      <c r="F114" s="539"/>
      <c r="G114" s="539"/>
      <c r="H114" s="539"/>
      <c r="I114" s="539"/>
      <c r="J114" s="539"/>
      <c r="K114" s="540"/>
      <c r="L114" s="541"/>
      <c r="M114" s="542"/>
      <c r="N114" s="1062"/>
      <c r="O114" s="1062"/>
      <c r="P114" s="207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4"/>
      <c r="Q115" s="460"/>
    </row>
    <row r="116" spans="1:17" ht="15" thickTop="1">
      <c r="A116" s="555"/>
      <c r="B116" s="494" t="s">
        <v>2379</v>
      </c>
      <c r="C116" s="510"/>
      <c r="D116" s="510"/>
      <c r="E116" s="510"/>
      <c r="F116" s="510"/>
      <c r="G116" s="510"/>
      <c r="H116" s="539"/>
      <c r="I116" s="539"/>
      <c r="J116" s="539"/>
      <c r="K116" s="540"/>
      <c r="L116" s="541"/>
      <c r="M116" s="542"/>
      <c r="N116" s="1062"/>
      <c r="O116" s="1062"/>
      <c r="P116" s="207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4"/>
      <c r="Q117" s="460"/>
    </row>
    <row r="118" spans="1:17" ht="15" thickTop="1">
      <c r="A118" s="555"/>
      <c r="B118" s="494" t="s">
        <v>2380</v>
      </c>
      <c r="C118" s="539"/>
      <c r="D118" s="539"/>
      <c r="E118" s="539"/>
      <c r="F118" s="539"/>
      <c r="G118" s="539"/>
      <c r="H118" s="539"/>
      <c r="I118" s="539"/>
      <c r="J118" s="539"/>
      <c r="K118" s="540"/>
      <c r="L118" s="541"/>
      <c r="M118" s="542"/>
      <c r="N118" s="1062"/>
      <c r="O118" s="1062"/>
      <c r="P118" s="207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4"/>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5"/>
      <c r="Q121" s="515"/>
    </row>
    <row r="122" spans="1:17" ht="15" thickTop="1">
      <c r="A122" s="555"/>
      <c r="B122" s="494" t="s">
        <v>2381</v>
      </c>
      <c r="C122" s="510"/>
      <c r="D122" s="510"/>
      <c r="E122" s="510"/>
      <c r="F122" s="539"/>
      <c r="G122" s="539"/>
      <c r="H122" s="539"/>
      <c r="I122" s="539"/>
      <c r="J122" s="539"/>
      <c r="K122" s="540"/>
      <c r="L122" s="541"/>
      <c r="M122" s="542"/>
      <c r="N122" s="1062"/>
      <c r="O122" s="1062"/>
      <c r="P122" s="207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4"/>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5"/>
      <c r="Q127" s="515"/>
    </row>
    <row r="128" spans="1:17" ht="15" thickTop="1">
      <c r="A128" s="555"/>
      <c r="B128" s="494">
        <f>B45</f>
        <v>111</v>
      </c>
      <c r="C128" s="510"/>
      <c r="D128" s="510"/>
      <c r="E128" s="510"/>
      <c r="F128" s="510"/>
      <c r="G128" s="539"/>
      <c r="H128" s="539"/>
      <c r="I128" s="539"/>
      <c r="J128" s="539"/>
      <c r="K128" s="540"/>
      <c r="L128" s="541"/>
      <c r="M128" s="542"/>
      <c r="N128" s="1062"/>
      <c r="O128" s="1062"/>
      <c r="P128" s="2074"/>
      <c r="Q128" s="460"/>
    </row>
    <row r="129" spans="1:17" ht="15.75" thickBot="1">
      <c r="A129" s="490"/>
      <c r="B129" s="499"/>
      <c r="C129" s="516"/>
      <c r="D129" s="516"/>
      <c r="E129" s="516"/>
      <c r="F129" s="516"/>
      <c r="G129" s="492"/>
      <c r="H129" s="492"/>
      <c r="I129" s="492"/>
      <c r="J129" s="492"/>
      <c r="K129" s="492"/>
      <c r="L129" s="492"/>
      <c r="M129" s="493"/>
      <c r="N129" s="1063"/>
      <c r="O129" s="1063"/>
      <c r="P129" s="2074"/>
      <c r="Q129" s="460"/>
    </row>
    <row r="130" spans="1:17" ht="15" thickTop="1">
      <c r="A130" s="555"/>
      <c r="B130" s="502">
        <f>B46</f>
        <v>111</v>
      </c>
      <c r="C130" s="510"/>
      <c r="D130" s="510"/>
      <c r="E130" s="510"/>
      <c r="F130" s="510"/>
      <c r="G130" s="543"/>
      <c r="H130" s="543"/>
      <c r="I130" s="543"/>
      <c r="J130" s="543"/>
      <c r="K130" s="479"/>
      <c r="L130" s="480"/>
      <c r="M130" s="546"/>
      <c r="N130" s="1062"/>
      <c r="O130" s="1062"/>
      <c r="P130" s="2074"/>
      <c r="Q130" s="460"/>
    </row>
    <row r="131" spans="1:17" ht="15.75" thickBot="1">
      <c r="A131" s="2080"/>
      <c r="B131" s="525"/>
      <c r="C131" s="526"/>
      <c r="D131" s="526"/>
      <c r="E131" s="526"/>
      <c r="F131" s="526"/>
      <c r="G131" s="547"/>
      <c r="H131" s="547"/>
      <c r="I131" s="547"/>
      <c r="J131" s="547"/>
      <c r="K131" s="547"/>
      <c r="L131" s="547"/>
      <c r="M131" s="548"/>
      <c r="N131" s="1063"/>
      <c r="O131" s="1063"/>
      <c r="P131" s="2074"/>
      <c r="Q131" s="460"/>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42" t="s">
        <v>2386</v>
      </c>
      <c r="D138" s="142" t="s">
        <v>2387</v>
      </c>
      <c r="E138" s="2089" t="s">
        <v>2388</v>
      </c>
      <c r="F138" s="2090" t="s">
        <v>2389</v>
      </c>
      <c r="G138" s="142" t="s">
        <v>2387</v>
      </c>
      <c r="H138" s="143" t="s">
        <v>2388</v>
      </c>
      <c r="I138" s="2091"/>
      <c r="J138" s="142" t="s">
        <v>2390</v>
      </c>
      <c r="K138" s="143" t="s">
        <v>2391</v>
      </c>
    </row>
    <row r="139" spans="1:17" ht="15">
      <c r="B139" s="996">
        <v>6</v>
      </c>
      <c r="C139" s="997">
        <v>96</v>
      </c>
      <c r="D139" s="2092" t="s">
        <v>2392</v>
      </c>
      <c r="E139" s="998">
        <v>100</v>
      </c>
      <c r="F139" s="999">
        <v>102.5</v>
      </c>
      <c r="G139" s="2092" t="s">
        <v>2392</v>
      </c>
      <c r="H139" s="1000">
        <v>105</v>
      </c>
      <c r="I139" s="2093" t="s">
        <v>2393</v>
      </c>
      <c r="J139" s="997">
        <v>20</v>
      </c>
      <c r="K139" s="1001">
        <f>C145/(J139-2)</f>
        <v>4.0555555555555553E-3</v>
      </c>
    </row>
    <row r="140" spans="1:17" ht="15">
      <c r="B140" s="1002">
        <v>5</v>
      </c>
      <c r="C140" s="1003">
        <v>100</v>
      </c>
      <c r="D140" s="1003"/>
      <c r="E140" s="1004"/>
      <c r="F140" s="1005">
        <v>102</v>
      </c>
      <c r="G140" s="1003"/>
      <c r="H140" s="1006"/>
      <c r="I140" s="2094" t="s">
        <v>2394</v>
      </c>
      <c r="J140" s="276">
        <f>ROUNDUP((J139-1)/2,0)</f>
        <v>10</v>
      </c>
      <c r="K140" s="1007">
        <v>100</v>
      </c>
    </row>
    <row r="141" spans="1:17" ht="15">
      <c r="B141" s="1002">
        <v>4</v>
      </c>
      <c r="C141" s="1003">
        <v>102</v>
      </c>
      <c r="D141" s="1003"/>
      <c r="E141" s="1004"/>
      <c r="F141" s="1005">
        <v>101.5</v>
      </c>
      <c r="G141" s="1003"/>
      <c r="H141" s="1006"/>
      <c r="I141" s="2094" t="s">
        <v>2395</v>
      </c>
      <c r="J141" s="276">
        <v>1</v>
      </c>
      <c r="K141" s="1008">
        <f>ROUND(100+(J141-J140)*K139*100,1)</f>
        <v>96.4</v>
      </c>
    </row>
    <row r="142" spans="1:17" ht="15">
      <c r="B142" s="1002">
        <v>3</v>
      </c>
      <c r="C142" s="1003">
        <v>103</v>
      </c>
      <c r="D142" s="1003"/>
      <c r="E142" s="1004"/>
      <c r="F142" s="1005">
        <v>101</v>
      </c>
      <c r="G142" s="1003"/>
      <c r="H142" s="1006"/>
      <c r="I142" s="2094" t="s">
        <v>2396</v>
      </c>
      <c r="J142" s="276">
        <f>J139</f>
        <v>20</v>
      </c>
      <c r="K142" s="1009">
        <v>95</v>
      </c>
    </row>
    <row r="143" spans="1:17" ht="15">
      <c r="B143" s="1002">
        <v>2</v>
      </c>
      <c r="C143" s="1003">
        <v>100</v>
      </c>
      <c r="D143" s="1003"/>
      <c r="E143" s="1004"/>
      <c r="F143" s="1005">
        <v>100.5</v>
      </c>
      <c r="G143" s="1003"/>
      <c r="H143" s="1006"/>
      <c r="I143" s="2094" t="s">
        <v>2397</v>
      </c>
      <c r="J143" s="1003">
        <v>15</v>
      </c>
      <c r="K143" s="1008">
        <f>ROUND(100+(J143-J140)*K139*100,1)</f>
        <v>102</v>
      </c>
    </row>
    <row r="144" spans="1:17" ht="15">
      <c r="B144" s="1002">
        <v>1</v>
      </c>
      <c r="C144" s="1003">
        <v>98</v>
      </c>
      <c r="D144" s="2095" t="s">
        <v>2398</v>
      </c>
      <c r="E144" s="1004">
        <v>102</v>
      </c>
      <c r="F144" s="1010">
        <v>100</v>
      </c>
      <c r="G144" s="2095" t="s">
        <v>2398</v>
      </c>
      <c r="H144" s="1006">
        <v>105</v>
      </c>
      <c r="I144" s="2094" t="s">
        <v>2397</v>
      </c>
      <c r="J144" s="1003">
        <v>18</v>
      </c>
      <c r="K144" s="1008">
        <f>ROUND(100+(J144-J140)*K139*100,1)</f>
        <v>103.2</v>
      </c>
    </row>
    <row r="145" spans="2:11" ht="15.75" thickBot="1">
      <c r="B145" s="2096" t="s">
        <v>2399</v>
      </c>
      <c r="C145" s="1011">
        <f>ROUND(MAX(C139:C144)/MIN(C139:C144)-1,3)</f>
        <v>7.2999999999999995E-2</v>
      </c>
      <c r="D145" s="1012"/>
      <c r="E145" s="1012"/>
      <c r="F145" s="2097" t="s">
        <v>2400</v>
      </c>
      <c r="G145" s="2098"/>
      <c r="H145" s="2099"/>
      <c r="I145" s="2100" t="s">
        <v>2397</v>
      </c>
      <c r="J145" s="1013">
        <v>8</v>
      </c>
      <c r="K145" s="1014">
        <f>ROUND(100+(J145-J140)*K139*100,1)</f>
        <v>99.2</v>
      </c>
    </row>
    <row r="147" spans="2:11">
      <c r="B147" s="2081" t="s">
        <v>2401</v>
      </c>
    </row>
    <row r="148" spans="2:11">
      <c r="B148" s="2081"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3" width="15.6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2447</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IF(C2="——",ROUND(C50*D3/10000,0),ROUND(C50*D3/10000,0)-D2)</f>
        <v>#DIV/0!</v>
      </c>
      <c r="C2" s="2033"/>
      <c r="D2" s="1244" t="e">
        <f ca="1">SUMIF(INDIRECT("'"&amp;F2&amp;"'"&amp;"!A:A"),"承租人权益价值",INDIRECT("'"&amp;F2&amp;"'"&amp;"!c:c"))</f>
        <v>#REF!</v>
      </c>
      <c r="E2" s="2034" t="s">
        <v>2089</v>
      </c>
      <c r="F2" s="2035"/>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IF(C2="——",C50,ROUND(B2*10000/D3,0))</f>
        <v>#DIV/0!</v>
      </c>
      <c r="C3" s="359" t="s">
        <v>2405</v>
      </c>
      <c r="D3" s="358">
        <f>IF(D1="",'数据-汇总表'!E3,SUMIF('数据-汇总表'!$C19:$C33,D1,'数据-汇总表'!$E19:$E33))</f>
        <v>683.55</v>
      </c>
      <c r="E3" s="2106"/>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779" t="s">
        <v>2412</v>
      </c>
      <c r="Q4" s="3780"/>
      <c r="R4" s="3783" t="s">
        <v>2408</v>
      </c>
      <c r="S4" s="3784"/>
      <c r="T4" s="3783" t="s">
        <v>2409</v>
      </c>
      <c r="U4" s="3784"/>
      <c r="V4" s="3785" t="s">
        <v>2410</v>
      </c>
      <c r="W4" s="3785"/>
      <c r="X4" s="2110"/>
      <c r="Y4" s="3783" t="s">
        <v>2412</v>
      </c>
      <c r="Z4" s="3784"/>
      <c r="AA4" s="3787" t="s">
        <v>2408</v>
      </c>
      <c r="AB4" s="3787" t="s">
        <v>2409</v>
      </c>
      <c r="AC4" s="3776" t="s">
        <v>2410</v>
      </c>
    </row>
    <row r="5" spans="1:29" ht="15">
      <c r="A5" s="363"/>
      <c r="B5" s="364"/>
      <c r="C5" s="3750" t="s">
        <v>2303</v>
      </c>
      <c r="D5" s="3659"/>
      <c r="E5" s="3751" t="s">
        <v>2304</v>
      </c>
      <c r="F5" s="3654"/>
      <c r="G5" s="3750" t="s">
        <v>2305</v>
      </c>
      <c r="H5" s="3659"/>
      <c r="I5" s="3750" t="s">
        <v>2306</v>
      </c>
      <c r="J5" s="3659"/>
      <c r="K5" s="566"/>
      <c r="L5" s="2910"/>
      <c r="M5" s="2911"/>
      <c r="N5" s="2911"/>
      <c r="O5" s="2911"/>
      <c r="P5" s="3781"/>
      <c r="Q5" s="3642"/>
      <c r="R5" s="3647"/>
      <c r="S5" s="3648"/>
      <c r="T5" s="3647"/>
      <c r="U5" s="3648"/>
      <c r="V5" s="3630"/>
      <c r="W5" s="3630"/>
      <c r="X5" s="1506"/>
      <c r="Y5" s="3647"/>
      <c r="Z5" s="3648"/>
      <c r="AA5" s="3633"/>
      <c r="AB5" s="3633"/>
      <c r="AC5" s="3777"/>
    </row>
    <row r="6" spans="1:29" ht="15.75" thickBot="1">
      <c r="A6" s="365"/>
      <c r="B6" s="366"/>
      <c r="C6" s="3651" t="s">
        <v>2307</v>
      </c>
      <c r="D6" s="3652"/>
      <c r="E6" s="3660" t="s">
        <v>2307</v>
      </c>
      <c r="F6" s="3661"/>
      <c r="G6" s="3651" t="s">
        <v>2307</v>
      </c>
      <c r="H6" s="3652"/>
      <c r="I6" s="3651" t="s">
        <v>2307</v>
      </c>
      <c r="J6" s="3652"/>
      <c r="K6" s="566" t="s">
        <v>2308</v>
      </c>
      <c r="L6" s="2910"/>
      <c r="M6" s="2911"/>
      <c r="N6" s="2911"/>
      <c r="O6" s="2911"/>
      <c r="P6" s="3782"/>
      <c r="Q6" s="3644"/>
      <c r="R6" s="3647"/>
      <c r="S6" s="3648"/>
      <c r="T6" s="3649"/>
      <c r="U6" s="3650"/>
      <c r="V6" s="3630"/>
      <c r="W6" s="3630"/>
      <c r="X6" s="1506"/>
      <c r="Y6" s="3649"/>
      <c r="Z6" s="3650"/>
      <c r="AA6" s="3634"/>
      <c r="AB6" s="3634"/>
      <c r="AC6" s="3778"/>
    </row>
    <row r="7" spans="1:29" s="113" customFormat="1" ht="15.75" thickBot="1">
      <c r="A7" s="367" t="s">
        <v>2309</v>
      </c>
      <c r="B7" s="368"/>
      <c r="C7" s="369">
        <f>'数据-取费表'!B2</f>
        <v>44762</v>
      </c>
      <c r="D7" s="370">
        <v>100</v>
      </c>
      <c r="E7" s="371"/>
      <c r="F7" s="372">
        <f>SUMIF(59:59,YEAR(E7)&amp;"-"&amp;MONTH(E7),60:60)</f>
        <v>0</v>
      </c>
      <c r="G7" s="371"/>
      <c r="H7" s="370">
        <f>SUMIF(59:59,YEAR(G7)&amp;"-"&amp;MONTH(G7),60:60)</f>
        <v>0</v>
      </c>
      <c r="I7" s="371"/>
      <c r="J7" s="370">
        <f>SUMIF(59:59,YEAR(I7)&amp;"-"&amp;MONTH(I7),60:60)</f>
        <v>0</v>
      </c>
      <c r="K7" s="567"/>
      <c r="L7" s="2912"/>
      <c r="M7" s="2913"/>
      <c r="N7" s="2913"/>
      <c r="O7" s="2913"/>
      <c r="P7" s="3786"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2111"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2"/>
      <c r="M8" s="2913"/>
      <c r="N8" s="2913"/>
      <c r="O8" s="2913"/>
      <c r="P8" s="3786" t="s">
        <v>2313</v>
      </c>
      <c r="Q8" s="3656"/>
      <c r="R8" s="708" t="s">
        <v>17</v>
      </c>
      <c r="S8" s="709">
        <f t="shared" si="0"/>
        <v>0</v>
      </c>
      <c r="T8" s="708" t="s">
        <v>17</v>
      </c>
      <c r="U8" s="709">
        <f t="shared" si="1"/>
        <v>0</v>
      </c>
      <c r="V8" s="708" t="s">
        <v>17</v>
      </c>
      <c r="W8" s="709">
        <f t="shared" si="2"/>
        <v>0</v>
      </c>
      <c r="X8" s="710"/>
      <c r="Y8" s="3655" t="s">
        <v>2313</v>
      </c>
      <c r="Z8" s="3656"/>
      <c r="AA8" s="711" t="e">
        <f t="shared" ref="AA8:AA47" si="3">D8/F8</f>
        <v>#DIV/0!</v>
      </c>
      <c r="AB8" s="711" t="e">
        <f t="shared" ref="AB8:AB47" si="4">D8/H8</f>
        <v>#DIV/0!</v>
      </c>
      <c r="AC8" s="2111"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2"/>
      <c r="M9" s="2913"/>
      <c r="N9" s="2913"/>
      <c r="O9" s="2913"/>
      <c r="P9" s="3631"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2111">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4"/>
      <c r="M10" s="2915"/>
      <c r="N10" s="2915"/>
      <c r="O10" s="2915"/>
      <c r="P10" s="3631"/>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2111">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6"/>
      <c r="M11" s="2911"/>
      <c r="N11" s="2911"/>
      <c r="O11" s="2911"/>
      <c r="P11" s="3631"/>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2111" t="e">
        <f t="shared" si="5"/>
        <v>#N/A</v>
      </c>
    </row>
    <row r="12" spans="1:29" s="113" customFormat="1" ht="15">
      <c r="A12" s="389"/>
      <c r="B12" s="2045">
        <v>111</v>
      </c>
      <c r="C12" s="390"/>
      <c r="D12" s="391">
        <v>100</v>
      </c>
      <c r="E12" s="390"/>
      <c r="F12" s="132">
        <f>SUMIF(71:71,E12,72:72)-SUMIF(71:71,C12,72:72)+100</f>
        <v>100</v>
      </c>
      <c r="G12" s="2112"/>
      <c r="H12" s="132">
        <f>SUMIF(71:71,G12,72:72)-SUMIF(71:71,C12,72:72)+100</f>
        <v>100</v>
      </c>
      <c r="I12" s="390"/>
      <c r="J12" s="132">
        <f>SUMIF(71:71,I12,72:72)-SUMIF(71:71,C12,72:72)+100</f>
        <v>100</v>
      </c>
      <c r="K12" s="569"/>
      <c r="L12" s="2912"/>
      <c r="M12" s="2913"/>
      <c r="N12" s="2913"/>
      <c r="O12" s="2913"/>
      <c r="P12" s="3631"/>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2111">
        <f>D12/J12</f>
        <v>1</v>
      </c>
    </row>
    <row r="13" spans="1:29" ht="15">
      <c r="A13" s="386"/>
      <c r="B13" s="2045">
        <v>111</v>
      </c>
      <c r="C13" s="392"/>
      <c r="D13" s="393">
        <v>100</v>
      </c>
      <c r="E13" s="390"/>
      <c r="F13" s="132">
        <f>SUMIF(73:73,E13,74:74)-SUMIF(73:73,C13,74:74)+100</f>
        <v>100</v>
      </c>
      <c r="G13" s="2112"/>
      <c r="H13" s="393">
        <f>SUMIF(73:73,G13,74:74)-SUMIF(73:73,C13,74:74)+100</f>
        <v>100</v>
      </c>
      <c r="I13" s="390"/>
      <c r="J13" s="393">
        <f>SUMIF(73:73,I13,74:74)-SUMIF(73:73,C13,74:74)+100</f>
        <v>100</v>
      </c>
      <c r="K13" s="569"/>
      <c r="L13" s="2917"/>
      <c r="M13" s="2911"/>
      <c r="N13" s="2911"/>
      <c r="O13" s="2911"/>
      <c r="P13" s="3631"/>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2111">
        <f t="shared" si="5"/>
        <v>1</v>
      </c>
    </row>
    <row r="14" spans="1:29" ht="15.75" thickBot="1">
      <c r="A14" s="394"/>
      <c r="B14" s="2047">
        <v>111</v>
      </c>
      <c r="C14" s="395"/>
      <c r="D14" s="396">
        <v>100</v>
      </c>
      <c r="E14" s="583"/>
      <c r="F14" s="396">
        <f>SUMIF(75:75,E14,76:76)-SUMIF(75:75,C14,76:76)+100</f>
        <v>100</v>
      </c>
      <c r="G14" s="2112"/>
      <c r="H14" s="396">
        <f>SUMIF(75:75,G14,76:76)-SUMIF(75:75,C14,76:76)+100</f>
        <v>100</v>
      </c>
      <c r="I14" s="390"/>
      <c r="J14" s="396">
        <f>SUMIF(75:75,I14,76:76)-SUMIF(75:75,C14,76:76)+100</f>
        <v>100</v>
      </c>
      <c r="K14" s="569"/>
      <c r="L14" s="2917"/>
      <c r="M14" s="2911"/>
      <c r="N14" s="2911"/>
      <c r="O14" s="2911"/>
      <c r="P14" s="3631"/>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2111">
        <f t="shared" si="5"/>
        <v>1</v>
      </c>
    </row>
    <row r="15" spans="1:29" ht="71.25">
      <c r="A15" s="398" t="s">
        <v>2320</v>
      </c>
      <c r="B15" s="584" t="s">
        <v>2448</v>
      </c>
      <c r="C15" s="211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7"/>
      <c r="M15" s="2911"/>
      <c r="N15" s="2911"/>
      <c r="O15" s="2911"/>
      <c r="P15" s="3621" t="s">
        <v>2321</v>
      </c>
      <c r="Q15" s="1503" t="str">
        <f t="shared" si="6"/>
        <v>办公集聚程度</v>
      </c>
      <c r="R15" s="712" t="s">
        <v>17</v>
      </c>
      <c r="S15" s="713">
        <f t="shared" si="0"/>
        <v>100</v>
      </c>
      <c r="T15" s="712" t="s">
        <v>17</v>
      </c>
      <c r="U15" s="713">
        <f t="shared" si="1"/>
        <v>100</v>
      </c>
      <c r="V15" s="712" t="s">
        <v>17</v>
      </c>
      <c r="W15" s="713">
        <f t="shared" si="2"/>
        <v>100</v>
      </c>
      <c r="X15" s="1506"/>
      <c r="Y15" s="3623" t="s">
        <v>2321</v>
      </c>
      <c r="Z15" s="1507" t="str">
        <f t="shared" si="7"/>
        <v>办公集聚程度</v>
      </c>
      <c r="AA15" s="1504">
        <f t="shared" si="3"/>
        <v>1</v>
      </c>
      <c r="AB15" s="1504">
        <f t="shared" si="4"/>
        <v>1</v>
      </c>
      <c r="AC15" s="2114">
        <f t="shared" si="5"/>
        <v>1</v>
      </c>
    </row>
    <row r="16" spans="1:29" ht="15">
      <c r="A16" s="386"/>
      <c r="B16" s="585"/>
      <c r="C16" s="2056"/>
      <c r="D16" s="406"/>
      <c r="E16" s="405"/>
      <c r="F16" s="406"/>
      <c r="G16" s="2056"/>
      <c r="H16" s="408"/>
      <c r="I16" s="405"/>
      <c r="J16" s="406"/>
      <c r="K16" s="571"/>
      <c r="L16" s="2917"/>
      <c r="M16" s="2911"/>
      <c r="N16" s="2911"/>
      <c r="O16" s="2911"/>
      <c r="P16" s="3622"/>
      <c r="Q16" s="1503"/>
      <c r="R16" s="712"/>
      <c r="S16" s="713"/>
      <c r="T16" s="712"/>
      <c r="U16" s="713"/>
      <c r="V16" s="712"/>
      <c r="W16" s="713"/>
      <c r="X16" s="1506"/>
      <c r="Y16" s="3624"/>
      <c r="Z16" s="1507"/>
      <c r="AA16" s="1504">
        <v>1</v>
      </c>
      <c r="AB16" s="1504">
        <v>1</v>
      </c>
      <c r="AC16" s="2114">
        <v>1</v>
      </c>
    </row>
    <row r="17" spans="1:29" ht="71.25">
      <c r="A17" s="386"/>
      <c r="B17" s="586" t="s">
        <v>1885</v>
      </c>
      <c r="C17" s="211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7"/>
      <c r="M17" s="2911"/>
      <c r="N17" s="2911"/>
      <c r="O17" s="2911"/>
      <c r="P17" s="3622"/>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2114">
        <f t="shared" si="5"/>
        <v>1</v>
      </c>
    </row>
    <row r="18" spans="1:29" ht="15">
      <c r="A18" s="386"/>
      <c r="B18" s="587"/>
      <c r="C18" s="2116"/>
      <c r="D18" s="408"/>
      <c r="E18" s="2054"/>
      <c r="F18" s="408"/>
      <c r="G18" s="2055"/>
      <c r="H18" s="406"/>
      <c r="I18" s="2055"/>
      <c r="J18" s="406"/>
      <c r="K18" s="571"/>
      <c r="L18" s="2917"/>
      <c r="M18" s="2911"/>
      <c r="N18" s="2911"/>
      <c r="O18" s="2911"/>
      <c r="P18" s="3622"/>
      <c r="Q18" s="1503"/>
      <c r="R18" s="712"/>
      <c r="S18" s="713"/>
      <c r="T18" s="712"/>
      <c r="U18" s="713"/>
      <c r="V18" s="712"/>
      <c r="W18" s="713"/>
      <c r="X18" s="1506"/>
      <c r="Y18" s="3624"/>
      <c r="Z18" s="1507"/>
      <c r="AA18" s="1504">
        <v>1</v>
      </c>
      <c r="AB18" s="1504">
        <v>1</v>
      </c>
      <c r="AC18" s="2114">
        <v>1</v>
      </c>
    </row>
    <row r="19" spans="1:29" ht="42.75">
      <c r="A19" s="386"/>
      <c r="B19" s="586" t="s">
        <v>2449</v>
      </c>
      <c r="C19" s="211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7"/>
      <c r="M19" s="2911"/>
      <c r="N19" s="2911"/>
      <c r="O19" s="2911"/>
      <c r="P19" s="3622"/>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2114">
        <f t="shared" si="5"/>
        <v>1</v>
      </c>
    </row>
    <row r="20" spans="1:29" ht="15">
      <c r="A20" s="386"/>
      <c r="B20" s="587"/>
      <c r="C20" s="2056"/>
      <c r="D20" s="406"/>
      <c r="E20" s="2049"/>
      <c r="F20" s="406"/>
      <c r="G20" s="2050"/>
      <c r="H20" s="406"/>
      <c r="I20" s="2050"/>
      <c r="J20" s="406"/>
      <c r="K20" s="571"/>
      <c r="L20" s="2917"/>
      <c r="M20" s="2911"/>
      <c r="N20" s="2911"/>
      <c r="O20" s="2911"/>
      <c r="P20" s="3622"/>
      <c r="Q20" s="1503"/>
      <c r="R20" s="712"/>
      <c r="S20" s="713"/>
      <c r="T20" s="712"/>
      <c r="U20" s="713"/>
      <c r="V20" s="712"/>
      <c r="W20" s="713"/>
      <c r="X20" s="1506"/>
      <c r="Y20" s="3624"/>
      <c r="Z20" s="1507"/>
      <c r="AA20" s="1504">
        <v>1</v>
      </c>
      <c r="AB20" s="1504">
        <v>1</v>
      </c>
      <c r="AC20" s="2114">
        <v>1</v>
      </c>
    </row>
    <row r="21" spans="1:29" ht="28.5">
      <c r="A21" s="386"/>
      <c r="B21" s="588" t="s">
        <v>2450</v>
      </c>
      <c r="C21" s="211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7"/>
      <c r="M21" s="2911"/>
      <c r="N21" s="2911"/>
      <c r="O21" s="2911"/>
      <c r="P21" s="3622"/>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2114">
        <f t="shared" ref="AC21" si="10">D21/J21</f>
        <v>1</v>
      </c>
    </row>
    <row r="22" spans="1:29" ht="15">
      <c r="A22" s="386"/>
      <c r="B22" s="588"/>
      <c r="C22" s="2116"/>
      <c r="D22" s="406"/>
      <c r="E22" s="405"/>
      <c r="F22" s="406"/>
      <c r="G22" s="2056"/>
      <c r="H22" s="406"/>
      <c r="I22" s="2056"/>
      <c r="J22" s="406"/>
      <c r="K22" s="1261"/>
      <c r="L22" s="2917"/>
      <c r="M22" s="2911"/>
      <c r="N22" s="2911"/>
      <c r="O22" s="2911"/>
      <c r="P22" s="3622"/>
      <c r="Q22" s="1503"/>
      <c r="R22" s="712"/>
      <c r="S22" s="713"/>
      <c r="T22" s="712"/>
      <c r="U22" s="713"/>
      <c r="V22" s="712"/>
      <c r="W22" s="713"/>
      <c r="X22" s="1506"/>
      <c r="Y22" s="3624"/>
      <c r="Z22" s="1507"/>
      <c r="AA22" s="1504">
        <v>1</v>
      </c>
      <c r="AB22" s="1504">
        <v>1</v>
      </c>
      <c r="AC22" s="2114">
        <v>1</v>
      </c>
    </row>
    <row r="23" spans="1:29" ht="42.75">
      <c r="A23" s="386"/>
      <c r="B23" s="586" t="s">
        <v>2451</v>
      </c>
      <c r="C23" s="211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7"/>
      <c r="M23" s="2911"/>
      <c r="N23" s="2911"/>
      <c r="O23" s="2911"/>
      <c r="P23" s="3622"/>
      <c r="Q23" s="1503" t="str">
        <f>B23</f>
        <v>环境质量</v>
      </c>
      <c r="R23" s="712" t="s">
        <v>17</v>
      </c>
      <c r="S23" s="713">
        <f>F23</f>
        <v>100</v>
      </c>
      <c r="T23" s="712" t="s">
        <v>17</v>
      </c>
      <c r="U23" s="713">
        <f>H23</f>
        <v>100</v>
      </c>
      <c r="V23" s="712" t="s">
        <v>17</v>
      </c>
      <c r="W23" s="713">
        <f>J23</f>
        <v>100</v>
      </c>
      <c r="X23" s="1506"/>
      <c r="Y23" s="3624"/>
      <c r="Z23" s="1507" t="str">
        <f>Q23</f>
        <v>环境质量</v>
      </c>
      <c r="AA23" s="1504">
        <f t="shared" si="3"/>
        <v>1</v>
      </c>
      <c r="AB23" s="1504">
        <f t="shared" si="4"/>
        <v>1</v>
      </c>
      <c r="AC23" s="2114">
        <f t="shared" si="5"/>
        <v>1</v>
      </c>
    </row>
    <row r="24" spans="1:29" ht="15">
      <c r="A24" s="386"/>
      <c r="B24" s="588"/>
      <c r="C24" s="2056"/>
      <c r="D24" s="406"/>
      <c r="E24" s="2049"/>
      <c r="F24" s="406"/>
      <c r="G24" s="2050"/>
      <c r="H24" s="406"/>
      <c r="I24" s="2050"/>
      <c r="J24" s="406"/>
      <c r="K24" s="571"/>
      <c r="L24" s="2917"/>
      <c r="M24" s="2911"/>
      <c r="N24" s="2911"/>
      <c r="O24" s="2911"/>
      <c r="P24" s="3622"/>
      <c r="Q24" s="1503"/>
      <c r="R24" s="712"/>
      <c r="S24" s="713"/>
      <c r="T24" s="712"/>
      <c r="U24" s="713"/>
      <c r="V24" s="712"/>
      <c r="W24" s="713"/>
      <c r="X24" s="1506"/>
      <c r="Y24" s="3624"/>
      <c r="Z24" s="1507"/>
      <c r="AA24" s="1504">
        <v>1</v>
      </c>
      <c r="AB24" s="1504">
        <v>1</v>
      </c>
      <c r="AC24" s="2114">
        <v>1</v>
      </c>
    </row>
    <row r="25" spans="1:29" ht="27">
      <c r="A25" s="363"/>
      <c r="B25" s="586" t="s">
        <v>2452</v>
      </c>
      <c r="C25" s="2060"/>
      <c r="D25" s="393">
        <v>100</v>
      </c>
      <c r="E25" s="392"/>
      <c r="F25" s="393">
        <f>SUMIF(87:87,E26,88:88)-SUMIF(87:87,C26,88:88)+100</f>
        <v>100</v>
      </c>
      <c r="G25" s="2060"/>
      <c r="H25" s="393">
        <f>SUMIF(87:87,G26,88:88)-SUMIF(87:87,C26,88:88)+100</f>
        <v>100</v>
      </c>
      <c r="I25" s="392"/>
      <c r="J25" s="393">
        <f>SUMIF(87:87,I26,88:88)-SUMIF(87:87,C26,88:88)+100</f>
        <v>100</v>
      </c>
      <c r="K25" s="570"/>
      <c r="L25" s="2917"/>
      <c r="M25" s="2911"/>
      <c r="N25" s="2911"/>
      <c r="O25" s="2911"/>
      <c r="P25" s="3622"/>
      <c r="Q25" s="1503" t="str">
        <f>B25</f>
        <v>毗邻道路的类型与等级</v>
      </c>
      <c r="R25" s="712" t="s">
        <v>17</v>
      </c>
      <c r="S25" s="713">
        <f>F25</f>
        <v>100</v>
      </c>
      <c r="T25" s="712" t="s">
        <v>17</v>
      </c>
      <c r="U25" s="713">
        <f>H25</f>
        <v>100</v>
      </c>
      <c r="V25" s="712" t="s">
        <v>17</v>
      </c>
      <c r="W25" s="713">
        <f>J25</f>
        <v>100</v>
      </c>
      <c r="X25" s="1506"/>
      <c r="Y25" s="3624"/>
      <c r="Z25" s="1507" t="str">
        <f>Q25</f>
        <v>毗邻道路的类型与等级</v>
      </c>
      <c r="AA25" s="1504">
        <f t="shared" si="3"/>
        <v>1</v>
      </c>
      <c r="AB25" s="1504">
        <f t="shared" si="4"/>
        <v>1</v>
      </c>
      <c r="AC25" s="2114">
        <f t="shared" si="5"/>
        <v>1</v>
      </c>
    </row>
    <row r="26" spans="1:29" ht="15">
      <c r="A26" s="363"/>
      <c r="B26" s="587"/>
      <c r="C26" s="589"/>
      <c r="D26" s="393"/>
      <c r="E26" s="572"/>
      <c r="F26" s="393"/>
      <c r="G26" s="589"/>
      <c r="H26" s="393"/>
      <c r="I26" s="572"/>
      <c r="J26" s="393"/>
      <c r="K26" s="571"/>
      <c r="L26" s="2917"/>
      <c r="M26" s="2911"/>
      <c r="N26" s="2911"/>
      <c r="O26" s="2911"/>
      <c r="P26" s="3622"/>
      <c r="Q26" s="1503"/>
      <c r="R26" s="712"/>
      <c r="S26" s="713"/>
      <c r="T26" s="712"/>
      <c r="U26" s="713"/>
      <c r="V26" s="712"/>
      <c r="W26" s="713"/>
      <c r="X26" s="1506"/>
      <c r="Y26" s="3624"/>
      <c r="Z26" s="1507"/>
      <c r="AA26" s="1504">
        <v>1</v>
      </c>
      <c r="AB26" s="1504">
        <v>1</v>
      </c>
      <c r="AC26" s="2114">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7"/>
      <c r="M27" s="2911"/>
      <c r="N27" s="2911"/>
      <c r="O27" s="2911"/>
      <c r="P27" s="3622"/>
      <c r="Q27" s="1503" t="str">
        <f t="shared" ref="Q27:Q47" si="11">B27</f>
        <v>楼层</v>
      </c>
      <c r="R27" s="712" t="s">
        <v>17</v>
      </c>
      <c r="S27" s="713">
        <f>F27</f>
        <v>100</v>
      </c>
      <c r="T27" s="712" t="s">
        <v>17</v>
      </c>
      <c r="U27" s="713">
        <f>H27</f>
        <v>100</v>
      </c>
      <c r="V27" s="712" t="s">
        <v>17</v>
      </c>
      <c r="W27" s="713">
        <f>J27</f>
        <v>100</v>
      </c>
      <c r="X27" s="1506"/>
      <c r="Y27" s="3624"/>
      <c r="Z27" s="1507" t="str">
        <f>Q27</f>
        <v>楼层</v>
      </c>
      <c r="AA27" s="1504">
        <f t="shared" si="3"/>
        <v>1</v>
      </c>
      <c r="AB27" s="1504">
        <f t="shared" si="4"/>
        <v>1</v>
      </c>
      <c r="AC27" s="2114">
        <f t="shared" si="5"/>
        <v>1</v>
      </c>
    </row>
    <row r="28" spans="1:29" s="113" customFormat="1" ht="15">
      <c r="A28" s="389"/>
      <c r="B28" s="586" t="s">
        <v>2453</v>
      </c>
      <c r="C28" s="2117"/>
      <c r="D28" s="420">
        <v>100</v>
      </c>
      <c r="E28" s="2108"/>
      <c r="F28" s="420">
        <f>SUMIF(91:91,E28,92:92)-SUMIF(91:91,C28,92:92)+100</f>
        <v>100</v>
      </c>
      <c r="G28" s="2117"/>
      <c r="H28" s="420">
        <f>SUMIF(91:91,G28,92:92)-SUMIF(91:91,C28,92:92)+100</f>
        <v>100</v>
      </c>
      <c r="I28" s="2108"/>
      <c r="J28" s="420">
        <f>SUMIF(91:91,I28,92:92)-SUMIF(91:91,C28,92:92)+100</f>
        <v>100</v>
      </c>
      <c r="K28" s="568"/>
      <c r="L28" s="2912"/>
      <c r="M28" s="2913"/>
      <c r="N28" s="2913"/>
      <c r="O28" s="2913"/>
      <c r="P28" s="3622"/>
      <c r="Q28" s="1494" t="str">
        <f t="shared" si="11"/>
        <v>朝向</v>
      </c>
      <c r="R28" s="708" t="s">
        <v>17</v>
      </c>
      <c r="S28" s="709">
        <f>F28</f>
        <v>100</v>
      </c>
      <c r="T28" s="708" t="s">
        <v>17</v>
      </c>
      <c r="U28" s="709">
        <f>H28</f>
        <v>100</v>
      </c>
      <c r="V28" s="708" t="s">
        <v>17</v>
      </c>
      <c r="W28" s="709">
        <f>J28</f>
        <v>100</v>
      </c>
      <c r="X28" s="710"/>
      <c r="Y28" s="3624"/>
      <c r="Z28" s="55" t="str">
        <f>Q28</f>
        <v>朝向</v>
      </c>
      <c r="AA28" s="1504">
        <f>D28/F28</f>
        <v>1</v>
      </c>
      <c r="AB28" s="1504">
        <f>D28/H28</f>
        <v>1</v>
      </c>
      <c r="AC28" s="2114">
        <f>D28/J28</f>
        <v>1</v>
      </c>
    </row>
    <row r="29" spans="1:29" ht="15">
      <c r="A29" s="386"/>
      <c r="B29" s="2118">
        <v>111</v>
      </c>
      <c r="C29" s="2060"/>
      <c r="D29" s="393">
        <v>100</v>
      </c>
      <c r="E29" s="390"/>
      <c r="F29" s="393">
        <f>SUMIF(93:93,E29,94:94)-SUMIF(93:93,C29,94:94)+100</f>
        <v>100</v>
      </c>
      <c r="G29" s="2112"/>
      <c r="H29" s="393">
        <f>SUMIF(93:93,G29,94:94)-SUMIF(93:93,C29,94:94)+100</f>
        <v>100</v>
      </c>
      <c r="I29" s="390"/>
      <c r="J29" s="393">
        <f>SUMIF(93:93,I29,94:94)-SUMIF(93:93,C29,94:94)+100</f>
        <v>100</v>
      </c>
      <c r="K29" s="569"/>
      <c r="L29" s="2917"/>
      <c r="M29" s="2911"/>
      <c r="N29" s="2911"/>
      <c r="O29" s="2911"/>
      <c r="P29" s="3622"/>
      <c r="Q29" s="1503">
        <f t="shared" si="11"/>
        <v>111</v>
      </c>
      <c r="R29" s="712" t="s">
        <v>17</v>
      </c>
      <c r="S29" s="713">
        <f t="shared" ref="S29:S47" si="12">F29</f>
        <v>100</v>
      </c>
      <c r="T29" s="712" t="s">
        <v>17</v>
      </c>
      <c r="U29" s="713">
        <f t="shared" ref="U29:U47" si="13">H29</f>
        <v>100</v>
      </c>
      <c r="V29" s="712" t="s">
        <v>17</v>
      </c>
      <c r="W29" s="713">
        <f t="shared" ref="W29:W47" si="14">J29</f>
        <v>100</v>
      </c>
      <c r="X29" s="1506"/>
      <c r="Y29" s="3624"/>
      <c r="Z29" s="1507">
        <f t="shared" ref="Z29:Z47" si="15">Q29</f>
        <v>111</v>
      </c>
      <c r="AA29" s="1504">
        <f t="shared" si="3"/>
        <v>1</v>
      </c>
      <c r="AB29" s="1504">
        <f t="shared" si="4"/>
        <v>1</v>
      </c>
      <c r="AC29" s="2114">
        <f t="shared" si="5"/>
        <v>1</v>
      </c>
    </row>
    <row r="30" spans="1:29" ht="15">
      <c r="A30" s="386"/>
      <c r="B30" s="2118">
        <v>111</v>
      </c>
      <c r="C30" s="2060"/>
      <c r="D30" s="393">
        <v>100</v>
      </c>
      <c r="E30" s="390"/>
      <c r="F30" s="393">
        <f>SUMIF(95:95,E30,96:96)-SUMIF(95:95,C30,96:96)+100</f>
        <v>100</v>
      </c>
      <c r="G30" s="2112"/>
      <c r="H30" s="393">
        <f>SUMIF(95:95,G30,96:96)-SUMIF(95:95,C30,96:96)+100</f>
        <v>100</v>
      </c>
      <c r="I30" s="390"/>
      <c r="J30" s="393">
        <f>SUMIF(95:95,I30,96:96)-SUMIF(95:95,C30,96:96)+100</f>
        <v>100</v>
      </c>
      <c r="K30" s="569"/>
      <c r="L30" s="2917"/>
      <c r="M30" s="2911"/>
      <c r="N30" s="2911"/>
      <c r="O30" s="2911"/>
      <c r="P30" s="3622"/>
      <c r="Q30" s="1503">
        <f t="shared" si="11"/>
        <v>111</v>
      </c>
      <c r="R30" s="712" t="s">
        <v>17</v>
      </c>
      <c r="S30" s="713">
        <f t="shared" si="12"/>
        <v>100</v>
      </c>
      <c r="T30" s="712" t="s">
        <v>17</v>
      </c>
      <c r="U30" s="713">
        <f t="shared" si="13"/>
        <v>100</v>
      </c>
      <c r="V30" s="712" t="s">
        <v>17</v>
      </c>
      <c r="W30" s="713">
        <f t="shared" si="14"/>
        <v>100</v>
      </c>
      <c r="X30" s="1506"/>
      <c r="Y30" s="3624"/>
      <c r="Z30" s="1507">
        <f t="shared" si="15"/>
        <v>111</v>
      </c>
      <c r="AA30" s="1504">
        <f t="shared" si="3"/>
        <v>1</v>
      </c>
      <c r="AB30" s="1504">
        <f t="shared" si="4"/>
        <v>1</v>
      </c>
      <c r="AC30" s="2114">
        <f t="shared" si="5"/>
        <v>1</v>
      </c>
    </row>
    <row r="31" spans="1:29" ht="15">
      <c r="A31" s="386"/>
      <c r="B31" s="2118">
        <v>111</v>
      </c>
      <c r="C31" s="2060"/>
      <c r="D31" s="393">
        <v>100</v>
      </c>
      <c r="E31" s="390"/>
      <c r="F31" s="393">
        <f>SUMIF(97:97,E31,98:98)-SUMIF(97:97,C31,98:98)+100</f>
        <v>100</v>
      </c>
      <c r="G31" s="2112"/>
      <c r="H31" s="393">
        <f>SUMIF(97:97,G31,98:98)-SUMIF(97:97,C31,98:98)+100</f>
        <v>100</v>
      </c>
      <c r="I31" s="390"/>
      <c r="J31" s="393">
        <f>SUMIF(97:97,I31,98:98)-SUMIF(97:97,C31,98:98)+100</f>
        <v>100</v>
      </c>
      <c r="K31" s="569"/>
      <c r="L31" s="2917"/>
      <c r="M31" s="2911"/>
      <c r="N31" s="2911"/>
      <c r="O31" s="2911"/>
      <c r="P31" s="3622"/>
      <c r="Q31" s="1503">
        <f t="shared" si="11"/>
        <v>111</v>
      </c>
      <c r="R31" s="712" t="s">
        <v>17</v>
      </c>
      <c r="S31" s="713">
        <f t="shared" si="12"/>
        <v>100</v>
      </c>
      <c r="T31" s="712" t="s">
        <v>17</v>
      </c>
      <c r="U31" s="713">
        <f t="shared" si="13"/>
        <v>100</v>
      </c>
      <c r="V31" s="712" t="s">
        <v>17</v>
      </c>
      <c r="W31" s="713">
        <f t="shared" si="14"/>
        <v>100</v>
      </c>
      <c r="X31" s="1506"/>
      <c r="Y31" s="3624"/>
      <c r="Z31" s="1507">
        <f t="shared" si="15"/>
        <v>111</v>
      </c>
      <c r="AA31" s="1504">
        <f t="shared" si="3"/>
        <v>1</v>
      </c>
      <c r="AB31" s="1504">
        <f t="shared" si="4"/>
        <v>1</v>
      </c>
      <c r="AC31" s="2114">
        <f t="shared" si="5"/>
        <v>1</v>
      </c>
    </row>
    <row r="32" spans="1:29" ht="15.75" thickBot="1">
      <c r="A32" s="394"/>
      <c r="B32" s="590">
        <v>111</v>
      </c>
      <c r="C32" s="2061"/>
      <c r="D32" s="396">
        <v>100</v>
      </c>
      <c r="E32" s="583"/>
      <c r="F32" s="396">
        <f>SUMIF(99:99,E32,100:100)-SUMIF(99:99,C32,100:100)+100</f>
        <v>100</v>
      </c>
      <c r="G32" s="2112"/>
      <c r="H32" s="396">
        <f>SUMIF(99:99,G32,100:100)-SUMIF(99:99,C32,100:100)+100</f>
        <v>100</v>
      </c>
      <c r="I32" s="390"/>
      <c r="J32" s="396">
        <f>SUMIF(99:99,I32,100:100)-SUMIF(99:99,C32,100:100)+100</f>
        <v>100</v>
      </c>
      <c r="K32" s="569"/>
      <c r="L32" s="2917"/>
      <c r="M32" s="2911"/>
      <c r="N32" s="2911"/>
      <c r="O32" s="2911"/>
      <c r="P32" s="3622"/>
      <c r="Q32" s="1503">
        <f t="shared" si="11"/>
        <v>111</v>
      </c>
      <c r="R32" s="712" t="s">
        <v>17</v>
      </c>
      <c r="S32" s="713">
        <f t="shared" si="12"/>
        <v>100</v>
      </c>
      <c r="T32" s="712" t="s">
        <v>17</v>
      </c>
      <c r="U32" s="713">
        <f t="shared" si="13"/>
        <v>100</v>
      </c>
      <c r="V32" s="712" t="s">
        <v>17</v>
      </c>
      <c r="W32" s="713">
        <f t="shared" si="14"/>
        <v>100</v>
      </c>
      <c r="X32" s="1506"/>
      <c r="Y32" s="3624"/>
      <c r="Z32" s="1507">
        <f t="shared" si="15"/>
        <v>111</v>
      </c>
      <c r="AA32" s="1504">
        <f t="shared" si="3"/>
        <v>1</v>
      </c>
      <c r="AB32" s="1504">
        <f t="shared" si="4"/>
        <v>1</v>
      </c>
      <c r="AC32" s="2114">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7"/>
      <c r="M33" s="2911"/>
      <c r="N33" s="2911"/>
      <c r="O33" s="2911"/>
      <c r="P33" s="3625" t="s">
        <v>2326</v>
      </c>
      <c r="Q33" s="1503" t="str">
        <f t="shared" si="11"/>
        <v>建筑类型</v>
      </c>
      <c r="R33" s="712" t="s">
        <v>17</v>
      </c>
      <c r="S33" s="713">
        <f t="shared" si="12"/>
        <v>100</v>
      </c>
      <c r="T33" s="712" t="s">
        <v>17</v>
      </c>
      <c r="U33" s="713">
        <f t="shared" si="13"/>
        <v>100</v>
      </c>
      <c r="V33" s="712" t="s">
        <v>17</v>
      </c>
      <c r="W33" s="713">
        <f t="shared" si="14"/>
        <v>100</v>
      </c>
      <c r="X33" s="1506"/>
      <c r="Y33" s="3628" t="s">
        <v>2326</v>
      </c>
      <c r="Z33" s="1507" t="str">
        <f t="shared" si="15"/>
        <v>建筑类型</v>
      </c>
      <c r="AA33" s="1504">
        <f t="shared" si="3"/>
        <v>1</v>
      </c>
      <c r="AB33" s="1504">
        <f t="shared" si="4"/>
        <v>1</v>
      </c>
      <c r="AC33" s="2114">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6"/>
      <c r="M34" s="2918"/>
      <c r="N34" s="2918"/>
      <c r="O34" s="2918"/>
      <c r="P34" s="3626"/>
      <c r="Q34" s="714" t="str">
        <f t="shared" si="11"/>
        <v>项目建筑规模</v>
      </c>
      <c r="R34" s="715" t="s">
        <v>17</v>
      </c>
      <c r="S34" s="716" t="e">
        <f t="shared" si="12"/>
        <v>#N/A</v>
      </c>
      <c r="T34" s="715" t="s">
        <v>17</v>
      </c>
      <c r="U34" s="716" t="e">
        <f t="shared" si="13"/>
        <v>#N/A</v>
      </c>
      <c r="V34" s="715" t="s">
        <v>17</v>
      </c>
      <c r="W34" s="716" t="e">
        <f t="shared" si="14"/>
        <v>#N/A</v>
      </c>
      <c r="X34" s="717"/>
      <c r="Y34" s="3628"/>
      <c r="Z34" s="718" t="str">
        <f t="shared" si="15"/>
        <v>项目建筑规模</v>
      </c>
      <c r="AA34" s="1504" t="e">
        <f t="shared" si="3"/>
        <v>#N/A</v>
      </c>
      <c r="AB34" s="1504" t="e">
        <f t="shared" si="4"/>
        <v>#N/A</v>
      </c>
      <c r="AC34" s="2114"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7"/>
      <c r="M35" s="2911"/>
      <c r="N35" s="2911"/>
      <c r="O35" s="2911"/>
      <c r="P35" s="3626"/>
      <c r="Q35" s="1503" t="str">
        <f t="shared" si="11"/>
        <v>建筑结构</v>
      </c>
      <c r="R35" s="712" t="s">
        <v>17</v>
      </c>
      <c r="S35" s="713">
        <f t="shared" si="12"/>
        <v>100</v>
      </c>
      <c r="T35" s="712" t="s">
        <v>17</v>
      </c>
      <c r="U35" s="713">
        <f t="shared" si="13"/>
        <v>100</v>
      </c>
      <c r="V35" s="712" t="s">
        <v>17</v>
      </c>
      <c r="W35" s="713">
        <f t="shared" si="14"/>
        <v>100</v>
      </c>
      <c r="X35" s="1506"/>
      <c r="Y35" s="3628"/>
      <c r="Z35" s="1507" t="str">
        <f t="shared" si="15"/>
        <v>建筑结构</v>
      </c>
      <c r="AA35" s="1504">
        <f t="shared" si="3"/>
        <v>1</v>
      </c>
      <c r="AB35" s="1504">
        <f t="shared" si="4"/>
        <v>1</v>
      </c>
      <c r="AC35" s="2114">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7"/>
      <c r="M36" s="2911"/>
      <c r="N36" s="2911"/>
      <c r="O36" s="2911"/>
      <c r="P36" s="3626"/>
      <c r="Q36" s="1503" t="str">
        <f t="shared" si="11"/>
        <v>公共部分装修</v>
      </c>
      <c r="R36" s="712" t="s">
        <v>17</v>
      </c>
      <c r="S36" s="713">
        <f t="shared" si="12"/>
        <v>100</v>
      </c>
      <c r="T36" s="712" t="s">
        <v>17</v>
      </c>
      <c r="U36" s="713">
        <f t="shared" si="13"/>
        <v>100</v>
      </c>
      <c r="V36" s="712" t="s">
        <v>17</v>
      </c>
      <c r="W36" s="713">
        <f t="shared" si="14"/>
        <v>100</v>
      </c>
      <c r="X36" s="1506"/>
      <c r="Y36" s="3628"/>
      <c r="Z36" s="1507" t="str">
        <f t="shared" si="15"/>
        <v>公共部分装修</v>
      </c>
      <c r="AA36" s="1504">
        <f t="shared" si="3"/>
        <v>1</v>
      </c>
      <c r="AB36" s="1504">
        <f t="shared" si="4"/>
        <v>1</v>
      </c>
      <c r="AC36" s="2114">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7"/>
      <c r="M37" s="2911"/>
      <c r="N37" s="2911"/>
      <c r="O37" s="2911"/>
      <c r="P37" s="3626"/>
      <c r="Q37" s="1503" t="str">
        <f t="shared" si="11"/>
        <v>成新度</v>
      </c>
      <c r="R37" s="712" t="s">
        <v>17</v>
      </c>
      <c r="S37" s="713" t="e">
        <f t="shared" si="12"/>
        <v>#N/A</v>
      </c>
      <c r="T37" s="712" t="s">
        <v>17</v>
      </c>
      <c r="U37" s="713" t="e">
        <f t="shared" si="13"/>
        <v>#N/A</v>
      </c>
      <c r="V37" s="712" t="s">
        <v>17</v>
      </c>
      <c r="W37" s="713" t="e">
        <f t="shared" si="14"/>
        <v>#N/A</v>
      </c>
      <c r="X37" s="1506"/>
      <c r="Y37" s="3628"/>
      <c r="Z37" s="1507" t="str">
        <f t="shared" si="15"/>
        <v>成新度</v>
      </c>
      <c r="AA37" s="1504" t="e">
        <f t="shared" si="3"/>
        <v>#N/A</v>
      </c>
      <c r="AB37" s="1504" t="e">
        <f t="shared" si="4"/>
        <v>#N/A</v>
      </c>
      <c r="AC37" s="2114"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2"/>
      <c r="M38" s="2913"/>
      <c r="N38" s="2913"/>
      <c r="O38" s="2913"/>
      <c r="P38" s="3626"/>
      <c r="Q38" s="1494" t="str">
        <f t="shared" si="11"/>
        <v>写字楼等级</v>
      </c>
      <c r="R38" s="708" t="s">
        <v>17</v>
      </c>
      <c r="S38" s="709">
        <f t="shared" si="12"/>
        <v>100</v>
      </c>
      <c r="T38" s="708" t="s">
        <v>17</v>
      </c>
      <c r="U38" s="709">
        <f t="shared" si="13"/>
        <v>100</v>
      </c>
      <c r="V38" s="708" t="s">
        <v>17</v>
      </c>
      <c r="W38" s="709">
        <f t="shared" si="14"/>
        <v>100</v>
      </c>
      <c r="X38" s="710"/>
      <c r="Y38" s="3628"/>
      <c r="Z38" s="55" t="str">
        <f t="shared" si="15"/>
        <v>写字楼等级</v>
      </c>
      <c r="AA38" s="711">
        <f t="shared" si="3"/>
        <v>1</v>
      </c>
      <c r="AB38" s="711">
        <f t="shared" si="4"/>
        <v>1</v>
      </c>
      <c r="AC38" s="2111">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7"/>
      <c r="M39" s="2911"/>
      <c r="N39" s="2911"/>
      <c r="O39" s="2911"/>
      <c r="P39" s="3626" t="s">
        <v>2326</v>
      </c>
      <c r="Q39" s="1503" t="str">
        <f t="shared" si="11"/>
        <v>物业管理</v>
      </c>
      <c r="R39" s="712" t="s">
        <v>17</v>
      </c>
      <c r="S39" s="713">
        <f t="shared" si="12"/>
        <v>100</v>
      </c>
      <c r="T39" s="712" t="s">
        <v>17</v>
      </c>
      <c r="U39" s="713">
        <f t="shared" si="13"/>
        <v>100</v>
      </c>
      <c r="V39" s="712" t="s">
        <v>17</v>
      </c>
      <c r="W39" s="713">
        <f t="shared" si="14"/>
        <v>100</v>
      </c>
      <c r="X39" s="1506"/>
      <c r="Y39" s="3628" t="s">
        <v>2326</v>
      </c>
      <c r="Z39" s="1507" t="str">
        <f t="shared" si="15"/>
        <v>物业管理</v>
      </c>
      <c r="AA39" s="1504">
        <f t="shared" si="3"/>
        <v>1</v>
      </c>
      <c r="AB39" s="1504">
        <f t="shared" si="4"/>
        <v>1</v>
      </c>
      <c r="AC39" s="2114">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7"/>
      <c r="M40" s="2911"/>
      <c r="N40" s="2911"/>
      <c r="O40" s="2911"/>
      <c r="P40" s="3626"/>
      <c r="Q40" s="1503" t="str">
        <f t="shared" si="11"/>
        <v>市政基础设施</v>
      </c>
      <c r="R40" s="712" t="s">
        <v>17</v>
      </c>
      <c r="S40" s="713">
        <f t="shared" si="12"/>
        <v>100</v>
      </c>
      <c r="T40" s="712" t="s">
        <v>17</v>
      </c>
      <c r="U40" s="713">
        <f t="shared" si="13"/>
        <v>100</v>
      </c>
      <c r="V40" s="712" t="s">
        <v>17</v>
      </c>
      <c r="W40" s="713">
        <f t="shared" si="14"/>
        <v>100</v>
      </c>
      <c r="X40" s="1506"/>
      <c r="Y40" s="3628"/>
      <c r="Z40" s="1507" t="str">
        <f t="shared" si="15"/>
        <v>市政基础设施</v>
      </c>
      <c r="AA40" s="1504">
        <f t="shared" si="3"/>
        <v>1</v>
      </c>
      <c r="AB40" s="1504">
        <f t="shared" si="4"/>
        <v>1</v>
      </c>
      <c r="AC40" s="2114">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7"/>
      <c r="M41" s="2911"/>
      <c r="N41" s="2911"/>
      <c r="O41" s="2911"/>
      <c r="P41" s="3626"/>
      <c r="Q41" s="1503" t="str">
        <f t="shared" si="11"/>
        <v>层高</v>
      </c>
      <c r="R41" s="712" t="s">
        <v>17</v>
      </c>
      <c r="S41" s="713">
        <f t="shared" si="12"/>
        <v>100</v>
      </c>
      <c r="T41" s="712" t="s">
        <v>17</v>
      </c>
      <c r="U41" s="713">
        <f t="shared" si="13"/>
        <v>100</v>
      </c>
      <c r="V41" s="712" t="s">
        <v>17</v>
      </c>
      <c r="W41" s="713">
        <f t="shared" si="14"/>
        <v>100</v>
      </c>
      <c r="X41" s="1506"/>
      <c r="Y41" s="3628"/>
      <c r="Z41" s="1507" t="str">
        <f t="shared" si="15"/>
        <v>层高</v>
      </c>
      <c r="AA41" s="1504">
        <f t="shared" si="3"/>
        <v>1</v>
      </c>
      <c r="AB41" s="1504">
        <f t="shared" si="4"/>
        <v>1</v>
      </c>
      <c r="AC41" s="2114">
        <f t="shared" si="5"/>
        <v>1</v>
      </c>
    </row>
    <row r="42" spans="1:29" s="429" customFormat="1" ht="15">
      <c r="A42" s="426"/>
      <c r="B42" s="1505"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6"/>
      <c r="M42" s="2918"/>
      <c r="N42" s="2918"/>
      <c r="O42" s="2918"/>
      <c r="P42" s="3626"/>
      <c r="Q42" s="714" t="str">
        <f t="shared" si="11"/>
        <v>单套建筑面积</v>
      </c>
      <c r="R42" s="715" t="s">
        <v>17</v>
      </c>
      <c r="S42" s="716">
        <f t="shared" si="12"/>
        <v>100</v>
      </c>
      <c r="T42" s="715" t="s">
        <v>17</v>
      </c>
      <c r="U42" s="716">
        <f t="shared" si="13"/>
        <v>100</v>
      </c>
      <c r="V42" s="715" t="s">
        <v>17</v>
      </c>
      <c r="W42" s="716">
        <f t="shared" si="14"/>
        <v>100</v>
      </c>
      <c r="X42" s="717"/>
      <c r="Y42" s="3628"/>
      <c r="Z42" s="718" t="str">
        <f t="shared" si="15"/>
        <v>单套建筑面积</v>
      </c>
      <c r="AA42" s="1504">
        <f t="shared" si="3"/>
        <v>1</v>
      </c>
      <c r="AB42" s="1504">
        <f t="shared" si="4"/>
        <v>1</v>
      </c>
      <c r="AC42" s="2114">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7"/>
      <c r="M43" s="2911"/>
      <c r="N43" s="2911"/>
      <c r="O43" s="2911"/>
      <c r="P43" s="3626"/>
      <c r="Q43" s="1503" t="str">
        <f t="shared" si="11"/>
        <v>内部装修</v>
      </c>
      <c r="R43" s="712" t="s">
        <v>17</v>
      </c>
      <c r="S43" s="713">
        <f t="shared" si="12"/>
        <v>100</v>
      </c>
      <c r="T43" s="712" t="s">
        <v>17</v>
      </c>
      <c r="U43" s="713">
        <f t="shared" si="13"/>
        <v>100</v>
      </c>
      <c r="V43" s="712" t="s">
        <v>17</v>
      </c>
      <c r="W43" s="713">
        <f t="shared" si="14"/>
        <v>100</v>
      </c>
      <c r="X43" s="1506"/>
      <c r="Y43" s="3628"/>
      <c r="Z43" s="1507" t="str">
        <f t="shared" si="15"/>
        <v>内部装修</v>
      </c>
      <c r="AA43" s="1504">
        <f t="shared" si="3"/>
        <v>1</v>
      </c>
      <c r="AB43" s="1504">
        <f t="shared" si="4"/>
        <v>1</v>
      </c>
      <c r="AC43" s="2114">
        <f t="shared" si="5"/>
        <v>1</v>
      </c>
    </row>
    <row r="44" spans="1:29" ht="15">
      <c r="A44" s="430"/>
      <c r="B44" s="380" t="s">
        <v>2337</v>
      </c>
      <c r="C44" s="418"/>
      <c r="D44" s="393">
        <v>100</v>
      </c>
      <c r="E44" s="2058"/>
      <c r="F44" s="419">
        <f>SUMIF(125:125,E44,126:126)-SUMIF(125:125,C44,126:126)+100</f>
        <v>100</v>
      </c>
      <c r="G44" s="2058"/>
      <c r="H44" s="393">
        <f>SUMIF(125:125,G44,126:126)-SUMIF(125:125,C44,126:126)+100</f>
        <v>100</v>
      </c>
      <c r="I44" s="2058"/>
      <c r="J44" s="393">
        <f>SUMIF(125:125,I44,126:126)-SUMIF(125:125,C44,126:126)+100</f>
        <v>100</v>
      </c>
      <c r="K44" s="568"/>
      <c r="L44" s="2917"/>
      <c r="M44" s="2911"/>
      <c r="N44" s="2911"/>
      <c r="O44" s="2911"/>
      <c r="P44" s="3626"/>
      <c r="Q44" s="1503" t="str">
        <f t="shared" si="11"/>
        <v>内部装修维护情况</v>
      </c>
      <c r="R44" s="712" t="s">
        <v>17</v>
      </c>
      <c r="S44" s="713">
        <f t="shared" si="12"/>
        <v>100</v>
      </c>
      <c r="T44" s="712" t="s">
        <v>17</v>
      </c>
      <c r="U44" s="713">
        <f t="shared" si="13"/>
        <v>100</v>
      </c>
      <c r="V44" s="712" t="s">
        <v>17</v>
      </c>
      <c r="W44" s="713">
        <f t="shared" si="14"/>
        <v>100</v>
      </c>
      <c r="X44" s="1506"/>
      <c r="Y44" s="3628"/>
      <c r="Z44" s="1507" t="str">
        <f t="shared" si="15"/>
        <v>内部装修维护情况</v>
      </c>
      <c r="AA44" s="1504">
        <f t="shared" si="3"/>
        <v>1</v>
      </c>
      <c r="AB44" s="1504">
        <f t="shared" si="4"/>
        <v>1</v>
      </c>
      <c r="AC44" s="2114">
        <f t="shared" si="5"/>
        <v>1</v>
      </c>
    </row>
    <row r="45" spans="1:29" s="113" customFormat="1" ht="15">
      <c r="A45" s="431"/>
      <c r="B45" s="1264">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2"/>
      <c r="M45" s="2913"/>
      <c r="N45" s="2913"/>
      <c r="O45" s="2913"/>
      <c r="P45" s="3626"/>
      <c r="Q45" s="1494">
        <f t="shared" si="11"/>
        <v>111</v>
      </c>
      <c r="R45" s="708" t="s">
        <v>17</v>
      </c>
      <c r="S45" s="709">
        <f t="shared" si="12"/>
        <v>100</v>
      </c>
      <c r="T45" s="708" t="s">
        <v>17</v>
      </c>
      <c r="U45" s="709">
        <f t="shared" si="13"/>
        <v>100</v>
      </c>
      <c r="V45" s="708" t="s">
        <v>17</v>
      </c>
      <c r="W45" s="709">
        <f t="shared" si="14"/>
        <v>100</v>
      </c>
      <c r="X45" s="710"/>
      <c r="Y45" s="3628"/>
      <c r="Z45" s="55">
        <f t="shared" si="15"/>
        <v>111</v>
      </c>
      <c r="AA45" s="711">
        <f t="shared" si="3"/>
        <v>1</v>
      </c>
      <c r="AB45" s="711">
        <f t="shared" si="4"/>
        <v>1</v>
      </c>
      <c r="AC45" s="2111">
        <f t="shared" si="5"/>
        <v>1</v>
      </c>
    </row>
    <row r="46" spans="1:29" ht="15">
      <c r="A46" s="430"/>
      <c r="B46" s="126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7"/>
      <c r="M46" s="2911"/>
      <c r="N46" s="2911"/>
      <c r="O46" s="2911"/>
      <c r="P46" s="3626"/>
      <c r="Q46" s="1503">
        <f t="shared" si="11"/>
        <v>111</v>
      </c>
      <c r="R46" s="712" t="s">
        <v>17</v>
      </c>
      <c r="S46" s="713">
        <f t="shared" si="12"/>
        <v>100</v>
      </c>
      <c r="T46" s="712" t="s">
        <v>17</v>
      </c>
      <c r="U46" s="713">
        <f t="shared" si="13"/>
        <v>100</v>
      </c>
      <c r="V46" s="712" t="s">
        <v>17</v>
      </c>
      <c r="W46" s="713">
        <f t="shared" si="14"/>
        <v>100</v>
      </c>
      <c r="X46" s="1506"/>
      <c r="Y46" s="3628"/>
      <c r="Z46" s="1507">
        <f t="shared" si="15"/>
        <v>111</v>
      </c>
      <c r="AA46" s="1504">
        <f t="shared" si="3"/>
        <v>1</v>
      </c>
      <c r="AB46" s="1504">
        <f t="shared" si="4"/>
        <v>1</v>
      </c>
      <c r="AC46" s="2114">
        <f t="shared" si="5"/>
        <v>1</v>
      </c>
    </row>
    <row r="47" spans="1:29" ht="15.75" thickBot="1">
      <c r="A47" s="436"/>
      <c r="B47" s="204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7"/>
      <c r="M47" s="2911"/>
      <c r="N47" s="2911"/>
      <c r="O47" s="2911"/>
      <c r="P47" s="3627"/>
      <c r="Q47" s="1503">
        <f t="shared" si="11"/>
        <v>111</v>
      </c>
      <c r="R47" s="712" t="s">
        <v>17</v>
      </c>
      <c r="S47" s="713">
        <f t="shared" si="12"/>
        <v>100</v>
      </c>
      <c r="T47" s="712" t="s">
        <v>17</v>
      </c>
      <c r="U47" s="713">
        <f t="shared" si="13"/>
        <v>100</v>
      </c>
      <c r="V47" s="712" t="s">
        <v>17</v>
      </c>
      <c r="W47" s="713">
        <f t="shared" si="14"/>
        <v>100</v>
      </c>
      <c r="X47" s="1506"/>
      <c r="Y47" s="3629"/>
      <c r="Z47" s="1507">
        <f t="shared" si="15"/>
        <v>111</v>
      </c>
      <c r="AA47" s="1504">
        <f t="shared" si="3"/>
        <v>1</v>
      </c>
      <c r="AB47" s="1504">
        <f t="shared" si="4"/>
        <v>1</v>
      </c>
      <c r="AC47" s="2114">
        <f t="shared" si="5"/>
        <v>1</v>
      </c>
    </row>
    <row r="48" spans="1:29" ht="15">
      <c r="A48" s="437" t="s">
        <v>2338</v>
      </c>
      <c r="B48" s="438"/>
      <c r="C48" s="1285" t="s">
        <v>1</v>
      </c>
      <c r="D48" s="1286"/>
      <c r="E48" s="1287"/>
      <c r="F48" s="1288"/>
      <c r="G48" s="1289"/>
      <c r="H48" s="1290"/>
      <c r="I48" s="1287"/>
      <c r="J48" s="443"/>
      <c r="K48" s="721"/>
      <c r="L48" s="2919"/>
      <c r="M48" s="2911"/>
      <c r="N48" s="2911"/>
      <c r="O48" s="2911"/>
      <c r="P48" s="3631" t="str">
        <f>A48</f>
        <v>成交单价（元/平方米）</v>
      </c>
      <c r="Q48" s="3616"/>
      <c r="R48" s="3617">
        <f>E48</f>
        <v>0</v>
      </c>
      <c r="S48" s="3617"/>
      <c r="T48" s="3617">
        <f>G48</f>
        <v>0</v>
      </c>
      <c r="U48" s="3617"/>
      <c r="V48" s="3617">
        <f>I48</f>
        <v>0</v>
      </c>
      <c r="W48" s="3617"/>
      <c r="X48" s="404"/>
      <c r="Y48" s="719"/>
      <c r="Z48" s="404"/>
      <c r="AA48" s="404"/>
      <c r="AB48" s="404"/>
      <c r="AC48" s="585"/>
    </row>
    <row r="49" spans="1:29" ht="15.75" thickBot="1">
      <c r="A49" s="444" t="s">
        <v>2430</v>
      </c>
      <c r="B49" s="445"/>
      <c r="C49" s="1291" t="e">
        <f>R50</f>
        <v>#DIV/0!</v>
      </c>
      <c r="D49" s="2504" t="s">
        <v>2816</v>
      </c>
      <c r="E49" s="1292" t="e">
        <f>R49</f>
        <v>#DIV/0!</v>
      </c>
      <c r="F49" s="2505"/>
      <c r="G49" s="1291" t="e">
        <f>T49</f>
        <v>#DIV/0!</v>
      </c>
      <c r="H49" s="2505"/>
      <c r="I49" s="1292" t="e">
        <f>V49</f>
        <v>#DIV/0!</v>
      </c>
      <c r="J49" s="2505"/>
      <c r="K49" s="2507">
        <f>F49+H49+J49</f>
        <v>0</v>
      </c>
      <c r="L49" s="2919"/>
      <c r="M49" s="2911"/>
      <c r="N49" s="2911"/>
      <c r="O49" s="2911"/>
      <c r="P49" s="3631" t="str">
        <f>A49</f>
        <v>比较价值（元/平方米）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404"/>
      <c r="Y49" s="404"/>
      <c r="Z49" s="404"/>
      <c r="AA49" s="404"/>
      <c r="AB49" s="404"/>
      <c r="AC49" s="585"/>
    </row>
    <row r="50" spans="1:29" ht="15.75" thickBot="1">
      <c r="A50" s="448" t="s">
        <v>2431</v>
      </c>
      <c r="B50" s="449"/>
      <c r="C50" s="1294" t="e">
        <f>R50</f>
        <v>#DIV/0!</v>
      </c>
      <c r="D50" s="1294"/>
      <c r="E50" s="1294"/>
      <c r="F50" s="1294"/>
      <c r="G50" s="1294"/>
      <c r="H50" s="1294"/>
      <c r="I50" s="1294"/>
      <c r="J50" s="450"/>
      <c r="K50" s="722"/>
      <c r="L50" s="2919"/>
      <c r="M50" s="2911"/>
      <c r="N50" s="2911"/>
      <c r="O50" s="2911"/>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2098"/>
      <c r="Y50" s="2098"/>
      <c r="Z50" s="2098"/>
      <c r="AA50" s="2098"/>
      <c r="AB50" s="2098"/>
      <c r="AC50" s="2099"/>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8" customFormat="1" ht="13.5" customHeight="1">
      <c r="A55" s="2923"/>
      <c r="B55" s="2923"/>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8"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2435</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4" customFormat="1" ht="15">
      <c r="A59" s="461" t="s">
        <v>2309</v>
      </c>
      <c r="B59" s="462"/>
      <c r="C59" s="1315" t="str">
        <f>YEAR(C7)&amp;"-"&amp;MONTH(C7)</f>
        <v>2022-7</v>
      </c>
      <c r="D59" s="1316">
        <f>EDATE(C59,-1)</f>
        <v>44713</v>
      </c>
      <c r="E59" s="1316">
        <f>EDATE(D59,-1)</f>
        <v>44682</v>
      </c>
      <c r="F59" s="1316">
        <f t="shared" ref="F59:O59" si="16">EDATE(E59,-1)</f>
        <v>44652</v>
      </c>
      <c r="G59" s="1316">
        <f t="shared" si="16"/>
        <v>44621</v>
      </c>
      <c r="H59" s="1316">
        <f t="shared" si="16"/>
        <v>44593</v>
      </c>
      <c r="I59" s="1316">
        <f t="shared" si="16"/>
        <v>44562</v>
      </c>
      <c r="J59" s="1316">
        <f t="shared" si="16"/>
        <v>44531</v>
      </c>
      <c r="K59" s="1316">
        <f t="shared" si="16"/>
        <v>44501</v>
      </c>
      <c r="L59" s="1316">
        <f t="shared" si="16"/>
        <v>44470</v>
      </c>
      <c r="M59" s="1316">
        <f t="shared" si="16"/>
        <v>44440</v>
      </c>
      <c r="N59" s="1316">
        <f t="shared" si="16"/>
        <v>44409</v>
      </c>
      <c r="O59" s="1316">
        <f t="shared" si="16"/>
        <v>44378</v>
      </c>
      <c r="P59" s="2954"/>
      <c r="Q59" s="2936"/>
      <c r="R59" s="2936"/>
      <c r="S59" s="2936"/>
      <c r="T59" s="2936"/>
      <c r="U59" s="2936"/>
      <c r="V59" s="2936"/>
      <c r="W59" s="2936"/>
      <c r="X59" s="2936"/>
      <c r="Y59" s="2936"/>
      <c r="Z59" s="2936"/>
      <c r="AA59" s="2936"/>
      <c r="AB59" s="2936"/>
      <c r="AC59" s="2936"/>
    </row>
    <row r="60" spans="1:29" s="113" customFormat="1" ht="15">
      <c r="A60" s="465"/>
      <c r="B60" s="466"/>
      <c r="C60" s="1314">
        <v>100</v>
      </c>
      <c r="D60" s="468"/>
      <c r="E60" s="468"/>
      <c r="F60" s="468"/>
      <c r="G60" s="468"/>
      <c r="H60" s="468"/>
      <c r="I60" s="468"/>
      <c r="J60" s="468"/>
      <c r="K60" s="468"/>
      <c r="L60" s="468"/>
      <c r="M60" s="469"/>
      <c r="N60" s="468"/>
      <c r="O60" s="469"/>
      <c r="P60" s="2955"/>
      <c r="Q60" s="2854"/>
      <c r="R60" s="2854"/>
      <c r="S60" s="2854"/>
      <c r="T60" s="2854"/>
      <c r="U60" s="2854"/>
      <c r="V60" s="2854"/>
      <c r="W60" s="2854"/>
      <c r="X60" s="2854"/>
      <c r="Y60" s="2854"/>
      <c r="Z60" s="2854"/>
      <c r="AA60" s="2854"/>
      <c r="AB60" s="2854"/>
      <c r="AC60" s="2854"/>
    </row>
    <row r="61" spans="1:29" s="113" customFormat="1" ht="15.75" thickBot="1">
      <c r="A61" s="471" t="s">
        <v>2346</v>
      </c>
      <c r="B61" s="472"/>
      <c r="C61" s="473"/>
      <c r="D61" s="474"/>
      <c r="E61" s="474"/>
      <c r="F61" s="474"/>
      <c r="G61" s="474"/>
      <c r="H61" s="474"/>
      <c r="I61" s="474"/>
      <c r="J61" s="474"/>
      <c r="K61" s="474"/>
      <c r="L61" s="474"/>
      <c r="M61" s="475"/>
      <c r="N61" s="474"/>
      <c r="O61" s="475"/>
      <c r="P61" s="2955"/>
      <c r="Q61" s="2934"/>
      <c r="R61" s="2854"/>
      <c r="S61" s="2854"/>
      <c r="T61" s="2854"/>
      <c r="U61" s="2854"/>
      <c r="V61" s="2854"/>
      <c r="W61" s="2854"/>
      <c r="X61" s="2854"/>
      <c r="Y61" s="2854"/>
      <c r="Z61" s="2854"/>
      <c r="AA61" s="2854"/>
      <c r="AB61" s="2854"/>
      <c r="AC61" s="2854"/>
    </row>
    <row r="62" spans="1:29" s="113" customFormat="1" ht="15">
      <c r="A62" s="477" t="s">
        <v>2311</v>
      </c>
      <c r="B62" s="466"/>
      <c r="C62" s="478" t="s">
        <v>2413</v>
      </c>
      <c r="D62" s="479"/>
      <c r="E62" s="479"/>
      <c r="F62" s="479"/>
      <c r="G62" s="479"/>
      <c r="H62" s="479"/>
      <c r="I62" s="479"/>
      <c r="J62" s="479"/>
      <c r="K62" s="479"/>
      <c r="L62" s="480"/>
      <c r="M62" s="481"/>
      <c r="N62" s="2947"/>
      <c r="O62" s="2947"/>
      <c r="P62" s="2956"/>
      <c r="Q62" s="2934"/>
      <c r="R62" s="2854"/>
      <c r="S62" s="2854"/>
      <c r="T62" s="2854"/>
      <c r="U62" s="2854"/>
      <c r="V62" s="2854"/>
      <c r="W62" s="2854"/>
      <c r="X62" s="2854"/>
      <c r="Y62" s="2854"/>
      <c r="Z62" s="2854"/>
      <c r="AA62" s="2854"/>
      <c r="AB62" s="2854"/>
      <c r="AC62" s="2854"/>
    </row>
    <row r="63" spans="1:29" s="113" customFormat="1" ht="15.75" thickBot="1">
      <c r="A63" s="477"/>
      <c r="B63" s="466"/>
      <c r="C63" s="467">
        <v>100</v>
      </c>
      <c r="D63" s="468"/>
      <c r="E63" s="468"/>
      <c r="F63" s="468"/>
      <c r="G63" s="468"/>
      <c r="H63" s="468"/>
      <c r="I63" s="468"/>
      <c r="J63" s="468"/>
      <c r="K63" s="468"/>
      <c r="L63" s="468"/>
      <c r="M63" s="470"/>
      <c r="N63" s="2947"/>
      <c r="O63" s="2947"/>
      <c r="P63" s="2955"/>
      <c r="Q63" s="2934"/>
      <c r="R63" s="2854"/>
      <c r="S63" s="2854"/>
      <c r="T63" s="2854"/>
      <c r="U63" s="2854"/>
      <c r="V63" s="2854"/>
      <c r="W63" s="2854"/>
      <c r="X63" s="2854"/>
      <c r="Y63" s="2854"/>
      <c r="Z63" s="2854"/>
      <c r="AA63" s="2854"/>
      <c r="AB63" s="2854"/>
      <c r="AC63" s="2854"/>
    </row>
    <row r="64" spans="1:29">
      <c r="A64" s="483" t="s">
        <v>2349</v>
      </c>
      <c r="B64" s="484" t="s">
        <v>2315</v>
      </c>
      <c r="C64" s="485">
        <f>C9</f>
        <v>0</v>
      </c>
      <c r="D64" s="486"/>
      <c r="E64" s="486"/>
      <c r="F64" s="486"/>
      <c r="G64" s="486"/>
      <c r="H64" s="486"/>
      <c r="I64" s="486"/>
      <c r="J64" s="486"/>
      <c r="K64" s="487"/>
      <c r="L64" s="488"/>
      <c r="M64" s="489"/>
      <c r="N64" s="2948"/>
      <c r="O64" s="2948"/>
      <c r="P64" s="2957"/>
      <c r="Q64" s="2934"/>
      <c r="R64" s="2920"/>
      <c r="S64" s="2920"/>
      <c r="T64" s="2920"/>
      <c r="U64" s="2920"/>
      <c r="V64" s="2920"/>
      <c r="W64" s="2920"/>
      <c r="X64" s="2920"/>
      <c r="Y64" s="2920"/>
      <c r="Z64" s="2920"/>
      <c r="AA64" s="2920"/>
      <c r="AB64" s="2920"/>
      <c r="AC64" s="2920"/>
    </row>
    <row r="65" spans="1:29" ht="15.75" thickBot="1">
      <c r="A65" s="490"/>
      <c r="B65" s="491"/>
      <c r="C65" s="492">
        <v>100</v>
      </c>
      <c r="D65" s="492"/>
      <c r="E65" s="492"/>
      <c r="F65" s="492"/>
      <c r="G65" s="492"/>
      <c r="H65" s="492"/>
      <c r="I65" s="492"/>
      <c r="J65" s="492"/>
      <c r="K65" s="492"/>
      <c r="L65" s="492"/>
      <c r="M65" s="493"/>
      <c r="N65" s="2949"/>
      <c r="O65" s="2949"/>
      <c r="P65" s="2957"/>
      <c r="Q65" s="2934"/>
      <c r="R65" s="2920"/>
      <c r="S65" s="2920"/>
      <c r="T65" s="2920"/>
      <c r="U65" s="2920"/>
      <c r="V65" s="2920"/>
      <c r="W65" s="2920"/>
      <c r="X65" s="2920"/>
      <c r="Y65" s="2920"/>
      <c r="Z65" s="2920"/>
      <c r="AA65" s="2920"/>
      <c r="AB65" s="2920"/>
      <c r="AC65" s="2920"/>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8"/>
      <c r="O66" s="2948"/>
      <c r="P66" s="2957"/>
      <c r="Q66" s="2934"/>
      <c r="R66" s="2920"/>
      <c r="S66" s="2920"/>
      <c r="T66" s="2920"/>
      <c r="U66" s="2920"/>
      <c r="V66" s="2920"/>
      <c r="W66" s="2920"/>
      <c r="X66" s="2920"/>
      <c r="Y66" s="2920"/>
      <c r="Z66" s="2920"/>
      <c r="AA66" s="2920"/>
      <c r="AB66" s="2920"/>
      <c r="AC66" s="292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9"/>
      <c r="O67" s="2949"/>
      <c r="P67" s="2957"/>
      <c r="Q67" s="2934"/>
      <c r="R67" s="2920"/>
      <c r="S67" s="2920"/>
      <c r="T67" s="2920"/>
      <c r="U67" s="2920"/>
      <c r="V67" s="2920"/>
      <c r="W67" s="2920"/>
      <c r="X67" s="2920"/>
      <c r="Y67" s="2920"/>
      <c r="Z67" s="2920"/>
      <c r="AA67" s="2920"/>
      <c r="AB67" s="2920"/>
      <c r="AC67" s="2920"/>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0"/>
      <c r="B69" s="504"/>
      <c r="C69" s="505"/>
      <c r="D69" s="505"/>
      <c r="E69" s="505"/>
      <c r="F69" s="505"/>
      <c r="G69" s="505"/>
      <c r="H69" s="505"/>
      <c r="I69" s="505"/>
      <c r="J69" s="505"/>
      <c r="K69" s="506"/>
      <c r="L69" s="507"/>
      <c r="M69" s="508"/>
      <c r="N69" s="2948"/>
      <c r="O69" s="2948"/>
      <c r="P69" s="2957"/>
      <c r="Q69" s="2934"/>
      <c r="R69" s="2920"/>
      <c r="S69" s="2920"/>
      <c r="T69" s="2920"/>
      <c r="U69" s="2920"/>
      <c r="V69" s="2920"/>
      <c r="W69" s="2920"/>
      <c r="X69" s="2920"/>
      <c r="Y69" s="2920"/>
      <c r="Z69" s="2920"/>
      <c r="AA69" s="2920"/>
      <c r="AB69" s="2920"/>
      <c r="AC69" s="292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9"/>
      <c r="O70" s="2949"/>
      <c r="P70" s="2957"/>
      <c r="Q70" s="2934"/>
      <c r="R70" s="2920"/>
      <c r="S70" s="2920"/>
      <c r="T70" s="2920"/>
      <c r="U70" s="2920"/>
      <c r="V70" s="2920"/>
      <c r="W70" s="2920"/>
      <c r="X70" s="2920"/>
      <c r="Y70" s="2920"/>
      <c r="Z70" s="2920"/>
      <c r="AA70" s="2920"/>
      <c r="AB70" s="2920"/>
      <c r="AC70" s="2920"/>
    </row>
    <row r="71" spans="1:29" s="429" customFormat="1" ht="15.75" thickTop="1">
      <c r="A71" s="509"/>
      <c r="B71" s="494">
        <f>B12</f>
        <v>111</v>
      </c>
      <c r="C71" s="510"/>
      <c r="D71" s="510"/>
      <c r="E71" s="510"/>
      <c r="F71" s="510"/>
      <c r="G71" s="510"/>
      <c r="H71" s="511"/>
      <c r="I71" s="511"/>
      <c r="J71" s="511"/>
      <c r="K71" s="511"/>
      <c r="L71" s="512"/>
      <c r="M71" s="513"/>
      <c r="N71" s="2950"/>
      <c r="O71" s="2950"/>
      <c r="P71" s="2958"/>
      <c r="Q71" s="2941"/>
      <c r="R71" s="2942"/>
      <c r="S71" s="2942"/>
      <c r="T71" s="2942"/>
      <c r="U71" s="2942"/>
      <c r="V71" s="2942"/>
      <c r="W71" s="2942"/>
      <c r="X71" s="2942"/>
      <c r="Y71" s="2942"/>
      <c r="Z71" s="2942"/>
      <c r="AA71" s="2942"/>
      <c r="AB71" s="2942"/>
      <c r="AC71" s="2942"/>
    </row>
    <row r="72" spans="1:29" s="429" customFormat="1" ht="15.75" thickBot="1">
      <c r="A72" s="509"/>
      <c r="B72" s="499"/>
      <c r="C72" s="516"/>
      <c r="D72" s="492"/>
      <c r="E72" s="492"/>
      <c r="F72" s="492"/>
      <c r="G72" s="492"/>
      <c r="H72" s="492"/>
      <c r="I72" s="492"/>
      <c r="J72" s="492"/>
      <c r="K72" s="492"/>
      <c r="L72" s="492"/>
      <c r="M72" s="493"/>
      <c r="N72" s="2949"/>
      <c r="O72" s="2949"/>
      <c r="P72" s="2958"/>
      <c r="Q72" s="2941"/>
      <c r="R72" s="2942"/>
      <c r="S72" s="2942"/>
      <c r="T72" s="2942"/>
      <c r="U72" s="2942"/>
      <c r="V72" s="2942"/>
      <c r="W72" s="2942"/>
      <c r="X72" s="2942"/>
      <c r="Y72" s="2942"/>
      <c r="Z72" s="2942"/>
      <c r="AA72" s="2942"/>
      <c r="AB72" s="2942"/>
      <c r="AC72" s="2942"/>
    </row>
    <row r="73" spans="1:29" s="429" customFormat="1" ht="15.75" thickTop="1">
      <c r="A73" s="509"/>
      <c r="B73" s="494">
        <f>B13</f>
        <v>111</v>
      </c>
      <c r="C73" s="510"/>
      <c r="D73" s="510"/>
      <c r="E73" s="510"/>
      <c r="F73" s="510"/>
      <c r="G73" s="510"/>
      <c r="H73" s="511"/>
      <c r="I73" s="511"/>
      <c r="J73" s="511"/>
      <c r="K73" s="511"/>
      <c r="L73" s="512"/>
      <c r="M73" s="513"/>
      <c r="N73" s="2950"/>
      <c r="O73" s="2950"/>
      <c r="P73" s="2959"/>
      <c r="Q73" s="2944"/>
      <c r="R73" s="2942"/>
      <c r="S73" s="2942"/>
      <c r="T73" s="2942"/>
      <c r="U73" s="2942"/>
      <c r="V73" s="2942"/>
      <c r="W73" s="2942"/>
      <c r="X73" s="2942"/>
      <c r="Y73" s="2942"/>
      <c r="Z73" s="2942"/>
      <c r="AA73" s="2942"/>
      <c r="AB73" s="2942"/>
      <c r="AC73" s="2942"/>
    </row>
    <row r="74" spans="1:29" s="429" customFormat="1" ht="15.75" thickBot="1">
      <c r="A74" s="509"/>
      <c r="B74" s="499"/>
      <c r="C74" s="516"/>
      <c r="D74" s="516"/>
      <c r="E74" s="516"/>
      <c r="F74" s="516"/>
      <c r="G74" s="516"/>
      <c r="H74" s="518"/>
      <c r="I74" s="518"/>
      <c r="J74" s="518"/>
      <c r="K74" s="518"/>
      <c r="L74" s="518"/>
      <c r="M74" s="519"/>
      <c r="N74" s="2950"/>
      <c r="O74" s="2950"/>
      <c r="P74" s="2958"/>
      <c r="Q74" s="2941"/>
      <c r="R74" s="2942"/>
      <c r="S74" s="2942"/>
      <c r="T74" s="2942"/>
      <c r="U74" s="2942"/>
      <c r="V74" s="2942"/>
      <c r="W74" s="2942"/>
      <c r="X74" s="2942"/>
      <c r="Y74" s="2942"/>
      <c r="Z74" s="2942"/>
      <c r="AA74" s="2942"/>
      <c r="AB74" s="2942"/>
      <c r="AC74" s="2942"/>
    </row>
    <row r="75" spans="1:29" s="429" customFormat="1" ht="15.75" thickTop="1">
      <c r="A75" s="509"/>
      <c r="B75" s="502">
        <f>B14</f>
        <v>111</v>
      </c>
      <c r="C75" s="479"/>
      <c r="D75" s="479"/>
      <c r="E75" s="479"/>
      <c r="F75" s="479"/>
      <c r="G75" s="479"/>
      <c r="H75" s="520"/>
      <c r="I75" s="520"/>
      <c r="J75" s="520"/>
      <c r="K75" s="520"/>
      <c r="L75" s="521"/>
      <c r="M75" s="522"/>
      <c r="N75" s="2950"/>
      <c r="O75" s="2950"/>
      <c r="P75" s="2960"/>
      <c r="Q75" s="2941"/>
      <c r="R75" s="2942"/>
      <c r="S75" s="2942"/>
      <c r="T75" s="2942"/>
      <c r="U75" s="2942"/>
      <c r="V75" s="2942"/>
      <c r="W75" s="2942"/>
      <c r="X75" s="2942"/>
      <c r="Y75" s="2942"/>
      <c r="Z75" s="2942"/>
      <c r="AA75" s="2942"/>
      <c r="AB75" s="2942"/>
      <c r="AC75" s="2942"/>
    </row>
    <row r="76" spans="1:29" s="429" customFormat="1" ht="15.75" thickBot="1">
      <c r="A76" s="524"/>
      <c r="B76" s="525"/>
      <c r="C76" s="526"/>
      <c r="D76" s="526"/>
      <c r="E76" s="526"/>
      <c r="F76" s="526"/>
      <c r="G76" s="526"/>
      <c r="H76" s="527"/>
      <c r="I76" s="527"/>
      <c r="J76" s="527"/>
      <c r="K76" s="527"/>
      <c r="L76" s="527"/>
      <c r="M76" s="528"/>
      <c r="N76" s="2950"/>
      <c r="O76" s="2950"/>
      <c r="P76" s="2958"/>
      <c r="Q76" s="2941"/>
      <c r="R76" s="2942"/>
      <c r="S76" s="2942"/>
      <c r="T76" s="2942"/>
      <c r="U76" s="2942"/>
      <c r="V76" s="2942"/>
      <c r="W76" s="2942"/>
      <c r="X76" s="2942"/>
      <c r="Y76" s="2942"/>
      <c r="Z76" s="2942"/>
      <c r="AA76" s="2942"/>
      <c r="AB76" s="2942"/>
      <c r="AC76" s="2942"/>
    </row>
    <row r="77" spans="1:29">
      <c r="A77" s="483" t="s">
        <v>2320</v>
      </c>
      <c r="B77" s="484" t="s">
        <v>2458</v>
      </c>
      <c r="C77" s="529" t="s">
        <v>2358</v>
      </c>
      <c r="D77" s="529" t="s">
        <v>2359</v>
      </c>
      <c r="E77" s="529" t="s">
        <v>2360</v>
      </c>
      <c r="F77" s="529" t="s">
        <v>2361</v>
      </c>
      <c r="G77" s="529" t="s">
        <v>2362</v>
      </c>
      <c r="H77" s="485"/>
      <c r="I77" s="485"/>
      <c r="J77" s="485"/>
      <c r="K77" s="530"/>
      <c r="L77" s="531"/>
      <c r="M77" s="532"/>
      <c r="N77" s="2948"/>
      <c r="O77" s="2948"/>
      <c r="P77" s="2961"/>
      <c r="Q77" s="2934"/>
      <c r="R77" s="2920"/>
      <c r="S77" s="2920"/>
      <c r="T77" s="2920"/>
      <c r="U77" s="2920"/>
      <c r="V77" s="2920"/>
      <c r="W77" s="2920"/>
      <c r="X77" s="2920"/>
      <c r="Y77" s="2920"/>
      <c r="Z77" s="2920"/>
      <c r="AA77" s="2920"/>
      <c r="AB77" s="2920"/>
      <c r="AC77" s="292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9"/>
      <c r="O78" s="2949"/>
      <c r="P78" s="2957"/>
      <c r="Q78" s="2934"/>
      <c r="R78" s="2920"/>
      <c r="S78" s="2920"/>
      <c r="T78" s="2920"/>
      <c r="U78" s="2920"/>
      <c r="V78" s="2920"/>
      <c r="W78" s="2920"/>
      <c r="X78" s="2920"/>
      <c r="Y78" s="2920"/>
      <c r="Z78" s="2920"/>
      <c r="AA78" s="2920"/>
      <c r="AB78" s="2920"/>
      <c r="AC78" s="2920"/>
    </row>
    <row r="79" spans="1:29" ht="15.75" thickTop="1">
      <c r="A79" s="490"/>
      <c r="B79" s="494" t="s">
        <v>2363</v>
      </c>
      <c r="C79" s="534" t="s">
        <v>2358</v>
      </c>
      <c r="D79" s="534" t="s">
        <v>2359</v>
      </c>
      <c r="E79" s="534" t="s">
        <v>2360</v>
      </c>
      <c r="F79" s="534" t="s">
        <v>2361</v>
      </c>
      <c r="G79" s="534" t="s">
        <v>2362</v>
      </c>
      <c r="H79" s="495"/>
      <c r="I79" s="495"/>
      <c r="J79" s="495"/>
      <c r="K79" s="496"/>
      <c r="L79" s="497"/>
      <c r="M79" s="498"/>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9"/>
      <c r="O80" s="2949"/>
      <c r="P80" s="2957"/>
      <c r="Q80" s="2934"/>
      <c r="R80" s="2920"/>
      <c r="S80" s="2920"/>
      <c r="T80" s="2920"/>
      <c r="U80" s="2920"/>
      <c r="V80" s="2920"/>
      <c r="W80" s="2920"/>
      <c r="X80" s="2920"/>
      <c r="Y80" s="2920"/>
      <c r="Z80" s="2920"/>
      <c r="AA80" s="2920"/>
      <c r="AB80" s="2920"/>
      <c r="AC80" s="2920"/>
    </row>
    <row r="81" spans="1:29" ht="15.75" thickTop="1">
      <c r="A81" s="490"/>
      <c r="B81" s="494" t="s">
        <v>2364</v>
      </c>
      <c r="C81" s="534" t="s">
        <v>2358</v>
      </c>
      <c r="D81" s="534" t="s">
        <v>2359</v>
      </c>
      <c r="E81" s="534" t="s">
        <v>2360</v>
      </c>
      <c r="F81" s="534" t="s">
        <v>2361</v>
      </c>
      <c r="G81" s="534" t="s">
        <v>2362</v>
      </c>
      <c r="H81" s="495"/>
      <c r="I81" s="495"/>
      <c r="J81" s="495"/>
      <c r="K81" s="496"/>
      <c r="L81" s="497"/>
      <c r="M81" s="498"/>
      <c r="N81" s="2948"/>
      <c r="O81" s="2948"/>
      <c r="P81" s="2957"/>
      <c r="Q81" s="2934"/>
      <c r="R81" s="2920"/>
      <c r="S81" s="2920"/>
      <c r="T81" s="2920"/>
      <c r="U81" s="2920"/>
      <c r="V81" s="2920"/>
      <c r="W81" s="2920"/>
      <c r="X81" s="2920"/>
      <c r="Y81" s="2920"/>
      <c r="Z81" s="2920"/>
      <c r="AA81" s="2920"/>
      <c r="AB81" s="2920"/>
      <c r="AC81" s="292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9"/>
      <c r="O82" s="2949"/>
      <c r="P82" s="2957"/>
      <c r="Q82" s="2934"/>
      <c r="R82" s="2920"/>
      <c r="S82" s="2920"/>
      <c r="T82" s="2920"/>
      <c r="U82" s="2920"/>
      <c r="V82" s="2920"/>
      <c r="W82" s="2920"/>
      <c r="X82" s="2920"/>
      <c r="Y82" s="2920"/>
      <c r="Z82" s="2920"/>
      <c r="AA82" s="2920"/>
      <c r="AB82" s="2920"/>
      <c r="AC82" s="2920"/>
    </row>
    <row r="83" spans="1:29" ht="15.75" thickTop="1">
      <c r="A83" s="490"/>
      <c r="B83" s="502" t="s">
        <v>2450</v>
      </c>
      <c r="C83" s="615" t="s">
        <v>2436</v>
      </c>
      <c r="D83" s="615" t="s">
        <v>2437</v>
      </c>
      <c r="E83" s="615" t="s">
        <v>2438</v>
      </c>
      <c r="F83" s="615" t="s">
        <v>2439</v>
      </c>
      <c r="G83" s="615" t="s">
        <v>2440</v>
      </c>
      <c r="H83" s="495"/>
      <c r="I83" s="495"/>
      <c r="J83" s="495"/>
      <c r="K83" s="495"/>
      <c r="L83" s="495"/>
      <c r="M83" s="1260"/>
      <c r="N83" s="2949"/>
      <c r="O83" s="2949"/>
      <c r="P83" s="2957"/>
      <c r="Q83" s="2934"/>
      <c r="R83" s="2920"/>
      <c r="S83" s="2920"/>
      <c r="T83" s="2920"/>
      <c r="U83" s="2920"/>
      <c r="V83" s="2920"/>
      <c r="W83" s="2920"/>
      <c r="X83" s="2920"/>
      <c r="Y83" s="2920"/>
      <c r="Z83" s="2920"/>
      <c r="AA83" s="2920"/>
      <c r="AB83" s="2920"/>
      <c r="AC83" s="292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9"/>
      <c r="O84" s="2949"/>
      <c r="P84" s="2957"/>
      <c r="Q84" s="2934"/>
      <c r="R84" s="2920"/>
      <c r="S84" s="2920"/>
      <c r="T84" s="2920"/>
      <c r="U84" s="2920"/>
      <c r="V84" s="2920"/>
      <c r="W84" s="2920"/>
      <c r="X84" s="2920"/>
      <c r="Y84" s="2920"/>
      <c r="Z84" s="2920"/>
      <c r="AA84" s="2920"/>
      <c r="AB84" s="2920"/>
      <c r="AC84" s="2920"/>
    </row>
    <row r="85" spans="1:29" ht="15.75" thickTop="1">
      <c r="A85" s="490"/>
      <c r="B85" s="494" t="s">
        <v>2459</v>
      </c>
      <c r="C85" s="534" t="s">
        <v>2358</v>
      </c>
      <c r="D85" s="534" t="s">
        <v>2359</v>
      </c>
      <c r="E85" s="534" t="s">
        <v>2360</v>
      </c>
      <c r="F85" s="534" t="s">
        <v>2361</v>
      </c>
      <c r="G85" s="534" t="s">
        <v>2362</v>
      </c>
      <c r="H85" s="495"/>
      <c r="I85" s="495"/>
      <c r="J85" s="495"/>
      <c r="K85" s="496"/>
      <c r="L85" s="497"/>
      <c r="M85" s="498"/>
      <c r="N85" s="2948"/>
      <c r="O85" s="2948"/>
      <c r="P85" s="2957"/>
      <c r="Q85" s="2934"/>
      <c r="R85" s="2920"/>
      <c r="S85" s="2920"/>
      <c r="T85" s="2920"/>
      <c r="U85" s="2920"/>
      <c r="V85" s="2920"/>
      <c r="W85" s="2920"/>
      <c r="X85" s="2920"/>
      <c r="Y85" s="2920"/>
      <c r="Z85" s="2920"/>
      <c r="AA85" s="2920"/>
      <c r="AB85" s="2920"/>
      <c r="AC85" s="292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9"/>
      <c r="O86" s="2949"/>
      <c r="P86" s="2957"/>
      <c r="Q86" s="2934"/>
      <c r="R86" s="2920"/>
      <c r="S86" s="2920"/>
      <c r="T86" s="2920"/>
      <c r="U86" s="2920"/>
      <c r="V86" s="2920"/>
      <c r="W86" s="2920"/>
      <c r="X86" s="2920"/>
      <c r="Y86" s="2920"/>
      <c r="Z86" s="2920"/>
      <c r="AA86" s="2920"/>
      <c r="AB86" s="2920"/>
      <c r="AC86" s="2920"/>
    </row>
    <row r="87" spans="1:29" s="113" customFormat="1" ht="27.75" thickTop="1">
      <c r="A87" s="535"/>
      <c r="B87" s="494" t="s">
        <v>2460</v>
      </c>
      <c r="C87" s="510"/>
      <c r="D87" s="510"/>
      <c r="E87" s="510"/>
      <c r="F87" s="510"/>
      <c r="G87" s="510"/>
      <c r="H87" s="510"/>
      <c r="I87" s="510"/>
      <c r="J87" s="510"/>
      <c r="K87" s="510"/>
      <c r="L87" s="536"/>
      <c r="M87" s="537"/>
      <c r="N87" s="2947"/>
      <c r="O87" s="2947"/>
      <c r="P87" s="2957"/>
      <c r="Q87" s="2934"/>
      <c r="R87" s="2854"/>
      <c r="S87" s="2854"/>
      <c r="T87" s="2854"/>
      <c r="U87" s="2854"/>
      <c r="V87" s="2854"/>
      <c r="W87" s="2854"/>
      <c r="X87" s="2854"/>
      <c r="Y87" s="2854"/>
      <c r="Z87" s="2854"/>
      <c r="AA87" s="2854"/>
      <c r="AB87" s="2854"/>
      <c r="AC87" s="285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5"/>
      <c r="B89" s="494" t="str">
        <f>B27</f>
        <v>楼层</v>
      </c>
      <c r="C89" s="510"/>
      <c r="D89" s="510"/>
      <c r="E89" s="510"/>
      <c r="F89" s="2079"/>
      <c r="G89" s="510"/>
      <c r="H89" s="510"/>
      <c r="I89" s="510"/>
      <c r="J89" s="510"/>
      <c r="K89" s="510"/>
      <c r="L89" s="510"/>
      <c r="M89" s="537"/>
      <c r="N89" s="2947"/>
      <c r="O89" s="2947"/>
      <c r="P89" s="2957"/>
      <c r="Q89" s="2934"/>
      <c r="R89" s="2854"/>
      <c r="S89" s="2854"/>
      <c r="T89" s="2854"/>
      <c r="U89" s="2854"/>
      <c r="V89" s="2854"/>
      <c r="W89" s="2854"/>
      <c r="X89" s="2854"/>
      <c r="Y89" s="2854"/>
      <c r="Z89" s="2854"/>
      <c r="AA89" s="2854"/>
      <c r="AB89" s="2854"/>
      <c r="AC89" s="285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49"/>
      <c r="O90" s="2949"/>
      <c r="P90" s="2957"/>
      <c r="Q90" s="2934"/>
      <c r="R90" s="2854"/>
      <c r="S90" s="2854"/>
      <c r="T90" s="2854"/>
      <c r="U90" s="2854"/>
      <c r="V90" s="2854"/>
      <c r="W90" s="2854"/>
      <c r="X90" s="2854"/>
      <c r="Y90" s="2854"/>
      <c r="Z90" s="2854"/>
      <c r="AA90" s="2854"/>
      <c r="AB90" s="2854"/>
      <c r="AC90" s="2854"/>
    </row>
    <row r="91" spans="1:29" s="429" customFormat="1" ht="15.75" thickTop="1">
      <c r="A91" s="509"/>
      <c r="B91" s="494" t="str">
        <f>B28</f>
        <v>朝向</v>
      </c>
      <c r="C91" s="510"/>
      <c r="D91" s="510"/>
      <c r="E91" s="510"/>
      <c r="F91" s="510"/>
      <c r="G91" s="510"/>
      <c r="H91" s="511"/>
      <c r="I91" s="511"/>
      <c r="J91" s="511"/>
      <c r="K91" s="511"/>
      <c r="L91" s="512"/>
      <c r="M91" s="513"/>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0"/>
      <c r="B93" s="494">
        <f>B29</f>
        <v>111</v>
      </c>
      <c r="C93" s="510"/>
      <c r="D93" s="510"/>
      <c r="E93" s="510"/>
      <c r="F93" s="510"/>
      <c r="G93" s="510"/>
      <c r="H93" s="510"/>
      <c r="I93" s="510"/>
      <c r="J93" s="510"/>
      <c r="K93" s="510"/>
      <c r="L93" s="536"/>
      <c r="M93" s="537"/>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16"/>
      <c r="D94" s="492"/>
      <c r="E94" s="492"/>
      <c r="F94" s="492"/>
      <c r="G94" s="492"/>
      <c r="H94" s="492"/>
      <c r="I94" s="492"/>
      <c r="J94" s="492"/>
      <c r="K94" s="492"/>
      <c r="L94" s="492"/>
      <c r="M94" s="493"/>
      <c r="N94" s="2949"/>
      <c r="O94" s="2949"/>
      <c r="P94" s="2957"/>
      <c r="Q94" s="2934"/>
      <c r="R94" s="2920"/>
      <c r="S94" s="2920"/>
      <c r="T94" s="2920"/>
      <c r="U94" s="2920"/>
      <c r="V94" s="2920"/>
      <c r="W94" s="2920"/>
      <c r="X94" s="2920"/>
      <c r="Y94" s="2920"/>
      <c r="Z94" s="2920"/>
      <c r="AA94" s="2920"/>
      <c r="AB94" s="2920"/>
      <c r="AC94" s="2920"/>
    </row>
    <row r="95" spans="1:29" ht="15.75" thickTop="1">
      <c r="A95" s="490"/>
      <c r="B95" s="494">
        <f>B30</f>
        <v>111</v>
      </c>
      <c r="C95" s="510"/>
      <c r="D95" s="510"/>
      <c r="E95" s="510"/>
      <c r="F95" s="510"/>
      <c r="G95" s="539"/>
      <c r="H95" s="539"/>
      <c r="I95" s="539"/>
      <c r="J95" s="539"/>
      <c r="K95" s="540"/>
      <c r="L95" s="541"/>
      <c r="M95" s="542"/>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16"/>
      <c r="D96" s="516"/>
      <c r="E96" s="516"/>
      <c r="F96" s="516"/>
      <c r="G96" s="492"/>
      <c r="H96" s="492"/>
      <c r="I96" s="492"/>
      <c r="J96" s="492"/>
      <c r="K96" s="492"/>
      <c r="L96" s="492"/>
      <c r="M96" s="493"/>
      <c r="N96" s="2949"/>
      <c r="O96" s="2949"/>
      <c r="P96" s="2957"/>
      <c r="Q96" s="2934"/>
      <c r="R96" s="2920"/>
      <c r="S96" s="2920"/>
      <c r="T96" s="2920"/>
      <c r="U96" s="2920"/>
      <c r="V96" s="2920"/>
      <c r="W96" s="2920"/>
      <c r="X96" s="2920"/>
      <c r="Y96" s="2920"/>
      <c r="Z96" s="2920"/>
      <c r="AA96" s="2920"/>
      <c r="AB96" s="2920"/>
      <c r="AC96" s="2920"/>
    </row>
    <row r="97" spans="1:29" ht="15.75" thickTop="1">
      <c r="A97" s="490"/>
      <c r="B97" s="494">
        <f>B31</f>
        <v>111</v>
      </c>
      <c r="C97" s="510"/>
      <c r="D97" s="510"/>
      <c r="E97" s="510"/>
      <c r="F97" s="510"/>
      <c r="G97" s="539"/>
      <c r="H97" s="539"/>
      <c r="I97" s="539"/>
      <c r="J97" s="539"/>
      <c r="K97" s="540"/>
      <c r="L97" s="541"/>
      <c r="M97" s="542"/>
      <c r="N97" s="2948"/>
      <c r="O97" s="2948"/>
      <c r="P97" s="2957"/>
      <c r="Q97" s="2934"/>
      <c r="R97" s="2920"/>
      <c r="S97" s="2920"/>
      <c r="T97" s="2920"/>
      <c r="U97" s="2920"/>
      <c r="V97" s="2920"/>
      <c r="W97" s="2920"/>
      <c r="X97" s="2920"/>
      <c r="Y97" s="2920"/>
      <c r="Z97" s="2920"/>
      <c r="AA97" s="2920"/>
      <c r="AB97" s="2920"/>
      <c r="AC97" s="2920"/>
    </row>
    <row r="98" spans="1:29" ht="15.75" thickBot="1">
      <c r="A98" s="490"/>
      <c r="B98" s="499"/>
      <c r="C98" s="516"/>
      <c r="D98" s="492"/>
      <c r="E98" s="492"/>
      <c r="F98" s="492"/>
      <c r="G98" s="492"/>
      <c r="H98" s="492"/>
      <c r="I98" s="492"/>
      <c r="J98" s="492"/>
      <c r="K98" s="492"/>
      <c r="L98" s="492"/>
      <c r="M98" s="493"/>
      <c r="N98" s="2949"/>
      <c r="O98" s="2949"/>
      <c r="P98" s="2957"/>
      <c r="Q98" s="2934"/>
      <c r="R98" s="2920"/>
      <c r="S98" s="2920"/>
      <c r="T98" s="2920"/>
      <c r="U98" s="2920"/>
      <c r="V98" s="2920"/>
      <c r="W98" s="2920"/>
      <c r="X98" s="2920"/>
      <c r="Y98" s="2920"/>
      <c r="Z98" s="2920"/>
      <c r="AA98" s="2920"/>
      <c r="AB98" s="2920"/>
      <c r="AC98" s="2920"/>
    </row>
    <row r="99" spans="1:29" ht="15.75" thickTop="1">
      <c r="A99" s="490"/>
      <c r="B99" s="502">
        <f>B32</f>
        <v>111</v>
      </c>
      <c r="C99" s="479"/>
      <c r="D99" s="479"/>
      <c r="E99" s="479"/>
      <c r="F99" s="479"/>
      <c r="G99" s="543"/>
      <c r="H99" s="543"/>
      <c r="I99" s="543"/>
      <c r="J99" s="543"/>
      <c r="K99" s="544"/>
      <c r="L99" s="545"/>
      <c r="M99" s="546"/>
      <c r="N99" s="2948"/>
      <c r="O99" s="2948"/>
      <c r="P99" s="2957"/>
      <c r="Q99" s="2934"/>
      <c r="R99" s="2920"/>
      <c r="S99" s="2920"/>
      <c r="T99" s="2920"/>
      <c r="U99" s="2920"/>
      <c r="V99" s="2920"/>
      <c r="W99" s="2920"/>
      <c r="X99" s="2920"/>
      <c r="Y99" s="2920"/>
      <c r="Z99" s="2920"/>
      <c r="AA99" s="2920"/>
      <c r="AB99" s="2920"/>
      <c r="AC99" s="2920"/>
    </row>
    <row r="100" spans="1:29" ht="15.75" thickBot="1">
      <c r="A100" s="2080"/>
      <c r="B100" s="525"/>
      <c r="C100" s="526"/>
      <c r="D100" s="526"/>
      <c r="E100" s="526"/>
      <c r="F100" s="526"/>
      <c r="G100" s="547"/>
      <c r="H100" s="547"/>
      <c r="I100" s="547"/>
      <c r="J100" s="547"/>
      <c r="K100" s="547"/>
      <c r="L100" s="547"/>
      <c r="M100" s="548"/>
      <c r="N100" s="2949"/>
      <c r="O100" s="2949"/>
      <c r="P100" s="2957"/>
      <c r="Q100" s="2934"/>
      <c r="R100" s="2920"/>
      <c r="S100" s="2920"/>
      <c r="T100" s="2920"/>
      <c r="U100" s="2920"/>
      <c r="V100" s="2920"/>
      <c r="W100" s="2920"/>
      <c r="X100" s="2920"/>
      <c r="Y100" s="2920"/>
      <c r="Z100" s="2920"/>
      <c r="AA100" s="2920"/>
      <c r="AB100" s="2920"/>
      <c r="AC100" s="2920"/>
    </row>
    <row r="101" spans="1:29">
      <c r="A101" s="483" t="s">
        <v>2324</v>
      </c>
      <c r="B101" s="484" t="s">
        <v>2373</v>
      </c>
      <c r="C101" s="486"/>
      <c r="D101" s="486"/>
      <c r="E101" s="486"/>
      <c r="F101" s="486"/>
      <c r="G101" s="486"/>
      <c r="H101" s="486"/>
      <c r="I101" s="486"/>
      <c r="J101" s="486"/>
      <c r="K101" s="487"/>
      <c r="L101" s="488"/>
      <c r="M101" s="489"/>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9" customFormat="1">
      <c r="A104" s="549"/>
      <c r="B104" s="550"/>
      <c r="C104" s="551"/>
      <c r="D104" s="551"/>
      <c r="E104" s="551"/>
      <c r="F104" s="551"/>
      <c r="G104" s="551"/>
      <c r="H104" s="551"/>
      <c r="I104" s="551"/>
      <c r="J104" s="552"/>
      <c r="K104" s="552"/>
      <c r="L104" s="553"/>
      <c r="M104" s="554"/>
      <c r="N104" s="2950"/>
      <c r="O104" s="2950"/>
      <c r="P104" s="2958"/>
      <c r="Q104" s="2941"/>
      <c r="R104" s="2942"/>
      <c r="S104" s="2942"/>
      <c r="T104" s="2942"/>
      <c r="U104" s="2942"/>
      <c r="V104" s="2942"/>
      <c r="W104" s="2942"/>
      <c r="X104" s="2942"/>
      <c r="Y104" s="2942"/>
      <c r="Z104" s="2942"/>
      <c r="AA104" s="2942"/>
      <c r="AB104" s="2942"/>
      <c r="AC104" s="2942"/>
    </row>
    <row r="105" spans="1:29" s="429" customFormat="1" ht="15.75" thickBot="1">
      <c r="A105" s="509"/>
      <c r="B105" s="499"/>
      <c r="C105" s="516"/>
      <c r="D105" s="492"/>
      <c r="E105" s="492"/>
      <c r="F105" s="492"/>
      <c r="G105" s="492"/>
      <c r="H105" s="492"/>
      <c r="I105" s="492"/>
      <c r="J105" s="492"/>
      <c r="K105" s="492"/>
      <c r="L105" s="492"/>
      <c r="M105" s="493"/>
      <c r="N105" s="2949"/>
      <c r="O105" s="2949"/>
      <c r="P105" s="2958"/>
      <c r="Q105" s="2941"/>
      <c r="R105" s="2942"/>
      <c r="S105" s="2942"/>
      <c r="T105" s="2942"/>
      <c r="U105" s="2942"/>
      <c r="V105" s="2942"/>
      <c r="W105" s="2942"/>
      <c r="X105" s="2942"/>
      <c r="Y105" s="2942"/>
      <c r="Z105" s="2942"/>
      <c r="AA105" s="2942"/>
      <c r="AB105" s="2942"/>
      <c r="AC105" s="2942"/>
    </row>
    <row r="106" spans="1:29" ht="15" thickTop="1">
      <c r="A106" s="555"/>
      <c r="B106" s="494" t="s">
        <v>2375</v>
      </c>
      <c r="C106" s="510"/>
      <c r="D106" s="510"/>
      <c r="E106" s="539"/>
      <c r="F106" s="539"/>
      <c r="G106" s="539"/>
      <c r="H106" s="539"/>
      <c r="I106" s="539"/>
      <c r="J106" s="539"/>
      <c r="K106" s="540"/>
      <c r="L106" s="541"/>
      <c r="M106" s="542"/>
      <c r="N106" s="2948"/>
      <c r="O106" s="2948"/>
      <c r="P106" s="2957"/>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5"/>
      <c r="B108" s="494" t="s">
        <v>2377</v>
      </c>
      <c r="C108" s="510"/>
      <c r="D108" s="510"/>
      <c r="E108" s="510"/>
      <c r="F108" s="539"/>
      <c r="G108" s="539"/>
      <c r="H108" s="539"/>
      <c r="I108" s="539"/>
      <c r="J108" s="539"/>
      <c r="K108" s="540"/>
      <c r="L108" s="541"/>
      <c r="M108" s="542"/>
      <c r="N108" s="2948"/>
      <c r="O108" s="2948"/>
      <c r="P108" s="2957"/>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8"/>
      <c r="O110" s="2948"/>
      <c r="P110" s="2957"/>
      <c r="Q110" s="2934"/>
      <c r="R110" s="2920"/>
      <c r="S110" s="2920"/>
      <c r="T110" s="2920"/>
      <c r="U110" s="2920"/>
      <c r="V110" s="2920"/>
      <c r="W110" s="2920"/>
      <c r="X110" s="2920"/>
      <c r="Y110" s="2920"/>
      <c r="Z110" s="2920"/>
      <c r="AA110" s="2920"/>
      <c r="AB110" s="2920"/>
      <c r="AC110" s="2920"/>
    </row>
    <row r="111" spans="1:29">
      <c r="A111" s="555"/>
      <c r="B111" s="502"/>
      <c r="C111" s="559">
        <v>0.5</v>
      </c>
      <c r="D111" s="559">
        <v>0.6</v>
      </c>
      <c r="E111" s="559">
        <v>0.7</v>
      </c>
      <c r="F111" s="559">
        <v>0.8</v>
      </c>
      <c r="G111" s="559">
        <v>0.9</v>
      </c>
      <c r="H111" s="559">
        <v>1.0001</v>
      </c>
      <c r="I111" s="578"/>
      <c r="J111" s="578"/>
      <c r="K111" s="579"/>
      <c r="L111" s="580"/>
      <c r="M111" s="581"/>
      <c r="N111" s="2948"/>
      <c r="O111" s="2948"/>
      <c r="P111" s="2957"/>
      <c r="Q111" s="2934"/>
      <c r="R111" s="2920"/>
      <c r="S111" s="2920"/>
      <c r="T111" s="2920"/>
      <c r="U111" s="2920"/>
      <c r="V111" s="2920"/>
      <c r="W111" s="2920"/>
      <c r="X111" s="2920"/>
      <c r="Y111" s="2920"/>
      <c r="Z111" s="2920"/>
      <c r="AA111" s="2920"/>
      <c r="AB111" s="2920"/>
      <c r="AC111" s="292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9"/>
      <c r="O112" s="2949"/>
      <c r="P112" s="2957"/>
      <c r="Q112" s="2934"/>
      <c r="R112" s="2920"/>
      <c r="S112" s="2920"/>
      <c r="T112" s="2920"/>
      <c r="U112" s="2920"/>
      <c r="V112" s="2920"/>
      <c r="W112" s="2920"/>
      <c r="X112" s="2920"/>
      <c r="Y112" s="2920"/>
      <c r="Z112" s="2920"/>
      <c r="AA112" s="2920"/>
      <c r="AB112" s="2920"/>
      <c r="AC112" s="2920"/>
    </row>
    <row r="113" spans="1:29" s="429" customFormat="1" ht="15" thickTop="1">
      <c r="A113" s="549"/>
      <c r="B113" s="494" t="s">
        <v>2461</v>
      </c>
      <c r="C113" s="510"/>
      <c r="D113" s="510"/>
      <c r="E113" s="510"/>
      <c r="F113" s="510"/>
      <c r="G113" s="510"/>
      <c r="H113" s="539"/>
      <c r="I113" s="539"/>
      <c r="J113" s="539"/>
      <c r="K113" s="540"/>
      <c r="L113" s="541"/>
      <c r="M113" s="542"/>
      <c r="N113" s="2950"/>
      <c r="O113" s="2950"/>
      <c r="P113" s="2958"/>
      <c r="Q113" s="2941"/>
      <c r="R113" s="2942"/>
      <c r="S113" s="2942"/>
      <c r="T113" s="2942"/>
      <c r="U113" s="2942"/>
      <c r="V113" s="2942"/>
      <c r="W113" s="2942"/>
      <c r="X113" s="2942"/>
      <c r="Y113" s="2942"/>
      <c r="Z113" s="2942"/>
      <c r="AA113" s="2942"/>
      <c r="AB113" s="2942"/>
      <c r="AC113" s="294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5"/>
      <c r="B115" s="494" t="s">
        <v>2378</v>
      </c>
      <c r="C115" s="510"/>
      <c r="D115" s="510"/>
      <c r="E115" s="539"/>
      <c r="F115" s="539"/>
      <c r="G115" s="539"/>
      <c r="H115" s="539"/>
      <c r="I115" s="539"/>
      <c r="J115" s="539"/>
      <c r="K115" s="540"/>
      <c r="L115" s="541"/>
      <c r="M115" s="542"/>
      <c r="N115" s="2948"/>
      <c r="O115" s="2948"/>
      <c r="P115" s="2957"/>
      <c r="Q115" s="2934"/>
      <c r="R115" s="2920"/>
      <c r="S115" s="2920"/>
      <c r="T115" s="2920"/>
      <c r="U115" s="2920"/>
      <c r="V115" s="2920"/>
      <c r="W115" s="2920"/>
      <c r="X115" s="2920"/>
      <c r="Y115" s="2920"/>
      <c r="Z115" s="2920"/>
      <c r="AA115" s="2920"/>
      <c r="AB115" s="2920"/>
      <c r="AC115" s="292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5"/>
      <c r="B117" s="494" t="s">
        <v>2379</v>
      </c>
      <c r="C117" s="510"/>
      <c r="D117" s="510"/>
      <c r="E117" s="510"/>
      <c r="F117" s="510"/>
      <c r="G117" s="510"/>
      <c r="H117" s="539"/>
      <c r="I117" s="539"/>
      <c r="J117" s="539"/>
      <c r="K117" s="540"/>
      <c r="L117" s="541"/>
      <c r="M117" s="542"/>
      <c r="N117" s="2948"/>
      <c r="O117" s="2948"/>
      <c r="P117" s="2957"/>
      <c r="Q117" s="2934"/>
      <c r="R117" s="2920"/>
      <c r="S117" s="2920"/>
      <c r="T117" s="2920"/>
      <c r="U117" s="2920"/>
      <c r="V117" s="2920"/>
      <c r="W117" s="2920"/>
      <c r="X117" s="2920"/>
      <c r="Y117" s="2920"/>
      <c r="Z117" s="2920"/>
      <c r="AA117" s="2920"/>
      <c r="AB117" s="2920"/>
      <c r="AC117" s="292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9"/>
      <c r="O118" s="2949"/>
      <c r="P118" s="2957"/>
      <c r="Q118" s="2934"/>
      <c r="R118" s="2920"/>
      <c r="S118" s="2920"/>
      <c r="T118" s="2920"/>
      <c r="U118" s="2920"/>
      <c r="V118" s="2920"/>
      <c r="W118" s="2920"/>
      <c r="X118" s="2920"/>
      <c r="Y118" s="2920"/>
      <c r="Z118" s="2920"/>
      <c r="AA118" s="2920"/>
      <c r="AB118" s="2920"/>
      <c r="AC118" s="2920"/>
    </row>
    <row r="119" spans="1:29" ht="15" thickTop="1">
      <c r="A119" s="555"/>
      <c r="B119" s="591" t="s">
        <v>2462</v>
      </c>
      <c r="C119" s="539"/>
      <c r="D119" s="539"/>
      <c r="E119" s="539"/>
      <c r="F119" s="539"/>
      <c r="G119" s="539"/>
      <c r="H119" s="539"/>
      <c r="I119" s="539"/>
      <c r="J119" s="539"/>
      <c r="K119" s="539"/>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9"/>
      <c r="O120" s="2949"/>
      <c r="P120" s="2957"/>
      <c r="Q120" s="2934"/>
      <c r="R120" s="2920"/>
      <c r="S120" s="2920"/>
      <c r="T120" s="2920"/>
      <c r="U120" s="2920"/>
      <c r="V120" s="2920"/>
      <c r="W120" s="2920"/>
      <c r="X120" s="2920"/>
      <c r="Y120" s="2920"/>
      <c r="Z120" s="2920"/>
      <c r="AA120" s="2920"/>
      <c r="AB120" s="2920"/>
      <c r="AC120" s="2920"/>
    </row>
    <row r="121" spans="1:29" s="429" customFormat="1" ht="15" thickTop="1">
      <c r="A121" s="549"/>
      <c r="B121" s="494" t="s">
        <v>2445</v>
      </c>
      <c r="C121" s="510"/>
      <c r="D121" s="510"/>
      <c r="E121" s="510"/>
      <c r="F121" s="539"/>
      <c r="G121" s="511"/>
      <c r="H121" s="511"/>
      <c r="I121" s="511"/>
      <c r="J121" s="511"/>
      <c r="K121" s="511"/>
      <c r="L121" s="512"/>
      <c r="M121" s="513"/>
      <c r="N121" s="2950"/>
      <c r="O121" s="2950"/>
      <c r="P121" s="2958"/>
      <c r="Q121" s="2941"/>
      <c r="R121" s="2942"/>
      <c r="S121" s="2942"/>
      <c r="T121" s="2942"/>
      <c r="U121" s="2942"/>
      <c r="V121" s="2942"/>
      <c r="W121" s="2942"/>
      <c r="X121" s="2942"/>
      <c r="Y121" s="2942"/>
      <c r="Z121" s="2942"/>
      <c r="AA121" s="2942"/>
      <c r="AB121" s="2942"/>
      <c r="AC121" s="2942"/>
    </row>
    <row r="122" spans="1:29" s="429" customFormat="1" ht="15.75" thickBot="1">
      <c r="A122" s="509"/>
      <c r="B122" s="491"/>
      <c r="C122" s="516"/>
      <c r="D122" s="516"/>
      <c r="E122" s="516"/>
      <c r="F122" s="516"/>
      <c r="G122" s="516"/>
      <c r="H122" s="516"/>
      <c r="I122" s="516"/>
      <c r="J122" s="516"/>
      <c r="K122" s="516"/>
      <c r="L122" s="516"/>
      <c r="M122" s="516"/>
      <c r="N122" s="2950"/>
      <c r="O122" s="2950"/>
      <c r="P122" s="2958"/>
      <c r="Q122" s="2941"/>
      <c r="R122" s="2942"/>
      <c r="S122" s="2942"/>
      <c r="T122" s="2942"/>
      <c r="U122" s="2942"/>
      <c r="V122" s="2942"/>
      <c r="W122" s="2942"/>
      <c r="X122" s="2942"/>
      <c r="Y122" s="2942"/>
      <c r="Z122" s="2942"/>
      <c r="AA122" s="2942"/>
      <c r="AB122" s="2942"/>
      <c r="AC122" s="2942"/>
    </row>
    <row r="123" spans="1:29" ht="15" thickTop="1">
      <c r="A123" s="555"/>
      <c r="B123" s="494" t="s">
        <v>2381</v>
      </c>
      <c r="C123" s="510"/>
      <c r="D123" s="510"/>
      <c r="E123" s="510"/>
      <c r="F123" s="539"/>
      <c r="G123" s="539"/>
      <c r="H123" s="539"/>
      <c r="I123" s="539"/>
      <c r="J123" s="539"/>
      <c r="K123" s="540"/>
      <c r="L123" s="541"/>
      <c r="M123" s="542"/>
      <c r="N123" s="2948"/>
      <c r="O123" s="2948"/>
      <c r="P123" s="2957"/>
      <c r="Q123" s="2934"/>
      <c r="R123" s="2920"/>
      <c r="S123" s="2920"/>
      <c r="T123" s="2920"/>
      <c r="U123" s="2920"/>
      <c r="V123" s="2920"/>
      <c r="W123" s="2920"/>
      <c r="X123" s="2920"/>
      <c r="Y123" s="2920"/>
      <c r="Z123" s="2920"/>
      <c r="AA123" s="2920"/>
      <c r="AB123" s="2920"/>
      <c r="AC123" s="292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8"/>
      <c r="O125" s="2948"/>
      <c r="P125" s="2958"/>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9"/>
      <c r="O126" s="2949"/>
      <c r="P126" s="2957"/>
      <c r="Q126" s="2934"/>
      <c r="R126" s="2920"/>
      <c r="S126" s="2920"/>
      <c r="T126" s="2920"/>
      <c r="U126" s="2920"/>
      <c r="V126" s="2920"/>
      <c r="W126" s="2920"/>
      <c r="X126" s="2920"/>
      <c r="Y126" s="2920"/>
      <c r="Z126" s="2920"/>
      <c r="AA126" s="2920"/>
      <c r="AB126" s="2920"/>
      <c r="AC126" s="2920"/>
    </row>
    <row r="127" spans="1:29" s="429" customFormat="1" ht="15" thickTop="1">
      <c r="A127" s="549"/>
      <c r="B127" s="494">
        <f>B45</f>
        <v>111</v>
      </c>
      <c r="C127" s="510"/>
      <c r="D127" s="510"/>
      <c r="E127" s="510"/>
      <c r="F127" s="510"/>
      <c r="G127" s="510"/>
      <c r="H127" s="511"/>
      <c r="I127" s="511"/>
      <c r="J127" s="511"/>
      <c r="K127" s="511"/>
      <c r="L127" s="512"/>
      <c r="M127" s="513"/>
      <c r="N127" s="2950"/>
      <c r="O127" s="2950"/>
      <c r="P127" s="2958"/>
      <c r="Q127" s="2941"/>
      <c r="R127" s="2942"/>
      <c r="S127" s="2942"/>
      <c r="T127" s="2942"/>
      <c r="U127" s="2942"/>
      <c r="V127" s="2942"/>
      <c r="W127" s="2942"/>
      <c r="X127" s="2942"/>
      <c r="Y127" s="2942"/>
      <c r="Z127" s="2942"/>
      <c r="AA127" s="2942"/>
      <c r="AB127" s="2942"/>
      <c r="AC127" s="2942"/>
    </row>
    <row r="128" spans="1:29" s="429" customFormat="1" ht="15.75" thickBot="1">
      <c r="A128" s="509"/>
      <c r="B128" s="499"/>
      <c r="C128" s="516"/>
      <c r="D128" s="492"/>
      <c r="E128" s="492"/>
      <c r="F128" s="492"/>
      <c r="G128" s="516"/>
      <c r="H128" s="518"/>
      <c r="I128" s="518"/>
      <c r="J128" s="518"/>
      <c r="K128" s="518"/>
      <c r="L128" s="518"/>
      <c r="M128" s="519"/>
      <c r="N128" s="2950"/>
      <c r="O128" s="2950"/>
      <c r="P128" s="2958"/>
      <c r="Q128" s="2941"/>
      <c r="R128" s="2942"/>
      <c r="S128" s="2942"/>
      <c r="T128" s="2942"/>
      <c r="U128" s="2942"/>
      <c r="V128" s="2942"/>
      <c r="W128" s="2942"/>
      <c r="X128" s="2942"/>
      <c r="Y128" s="2942"/>
      <c r="Z128" s="2942"/>
      <c r="AA128" s="2942"/>
      <c r="AB128" s="2942"/>
      <c r="AC128" s="2942"/>
    </row>
    <row r="129" spans="1:29" ht="15" thickTop="1">
      <c r="A129" s="555"/>
      <c r="B129" s="494">
        <f>B46</f>
        <v>111</v>
      </c>
      <c r="C129" s="510"/>
      <c r="D129" s="510"/>
      <c r="E129" s="510"/>
      <c r="F129" s="510"/>
      <c r="G129" s="539"/>
      <c r="H129" s="539"/>
      <c r="I129" s="539"/>
      <c r="J129" s="539"/>
      <c r="K129" s="540"/>
      <c r="L129" s="541"/>
      <c r="M129" s="542"/>
      <c r="N129" s="2948"/>
      <c r="O129" s="2948"/>
      <c r="P129" s="2957"/>
      <c r="Q129" s="2934"/>
      <c r="R129" s="2920"/>
      <c r="S129" s="2920"/>
      <c r="T129" s="2920"/>
      <c r="U129" s="2920"/>
      <c r="V129" s="2920"/>
      <c r="W129" s="2920"/>
      <c r="X129" s="2920"/>
      <c r="Y129" s="2920"/>
      <c r="Z129" s="2920"/>
      <c r="AA129" s="2920"/>
      <c r="AB129" s="2920"/>
      <c r="AC129" s="2920"/>
    </row>
    <row r="130" spans="1:29" ht="15.75" thickBot="1">
      <c r="A130" s="490"/>
      <c r="B130" s="499"/>
      <c r="C130" s="516"/>
      <c r="D130" s="516"/>
      <c r="E130" s="516"/>
      <c r="F130" s="516"/>
      <c r="G130" s="492"/>
      <c r="H130" s="492"/>
      <c r="I130" s="492"/>
      <c r="J130" s="492"/>
      <c r="K130" s="492"/>
      <c r="L130" s="492"/>
      <c r="M130" s="493"/>
      <c r="N130" s="2949"/>
      <c r="O130" s="2949"/>
      <c r="P130" s="2957"/>
      <c r="Q130" s="2934"/>
      <c r="R130" s="2920"/>
      <c r="S130" s="2920"/>
      <c r="T130" s="2920"/>
      <c r="U130" s="2920"/>
      <c r="V130" s="2920"/>
      <c r="W130" s="2920"/>
      <c r="X130" s="2920"/>
      <c r="Y130" s="2920"/>
      <c r="Z130" s="2920"/>
      <c r="AA130" s="2920"/>
      <c r="AB130" s="2920"/>
      <c r="AC130" s="2920"/>
    </row>
    <row r="131" spans="1:29" ht="15" thickTop="1">
      <c r="A131" s="555"/>
      <c r="B131" s="502">
        <f>B47</f>
        <v>111</v>
      </c>
      <c r="C131" s="479"/>
      <c r="D131" s="479"/>
      <c r="E131" s="479"/>
      <c r="F131" s="479"/>
      <c r="G131" s="543"/>
      <c r="H131" s="543"/>
      <c r="I131" s="543"/>
      <c r="J131" s="543"/>
      <c r="K131" s="479"/>
      <c r="L131" s="480"/>
      <c r="M131" s="546"/>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5"/>
      <c r="C132" s="526"/>
      <c r="D132" s="526"/>
      <c r="E132" s="526"/>
      <c r="F132" s="526"/>
      <c r="G132" s="547"/>
      <c r="H132" s="547"/>
      <c r="I132" s="547"/>
      <c r="J132" s="547"/>
      <c r="K132" s="547"/>
      <c r="L132" s="547"/>
      <c r="M132" s="548"/>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 type="list" allowBlank="1" showInputMessage="1" showErrorMessage="1" sqref="D49"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2463</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IF(C2="——",ROUND(C43*D3/10000,0),ROUND(C43*D3/10000,0)-D2)</f>
        <v>#DIV/0!</v>
      </c>
      <c r="C2" s="2033"/>
      <c r="D2" s="1036" t="e">
        <f ca="1">SUMIF(INDIRECT("'"&amp;F2&amp;"'"&amp;"!A:A"),"承租人权益价值",INDIRECT("'"&amp;F2&amp;"'"&amp;"!c:c"))</f>
        <v>#REF!</v>
      </c>
      <c r="E2" s="2034" t="s">
        <v>2089</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683.55</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1042"/>
      <c r="M4" s="1043"/>
      <c r="N4" s="1043"/>
      <c r="O4" s="1043"/>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1042"/>
      <c r="M5" s="1043"/>
      <c r="N5" s="1043"/>
      <c r="O5" s="1043"/>
      <c r="P5" s="3641"/>
      <c r="Q5" s="3642"/>
      <c r="R5" s="3647"/>
      <c r="S5" s="3648"/>
      <c r="T5" s="3647"/>
      <c r="U5" s="3648"/>
      <c r="V5" s="3630"/>
      <c r="W5" s="3630"/>
      <c r="X5" s="1506"/>
      <c r="Y5" s="3647"/>
      <c r="Z5" s="3648"/>
      <c r="AA5" s="3633"/>
      <c r="AB5" s="3633"/>
      <c r="AC5" s="3633"/>
    </row>
    <row r="6" spans="1:29" ht="15.75" thickBot="1">
      <c r="A6" s="365"/>
      <c r="B6" s="366"/>
      <c r="C6" s="3651" t="s">
        <v>2307</v>
      </c>
      <c r="D6" s="3652"/>
      <c r="E6" s="3660" t="s">
        <v>2307</v>
      </c>
      <c r="F6" s="3661"/>
      <c r="G6" s="3651" t="s">
        <v>2307</v>
      </c>
      <c r="H6" s="3652"/>
      <c r="I6" s="3651" t="s">
        <v>2307</v>
      </c>
      <c r="J6" s="3652"/>
      <c r="K6" s="566" t="s">
        <v>2308</v>
      </c>
      <c r="L6" s="1042"/>
      <c r="M6" s="1043"/>
      <c r="N6" s="1043"/>
      <c r="O6" s="1043"/>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44762</v>
      </c>
      <c r="D7" s="370">
        <v>100</v>
      </c>
      <c r="E7" s="371"/>
      <c r="F7" s="372">
        <f>SUMIF(52:52,YEAR(E7)&amp;"-"&amp;MONTH(E7),53:53)</f>
        <v>0</v>
      </c>
      <c r="G7" s="371"/>
      <c r="H7" s="370">
        <f>SUMIF(52:52,YEAR(G7)&amp;"-"&amp;MONTH(G7),53:53)</f>
        <v>0</v>
      </c>
      <c r="I7" s="371"/>
      <c r="J7" s="370">
        <f>SUMIF(52:52,YEAR(I7)&amp;"-"&amp;MONTH(I7),53:53)</f>
        <v>0</v>
      </c>
      <c r="K7" s="567"/>
      <c r="L7" s="1044"/>
      <c r="M7" s="1045"/>
      <c r="N7" s="1045"/>
      <c r="O7" s="1045"/>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655" t="s">
        <v>2313</v>
      </c>
      <c r="Q8" s="3656"/>
      <c r="R8" s="708" t="s">
        <v>17</v>
      </c>
      <c r="S8" s="709">
        <f t="shared" si="0"/>
        <v>0</v>
      </c>
      <c r="T8" s="708" t="s">
        <v>17</v>
      </c>
      <c r="U8" s="709">
        <f t="shared" si="1"/>
        <v>0</v>
      </c>
      <c r="V8" s="708" t="s">
        <v>17</v>
      </c>
      <c r="W8" s="709">
        <f t="shared" si="2"/>
        <v>0</v>
      </c>
      <c r="X8" s="710"/>
      <c r="Y8" s="3655" t="s">
        <v>2313</v>
      </c>
      <c r="Z8" s="3656"/>
      <c r="AA8" s="711" t="e">
        <f t="shared" ref="AA8:AA40" si="3">D8/F8</f>
        <v>#DIV/0!</v>
      </c>
      <c r="AB8" s="711" t="e">
        <f t="shared" ref="AB8:AB40" si="4">D8/H8</f>
        <v>#DIV/0!</v>
      </c>
      <c r="AC8" s="711"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4"/>
      <c r="M9" s="1045"/>
      <c r="N9" s="1045"/>
      <c r="O9" s="1046"/>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7"/>
      <c r="M10" s="1048"/>
      <c r="N10" s="1048"/>
      <c r="O10" s="1049"/>
      <c r="P10" s="3616"/>
      <c r="Q10" s="1494" t="str">
        <f t="shared" si="6"/>
        <v>土地使用年限（年）</v>
      </c>
      <c r="R10" s="708" t="s">
        <v>17</v>
      </c>
      <c r="S10" s="709">
        <f t="shared" si="0"/>
        <v>100</v>
      </c>
      <c r="T10" s="708" t="s">
        <v>17</v>
      </c>
      <c r="U10" s="709">
        <f t="shared" si="1"/>
        <v>100</v>
      </c>
      <c r="V10" s="708" t="s">
        <v>17</v>
      </c>
      <c r="W10" s="709">
        <f t="shared" si="2"/>
        <v>100</v>
      </c>
      <c r="X10" s="710"/>
      <c r="Y10" s="3520"/>
      <c r="Z10" s="55" t="str">
        <f t="shared" si="7"/>
        <v>土地使用年限（年）</v>
      </c>
      <c r="AA10" s="711">
        <f t="shared" si="3"/>
        <v>1</v>
      </c>
      <c r="AB10" s="711">
        <f t="shared" si="4"/>
        <v>1</v>
      </c>
      <c r="AC10" s="711">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0"/>
      <c r="M11" s="1043"/>
      <c r="N11" s="1043"/>
      <c r="O11" s="1051"/>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392"/>
      <c r="F12" s="132">
        <f>SUMIF(64:64,E12,65:65)-SUMIF(64:64,C12,65:65)+100</f>
        <v>100</v>
      </c>
      <c r="G12" s="2122"/>
      <c r="H12" s="132">
        <f>SUMIF(64:64,G12,65:65)-SUMIF(64:64,C12,65:65)+100</f>
        <v>100</v>
      </c>
      <c r="I12" s="427"/>
      <c r="J12" s="132">
        <f>SUMIF(64:64,I12,65:65)-SUMIF(64:64,C12,65:65)+100</f>
        <v>100</v>
      </c>
      <c r="K12" s="569"/>
      <c r="L12" s="1044"/>
      <c r="M12" s="1045"/>
      <c r="N12" s="1045"/>
      <c r="O12" s="1046"/>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c r="A13" s="386"/>
      <c r="B13" s="2045">
        <v>111</v>
      </c>
      <c r="C13" s="392"/>
      <c r="D13" s="393">
        <v>100</v>
      </c>
      <c r="E13" s="392"/>
      <c r="F13" s="132">
        <f>SUMIF(66:66,E13,67:67)-SUMIF(66:66,C13,67:67)+100</f>
        <v>100</v>
      </c>
      <c r="G13" s="2122"/>
      <c r="H13" s="393">
        <f>SUMIF(66:66,G13,67:67)-SUMIF(66:66,C13,67:67)+100</f>
        <v>100</v>
      </c>
      <c r="I13" s="427"/>
      <c r="J13" s="393">
        <f>SUMIF(66:66,I13,67:67)-SUMIF(66:66,C13,67:67)+100</f>
        <v>100</v>
      </c>
      <c r="K13" s="569"/>
      <c r="L13" s="1052"/>
      <c r="M13" s="1043"/>
      <c r="N13" s="1043"/>
      <c r="O13" s="1051"/>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623" t="s">
        <v>2321</v>
      </c>
      <c r="Q15" s="1503" t="str">
        <f t="shared" si="6"/>
        <v>产业集聚程度</v>
      </c>
      <c r="R15" s="712" t="s">
        <v>17</v>
      </c>
      <c r="S15" s="713">
        <f t="shared" si="0"/>
        <v>100</v>
      </c>
      <c r="T15" s="712" t="s">
        <v>17</v>
      </c>
      <c r="U15" s="713">
        <f t="shared" si="1"/>
        <v>100</v>
      </c>
      <c r="V15" s="712" t="s">
        <v>17</v>
      </c>
      <c r="W15" s="713">
        <f t="shared" si="2"/>
        <v>100</v>
      </c>
      <c r="X15" s="1506"/>
      <c r="Y15" s="3623" t="s">
        <v>2321</v>
      </c>
      <c r="Z15" s="1507" t="str">
        <f t="shared" si="7"/>
        <v>产业集聚程度</v>
      </c>
      <c r="AA15" s="1504">
        <f t="shared" si="3"/>
        <v>1</v>
      </c>
      <c r="AB15" s="1504">
        <f t="shared" si="4"/>
        <v>1</v>
      </c>
      <c r="AC15" s="1504">
        <f t="shared" si="5"/>
        <v>1</v>
      </c>
    </row>
    <row r="16" spans="1:29" ht="15">
      <c r="A16" s="386"/>
      <c r="B16" s="404"/>
      <c r="C16" s="405"/>
      <c r="D16" s="406"/>
      <c r="E16" s="405"/>
      <c r="F16" s="407"/>
      <c r="G16" s="405"/>
      <c r="H16" s="408"/>
      <c r="I16" s="405"/>
      <c r="J16" s="406"/>
      <c r="K16" s="571"/>
      <c r="L16" s="1052"/>
      <c r="M16" s="1043"/>
      <c r="N16" s="1043"/>
      <c r="O16" s="1051"/>
      <c r="P16" s="3624"/>
      <c r="Q16" s="1503"/>
      <c r="R16" s="712"/>
      <c r="S16" s="713"/>
      <c r="T16" s="712"/>
      <c r="U16" s="713"/>
      <c r="V16" s="712"/>
      <c r="W16" s="713"/>
      <c r="X16" s="1506"/>
      <c r="Y16" s="3624"/>
      <c r="Z16" s="1507"/>
      <c r="AA16" s="1504">
        <v>1</v>
      </c>
      <c r="AB16" s="1504">
        <v>1</v>
      </c>
      <c r="AC16" s="1504">
        <v>1</v>
      </c>
    </row>
    <row r="17" spans="1:29" ht="85.5">
      <c r="A17" s="386"/>
      <c r="B17" s="409" t="s">
        <v>1885</v>
      </c>
      <c r="C17" s="205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624"/>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414"/>
      <c r="C18" s="2053"/>
      <c r="D18" s="408"/>
      <c r="E18" s="2055"/>
      <c r="F18" s="411"/>
      <c r="G18" s="2054"/>
      <c r="H18" s="406"/>
      <c r="I18" s="2055"/>
      <c r="J18" s="406"/>
      <c r="K18" s="571"/>
      <c r="L18" s="1052"/>
      <c r="M18" s="1043"/>
      <c r="N18" s="1043"/>
      <c r="O18" s="1051"/>
      <c r="P18" s="3624"/>
      <c r="Q18" s="1503"/>
      <c r="R18" s="712"/>
      <c r="S18" s="713"/>
      <c r="T18" s="712"/>
      <c r="U18" s="713"/>
      <c r="V18" s="712"/>
      <c r="W18" s="713"/>
      <c r="X18" s="1506"/>
      <c r="Y18" s="3624"/>
      <c r="Z18" s="1507"/>
      <c r="AA18" s="1504">
        <v>1</v>
      </c>
      <c r="AB18" s="1504">
        <v>1</v>
      </c>
      <c r="AC18" s="1504">
        <v>1</v>
      </c>
    </row>
    <row r="19" spans="1:29" ht="42.75">
      <c r="A19" s="386"/>
      <c r="B19" s="409" t="s">
        <v>2449</v>
      </c>
      <c r="C19" s="205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624"/>
      <c r="Q19" s="1503" t="str">
        <f>B19</f>
        <v>公共配套设施</v>
      </c>
      <c r="R19" s="712" t="s">
        <v>17</v>
      </c>
      <c r="S19" s="713">
        <f>F19</f>
        <v>100</v>
      </c>
      <c r="T19" s="712" t="s">
        <v>17</v>
      </c>
      <c r="U19" s="713">
        <f>H19</f>
        <v>100</v>
      </c>
      <c r="V19" s="712" t="s">
        <v>17</v>
      </c>
      <c r="W19" s="713">
        <f>J19</f>
        <v>100</v>
      </c>
      <c r="X19" s="1506"/>
      <c r="Y19" s="3624"/>
      <c r="Z19" s="1507" t="str">
        <f>Q19</f>
        <v>公共配套设施</v>
      </c>
      <c r="AA19" s="1504">
        <f t="shared" si="3"/>
        <v>1</v>
      </c>
      <c r="AB19" s="1504">
        <f t="shared" si="4"/>
        <v>1</v>
      </c>
      <c r="AC19" s="1504">
        <f t="shared" si="5"/>
        <v>1</v>
      </c>
    </row>
    <row r="20" spans="1:29" ht="15">
      <c r="A20" s="386"/>
      <c r="B20" s="414"/>
      <c r="C20" s="405"/>
      <c r="D20" s="406"/>
      <c r="E20" s="2050"/>
      <c r="F20" s="407"/>
      <c r="G20" s="2049"/>
      <c r="H20" s="406"/>
      <c r="I20" s="2050"/>
      <c r="J20" s="406"/>
      <c r="K20" s="571"/>
      <c r="L20" s="1052"/>
      <c r="M20" s="1043"/>
      <c r="N20" s="1043"/>
      <c r="O20" s="1051"/>
      <c r="P20" s="3624"/>
      <c r="Q20" s="1503"/>
      <c r="R20" s="712"/>
      <c r="S20" s="713"/>
      <c r="T20" s="712"/>
      <c r="U20" s="713"/>
      <c r="V20" s="712"/>
      <c r="W20" s="713"/>
      <c r="X20" s="1506"/>
      <c r="Y20" s="3624"/>
      <c r="Z20" s="1507"/>
      <c r="AA20" s="1504">
        <v>1</v>
      </c>
      <c r="AB20" s="1504">
        <v>1</v>
      </c>
      <c r="AC20" s="1504">
        <v>1</v>
      </c>
    </row>
    <row r="21" spans="1:29" ht="28.5">
      <c r="A21" s="386"/>
      <c r="B21" s="1262" t="s">
        <v>2450</v>
      </c>
      <c r="C21" s="205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624"/>
      <c r="Q21" s="1503" t="str">
        <f>B21</f>
        <v>基础设施水平</v>
      </c>
      <c r="R21" s="712" t="s">
        <v>17</v>
      </c>
      <c r="S21" s="713">
        <f>F21</f>
        <v>100</v>
      </c>
      <c r="T21" s="712" t="s">
        <v>17</v>
      </c>
      <c r="U21" s="713">
        <f>H21</f>
        <v>100</v>
      </c>
      <c r="V21" s="712" t="s">
        <v>17</v>
      </c>
      <c r="W21" s="713">
        <f>J21</f>
        <v>100</v>
      </c>
      <c r="X21" s="1506"/>
      <c r="Y21" s="3624"/>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7"/>
      <c r="G22" s="405"/>
      <c r="H22" s="406"/>
      <c r="I22" s="405"/>
      <c r="J22" s="406"/>
      <c r="K22" s="1261"/>
      <c r="L22" s="1052"/>
      <c r="M22" s="1043"/>
      <c r="N22" s="1043"/>
      <c r="O22" s="1051"/>
      <c r="P22" s="3624"/>
      <c r="Q22" s="1503"/>
      <c r="R22" s="712"/>
      <c r="S22" s="713"/>
      <c r="T22" s="712"/>
      <c r="U22" s="713"/>
      <c r="V22" s="712"/>
      <c r="W22" s="713"/>
      <c r="X22" s="1506"/>
      <c r="Y22" s="3624"/>
      <c r="Z22" s="1507"/>
      <c r="AA22" s="1504">
        <v>1</v>
      </c>
      <c r="AB22" s="1504">
        <v>1</v>
      </c>
      <c r="AC22" s="1504">
        <v>1</v>
      </c>
    </row>
    <row r="23" spans="1:29" ht="71.25">
      <c r="A23" s="386"/>
      <c r="B23" s="409" t="s">
        <v>2451</v>
      </c>
      <c r="C23" s="205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624"/>
      <c r="Q23" s="1503" t="str">
        <f>B23</f>
        <v>环境质量</v>
      </c>
      <c r="R23" s="712" t="s">
        <v>17</v>
      </c>
      <c r="S23" s="713">
        <f>F23</f>
        <v>100</v>
      </c>
      <c r="T23" s="712" t="s">
        <v>17</v>
      </c>
      <c r="U23" s="713">
        <f>H23</f>
        <v>100</v>
      </c>
      <c r="V23" s="712" t="s">
        <v>17</v>
      </c>
      <c r="W23" s="713">
        <f>J23</f>
        <v>100</v>
      </c>
      <c r="X23" s="1506"/>
      <c r="Y23" s="3624"/>
      <c r="Z23" s="1507" t="str">
        <f>Q23</f>
        <v>环境质量</v>
      </c>
      <c r="AA23" s="1504">
        <f t="shared" si="3"/>
        <v>1</v>
      </c>
      <c r="AB23" s="1504">
        <f t="shared" si="4"/>
        <v>1</v>
      </c>
      <c r="AC23" s="1504">
        <f t="shared" si="5"/>
        <v>1</v>
      </c>
    </row>
    <row r="24" spans="1:29" ht="15">
      <c r="A24" s="386"/>
      <c r="B24" s="1262"/>
      <c r="C24" s="405"/>
      <c r="D24" s="406"/>
      <c r="E24" s="2050"/>
      <c r="F24" s="407"/>
      <c r="G24" s="2049"/>
      <c r="H24" s="406"/>
      <c r="I24" s="2050"/>
      <c r="J24" s="406"/>
      <c r="K24" s="571"/>
      <c r="L24" s="1052"/>
      <c r="M24" s="1043"/>
      <c r="N24" s="1043"/>
      <c r="O24" s="1051"/>
      <c r="P24" s="3624"/>
      <c r="Q24" s="1503"/>
      <c r="R24" s="712"/>
      <c r="S24" s="713"/>
      <c r="T24" s="712"/>
      <c r="U24" s="713"/>
      <c r="V24" s="712"/>
      <c r="W24" s="713"/>
      <c r="X24" s="1506"/>
      <c r="Y24" s="3624"/>
      <c r="Z24" s="1507"/>
      <c r="AA24" s="1504">
        <v>1</v>
      </c>
      <c r="AB24" s="1504">
        <v>1</v>
      </c>
      <c r="AC24" s="1504">
        <v>1</v>
      </c>
    </row>
    <row r="25" spans="1:29" ht="15">
      <c r="A25" s="363"/>
      <c r="B25" s="126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624"/>
      <c r="Q25" s="1503">
        <f>B25</f>
        <v>111</v>
      </c>
      <c r="R25" s="712" t="s">
        <v>17</v>
      </c>
      <c r="S25" s="713">
        <f>F25</f>
        <v>100</v>
      </c>
      <c r="T25" s="712" t="s">
        <v>17</v>
      </c>
      <c r="U25" s="713">
        <f>H25</f>
        <v>100</v>
      </c>
      <c r="V25" s="712" t="s">
        <v>17</v>
      </c>
      <c r="W25" s="713">
        <f>J25</f>
        <v>100</v>
      </c>
      <c r="X25" s="1506"/>
      <c r="Y25" s="3624"/>
      <c r="Z25" s="1507">
        <f>Q25</f>
        <v>111</v>
      </c>
      <c r="AA25" s="1504">
        <f t="shared" si="3"/>
        <v>1</v>
      </c>
      <c r="AB25" s="1504">
        <f t="shared" si="4"/>
        <v>1</v>
      </c>
      <c r="AC25" s="1504">
        <f t="shared" si="5"/>
        <v>1</v>
      </c>
    </row>
    <row r="26" spans="1:29" ht="15">
      <c r="A26" s="386"/>
      <c r="B26" s="126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624"/>
      <c r="Q26" s="1503">
        <f t="shared" ref="Q26:Q40" si="11">B26</f>
        <v>111</v>
      </c>
      <c r="R26" s="712" t="s">
        <v>17</v>
      </c>
      <c r="S26" s="713">
        <f>F26</f>
        <v>100</v>
      </c>
      <c r="T26" s="712" t="s">
        <v>17</v>
      </c>
      <c r="U26" s="713">
        <f>H26</f>
        <v>100</v>
      </c>
      <c r="V26" s="712" t="s">
        <v>17</v>
      </c>
      <c r="W26" s="713">
        <f>J26</f>
        <v>100</v>
      </c>
      <c r="X26" s="1506"/>
      <c r="Y26" s="3624"/>
      <c r="Z26" s="1507">
        <f>Q26</f>
        <v>111</v>
      </c>
      <c r="AA26" s="1504">
        <f t="shared" si="3"/>
        <v>1</v>
      </c>
      <c r="AB26" s="1504">
        <f t="shared" si="4"/>
        <v>1</v>
      </c>
      <c r="AC26" s="1504">
        <f t="shared" si="5"/>
        <v>1</v>
      </c>
    </row>
    <row r="27" spans="1:29" s="113" customFormat="1" ht="15">
      <c r="A27" s="389"/>
      <c r="B27" s="126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624"/>
      <c r="Q27" s="1494">
        <f t="shared" si="11"/>
        <v>111</v>
      </c>
      <c r="R27" s="708" t="s">
        <v>17</v>
      </c>
      <c r="S27" s="709">
        <f>F27</f>
        <v>100</v>
      </c>
      <c r="T27" s="708" t="s">
        <v>17</v>
      </c>
      <c r="U27" s="709">
        <f>H27</f>
        <v>100</v>
      </c>
      <c r="V27" s="708" t="s">
        <v>17</v>
      </c>
      <c r="W27" s="709">
        <f>J27</f>
        <v>100</v>
      </c>
      <c r="X27" s="710"/>
      <c r="Y27" s="3624"/>
      <c r="Z27" s="55">
        <f>Q27</f>
        <v>111</v>
      </c>
      <c r="AA27" s="1504">
        <f>D27/F27</f>
        <v>1</v>
      </c>
      <c r="AB27" s="1504">
        <f>D27/H27</f>
        <v>1</v>
      </c>
      <c r="AC27" s="1504">
        <f>D27/J27</f>
        <v>1</v>
      </c>
    </row>
    <row r="28" spans="1:29" ht="15.75" thickBot="1">
      <c r="A28" s="394"/>
      <c r="B28" s="126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624"/>
      <c r="Q28" s="1503">
        <f t="shared" si="11"/>
        <v>111</v>
      </c>
      <c r="R28" s="712" t="s">
        <v>17</v>
      </c>
      <c r="S28" s="713">
        <f t="shared" ref="S28:S40" si="12">F28</f>
        <v>100</v>
      </c>
      <c r="T28" s="712" t="s">
        <v>17</v>
      </c>
      <c r="U28" s="713">
        <f t="shared" ref="U28:U40" si="13">H28</f>
        <v>100</v>
      </c>
      <c r="V28" s="712" t="s">
        <v>17</v>
      </c>
      <c r="W28" s="713">
        <f t="shared" ref="W28:W40" si="14">J28</f>
        <v>100</v>
      </c>
      <c r="X28" s="1506"/>
      <c r="Y28" s="3624"/>
      <c r="Z28" s="1507">
        <f t="shared" ref="Z28:Z40" si="15">Q28</f>
        <v>111</v>
      </c>
      <c r="AA28" s="1504">
        <f t="shared" si="3"/>
        <v>1</v>
      </c>
      <c r="AB28" s="1504">
        <f t="shared" si="4"/>
        <v>1</v>
      </c>
      <c r="AC28" s="1504">
        <f t="shared" si="5"/>
        <v>1</v>
      </c>
    </row>
    <row r="29" spans="1:29" ht="1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743" t="s">
        <v>2326</v>
      </c>
      <c r="Q29" s="1503" t="str">
        <f t="shared" si="11"/>
        <v>建筑类型</v>
      </c>
      <c r="R29" s="712" t="s">
        <v>17</v>
      </c>
      <c r="S29" s="713">
        <f t="shared" si="12"/>
        <v>100</v>
      </c>
      <c r="T29" s="712" t="s">
        <v>17</v>
      </c>
      <c r="U29" s="713">
        <f t="shared" si="13"/>
        <v>100</v>
      </c>
      <c r="V29" s="712" t="s">
        <v>17</v>
      </c>
      <c r="W29" s="713">
        <f t="shared" si="14"/>
        <v>100</v>
      </c>
      <c r="X29" s="1506"/>
      <c r="Y29" s="3628" t="s">
        <v>2326</v>
      </c>
      <c r="Z29" s="1507" t="str">
        <f t="shared" si="15"/>
        <v>建筑类型</v>
      </c>
      <c r="AA29" s="1504">
        <f t="shared" si="3"/>
        <v>1</v>
      </c>
      <c r="AB29" s="1504">
        <f t="shared" si="4"/>
        <v>1</v>
      </c>
      <c r="AC29" s="1504">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0"/>
      <c r="M30" s="1053"/>
      <c r="N30" s="1053"/>
      <c r="O30" s="1054"/>
      <c r="P30" s="3628"/>
      <c r="Q30" s="714" t="str">
        <f t="shared" si="11"/>
        <v>项目建筑规模</v>
      </c>
      <c r="R30" s="715" t="s">
        <v>17</v>
      </c>
      <c r="S30" s="716" t="e">
        <f t="shared" si="12"/>
        <v>#N/A</v>
      </c>
      <c r="T30" s="715" t="s">
        <v>17</v>
      </c>
      <c r="U30" s="716" t="e">
        <f t="shared" si="13"/>
        <v>#N/A</v>
      </c>
      <c r="V30" s="715" t="s">
        <v>17</v>
      </c>
      <c r="W30" s="716" t="e">
        <f t="shared" si="14"/>
        <v>#N/A</v>
      </c>
      <c r="X30" s="717"/>
      <c r="Y30" s="3628"/>
      <c r="Z30" s="718" t="str">
        <f t="shared" si="15"/>
        <v>项目建筑规模</v>
      </c>
      <c r="AA30" s="1504" t="e">
        <f t="shared" si="3"/>
        <v>#N/A</v>
      </c>
      <c r="AB30" s="1504" t="e">
        <f t="shared" si="4"/>
        <v>#N/A</v>
      </c>
      <c r="AC30" s="1504"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628"/>
      <c r="Q31" s="1503" t="str">
        <f t="shared" si="11"/>
        <v>建筑结构</v>
      </c>
      <c r="R31" s="712" t="s">
        <v>17</v>
      </c>
      <c r="S31" s="713">
        <f t="shared" si="12"/>
        <v>100</v>
      </c>
      <c r="T31" s="712" t="s">
        <v>17</v>
      </c>
      <c r="U31" s="713">
        <f t="shared" si="13"/>
        <v>100</v>
      </c>
      <c r="V31" s="712" t="s">
        <v>17</v>
      </c>
      <c r="W31" s="713">
        <f t="shared" si="14"/>
        <v>100</v>
      </c>
      <c r="X31" s="1506"/>
      <c r="Y31" s="3628"/>
      <c r="Z31" s="1507" t="str">
        <f t="shared" si="15"/>
        <v>建筑结构</v>
      </c>
      <c r="AA31" s="1504">
        <f t="shared" si="3"/>
        <v>1</v>
      </c>
      <c r="AB31" s="1504">
        <f t="shared" si="4"/>
        <v>1</v>
      </c>
      <c r="AC31" s="1504">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628"/>
      <c r="Q32" s="1503" t="str">
        <f t="shared" si="11"/>
        <v>公共部分装修</v>
      </c>
      <c r="R32" s="712" t="s">
        <v>17</v>
      </c>
      <c r="S32" s="713">
        <f t="shared" si="12"/>
        <v>100</v>
      </c>
      <c r="T32" s="712" t="s">
        <v>17</v>
      </c>
      <c r="U32" s="713">
        <f t="shared" si="13"/>
        <v>100</v>
      </c>
      <c r="V32" s="712" t="s">
        <v>17</v>
      </c>
      <c r="W32" s="713">
        <f t="shared" si="14"/>
        <v>100</v>
      </c>
      <c r="X32" s="1506"/>
      <c r="Y32" s="3628"/>
      <c r="Z32" s="1507" t="str">
        <f t="shared" si="15"/>
        <v>公共部分装修</v>
      </c>
      <c r="AA32" s="1504">
        <f t="shared" si="3"/>
        <v>1</v>
      </c>
      <c r="AB32" s="1504">
        <f t="shared" si="4"/>
        <v>1</v>
      </c>
      <c r="AC32" s="1504">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628"/>
      <c r="Q33" s="1503" t="str">
        <f t="shared" si="11"/>
        <v>成新度</v>
      </c>
      <c r="R33" s="712" t="s">
        <v>17</v>
      </c>
      <c r="S33" s="713" t="e">
        <f t="shared" si="12"/>
        <v>#N/A</v>
      </c>
      <c r="T33" s="712" t="s">
        <v>17</v>
      </c>
      <c r="U33" s="713" t="e">
        <f t="shared" si="13"/>
        <v>#N/A</v>
      </c>
      <c r="V33" s="712" t="s">
        <v>17</v>
      </c>
      <c r="W33" s="713" t="e">
        <f t="shared" si="14"/>
        <v>#N/A</v>
      </c>
      <c r="X33" s="1506"/>
      <c r="Y33" s="3628"/>
      <c r="Z33" s="1507" t="str">
        <f t="shared" si="15"/>
        <v>成新度</v>
      </c>
      <c r="AA33" s="1504" t="e">
        <f t="shared" si="3"/>
        <v>#N/A</v>
      </c>
      <c r="AB33" s="1504" t="e">
        <f t="shared" si="4"/>
        <v>#N/A</v>
      </c>
      <c r="AC33" s="1504"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628"/>
      <c r="Q34" s="1494" t="str">
        <f t="shared" si="11"/>
        <v>物业管理</v>
      </c>
      <c r="R34" s="708" t="s">
        <v>17</v>
      </c>
      <c r="S34" s="709">
        <f t="shared" si="12"/>
        <v>100</v>
      </c>
      <c r="T34" s="708" t="s">
        <v>17</v>
      </c>
      <c r="U34" s="709">
        <f t="shared" si="13"/>
        <v>100</v>
      </c>
      <c r="V34" s="708" t="s">
        <v>17</v>
      </c>
      <c r="W34" s="709">
        <f t="shared" si="14"/>
        <v>100</v>
      </c>
      <c r="X34" s="710"/>
      <c r="Y34" s="3628"/>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628" t="s">
        <v>2326</v>
      </c>
      <c r="Q35" s="1503" t="str">
        <f t="shared" si="11"/>
        <v>市政基础设施</v>
      </c>
      <c r="R35" s="712" t="s">
        <v>17</v>
      </c>
      <c r="S35" s="713">
        <f t="shared" si="12"/>
        <v>100</v>
      </c>
      <c r="T35" s="712" t="s">
        <v>17</v>
      </c>
      <c r="U35" s="713">
        <f t="shared" si="13"/>
        <v>100</v>
      </c>
      <c r="V35" s="712" t="s">
        <v>17</v>
      </c>
      <c r="W35" s="713">
        <f t="shared" si="14"/>
        <v>100</v>
      </c>
      <c r="X35" s="1506"/>
      <c r="Y35" s="3628" t="s">
        <v>2326</v>
      </c>
      <c r="Z35" s="1507" t="str">
        <f t="shared" si="15"/>
        <v>市政基础设施</v>
      </c>
      <c r="AA35" s="1504">
        <f t="shared" si="3"/>
        <v>1</v>
      </c>
      <c r="AB35" s="1504">
        <f t="shared" si="4"/>
        <v>1</v>
      </c>
      <c r="AC35" s="1504">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628"/>
      <c r="Q36" s="1503" t="str">
        <f t="shared" si="11"/>
        <v>内部装修</v>
      </c>
      <c r="R36" s="712" t="s">
        <v>17</v>
      </c>
      <c r="S36" s="713">
        <f t="shared" si="12"/>
        <v>100</v>
      </c>
      <c r="T36" s="712" t="s">
        <v>17</v>
      </c>
      <c r="U36" s="713">
        <f t="shared" si="13"/>
        <v>100</v>
      </c>
      <c r="V36" s="712" t="s">
        <v>17</v>
      </c>
      <c r="W36" s="713">
        <f t="shared" si="14"/>
        <v>100</v>
      </c>
      <c r="X36" s="1506"/>
      <c r="Y36" s="3628"/>
      <c r="Z36" s="1507" t="str">
        <f t="shared" si="15"/>
        <v>内部装修</v>
      </c>
      <c r="AA36" s="1504">
        <f t="shared" si="3"/>
        <v>1</v>
      </c>
      <c r="AB36" s="1504">
        <f t="shared" si="4"/>
        <v>1</v>
      </c>
      <c r="AC36" s="1504">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628"/>
      <c r="Q37" s="1503" t="str">
        <f t="shared" si="11"/>
        <v>内部装修状况</v>
      </c>
      <c r="R37" s="712" t="s">
        <v>17</v>
      </c>
      <c r="S37" s="713">
        <f t="shared" si="12"/>
        <v>100</v>
      </c>
      <c r="T37" s="712" t="s">
        <v>17</v>
      </c>
      <c r="U37" s="713">
        <f t="shared" si="13"/>
        <v>100</v>
      </c>
      <c r="V37" s="712" t="s">
        <v>17</v>
      </c>
      <c r="W37" s="713">
        <f t="shared" si="14"/>
        <v>100</v>
      </c>
      <c r="X37" s="1506"/>
      <c r="Y37" s="3628"/>
      <c r="Z37" s="1507" t="str">
        <f t="shared" si="15"/>
        <v>内部装修状况</v>
      </c>
      <c r="AA37" s="1504">
        <f t="shared" si="3"/>
        <v>1</v>
      </c>
      <c r="AB37" s="1504">
        <f t="shared" si="4"/>
        <v>1</v>
      </c>
      <c r="AC37" s="1504">
        <f t="shared" si="5"/>
        <v>1</v>
      </c>
    </row>
    <row r="38" spans="1:29" s="429" customFormat="1" ht="15">
      <c r="A38" s="426"/>
      <c r="B38" s="126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628"/>
      <c r="Q38" s="714">
        <f t="shared" si="11"/>
        <v>111</v>
      </c>
      <c r="R38" s="715" t="s">
        <v>17</v>
      </c>
      <c r="S38" s="716">
        <f t="shared" si="12"/>
        <v>100</v>
      </c>
      <c r="T38" s="715" t="s">
        <v>17</v>
      </c>
      <c r="U38" s="716">
        <f t="shared" si="13"/>
        <v>100</v>
      </c>
      <c r="V38" s="715" t="s">
        <v>17</v>
      </c>
      <c r="W38" s="716">
        <f t="shared" si="14"/>
        <v>100</v>
      </c>
      <c r="X38" s="717"/>
      <c r="Y38" s="3628"/>
      <c r="Z38" s="718">
        <f t="shared" si="15"/>
        <v>111</v>
      </c>
      <c r="AA38" s="1504">
        <f t="shared" si="3"/>
        <v>1</v>
      </c>
      <c r="AB38" s="1504">
        <f t="shared" si="4"/>
        <v>1</v>
      </c>
      <c r="AC38" s="1504">
        <f t="shared" si="5"/>
        <v>1</v>
      </c>
    </row>
    <row r="39" spans="1:29" ht="15">
      <c r="A39" s="430"/>
      <c r="B39" s="126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628"/>
      <c r="Q39" s="1503">
        <f t="shared" si="11"/>
        <v>111</v>
      </c>
      <c r="R39" s="712" t="s">
        <v>17</v>
      </c>
      <c r="S39" s="713">
        <f t="shared" si="12"/>
        <v>100</v>
      </c>
      <c r="T39" s="712" t="s">
        <v>17</v>
      </c>
      <c r="U39" s="713">
        <f t="shared" si="13"/>
        <v>100</v>
      </c>
      <c r="V39" s="712" t="s">
        <v>17</v>
      </c>
      <c r="W39" s="713">
        <f t="shared" si="14"/>
        <v>100</v>
      </c>
      <c r="X39" s="1506"/>
      <c r="Y39" s="3628"/>
      <c r="Z39" s="1507">
        <f t="shared" si="15"/>
        <v>111</v>
      </c>
      <c r="AA39" s="1504">
        <f t="shared" si="3"/>
        <v>1</v>
      </c>
      <c r="AB39" s="1504">
        <f t="shared" si="4"/>
        <v>1</v>
      </c>
      <c r="AC39" s="1504">
        <f t="shared" si="5"/>
        <v>1</v>
      </c>
    </row>
    <row r="40" spans="1:29" ht="15.75" thickBot="1">
      <c r="A40" s="436"/>
      <c r="B40" s="204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629"/>
      <c r="Q40" s="1503">
        <f t="shared" si="11"/>
        <v>111</v>
      </c>
      <c r="R40" s="712" t="s">
        <v>17</v>
      </c>
      <c r="S40" s="713">
        <f t="shared" si="12"/>
        <v>100</v>
      </c>
      <c r="T40" s="712" t="s">
        <v>17</v>
      </c>
      <c r="U40" s="713">
        <f t="shared" si="13"/>
        <v>100</v>
      </c>
      <c r="V40" s="712" t="s">
        <v>17</v>
      </c>
      <c r="W40" s="713">
        <f t="shared" si="14"/>
        <v>100</v>
      </c>
      <c r="X40" s="1506"/>
      <c r="Y40" s="3629"/>
      <c r="Z40" s="1507">
        <f t="shared" si="15"/>
        <v>111</v>
      </c>
      <c r="AA40" s="1504">
        <f t="shared" si="3"/>
        <v>1</v>
      </c>
      <c r="AB40" s="1504">
        <f t="shared" si="4"/>
        <v>1</v>
      </c>
      <c r="AC40" s="1504">
        <f t="shared" si="5"/>
        <v>1</v>
      </c>
    </row>
    <row r="41" spans="1:29" ht="15">
      <c r="A41" s="437" t="s">
        <v>2338</v>
      </c>
      <c r="B41" s="438"/>
      <c r="C41" s="1285" t="s">
        <v>1</v>
      </c>
      <c r="D41" s="1286"/>
      <c r="E41" s="1287"/>
      <c r="F41" s="1288"/>
      <c r="G41" s="1289"/>
      <c r="H41" s="1290"/>
      <c r="I41" s="1287"/>
      <c r="J41" s="1290"/>
      <c r="K41" s="721"/>
      <c r="L41" s="1055"/>
      <c r="M41" s="1056"/>
      <c r="N41" s="1043"/>
      <c r="O41" s="1056"/>
      <c r="P41" s="3616" t="str">
        <f>A41</f>
        <v>成交单价（元/平方米）</v>
      </c>
      <c r="Q41" s="3616"/>
      <c r="R41" s="3617">
        <f>E41</f>
        <v>0</v>
      </c>
      <c r="S41" s="3617"/>
      <c r="T41" s="3617">
        <f>G41</f>
        <v>0</v>
      </c>
      <c r="U41" s="3617"/>
      <c r="V41" s="3617">
        <f>I41</f>
        <v>0</v>
      </c>
      <c r="W41" s="3617"/>
      <c r="X41" s="697"/>
      <c r="Y41" s="719"/>
      <c r="Z41" s="697"/>
      <c r="AA41" s="697"/>
      <c r="AB41" s="697"/>
      <c r="AC41" s="697"/>
    </row>
    <row r="42" spans="1:29" ht="15.75" thickBot="1">
      <c r="A42" s="444" t="s">
        <v>2430</v>
      </c>
      <c r="B42" s="445"/>
      <c r="C42" s="1291" t="e">
        <f>R43</f>
        <v>#DIV/0!</v>
      </c>
      <c r="D42" s="2504" t="s">
        <v>2816</v>
      </c>
      <c r="E42" s="1292" t="e">
        <f>R42</f>
        <v>#DIV/0!</v>
      </c>
      <c r="F42" s="2505"/>
      <c r="G42" s="1291" t="e">
        <f>T42</f>
        <v>#DIV/0!</v>
      </c>
      <c r="H42" s="2505"/>
      <c r="I42" s="1292" t="e">
        <f>V42</f>
        <v>#DIV/0!</v>
      </c>
      <c r="J42" s="2505"/>
      <c r="K42" s="2507">
        <f>F42+H42+J42</f>
        <v>0</v>
      </c>
      <c r="L42" s="1055"/>
      <c r="M42" s="1056"/>
      <c r="N42" s="1043"/>
      <c r="O42" s="1056"/>
      <c r="P42" s="3616" t="str">
        <f>A42</f>
        <v>比较价值（元/平方米）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697"/>
      <c r="Y42" s="697"/>
      <c r="Z42" s="697"/>
      <c r="AA42" s="697"/>
      <c r="AB42" s="697"/>
      <c r="AC42" s="697"/>
    </row>
    <row r="43" spans="1:29" ht="15.75" thickBot="1">
      <c r="A43" s="448" t="s">
        <v>2431</v>
      </c>
      <c r="B43" s="449"/>
      <c r="C43" s="1294" t="e">
        <f>R43</f>
        <v>#DIV/0!</v>
      </c>
      <c r="D43" s="1294"/>
      <c r="E43" s="1294"/>
      <c r="F43" s="1294"/>
      <c r="G43" s="1294"/>
      <c r="H43" s="1294"/>
      <c r="I43" s="1294"/>
      <c r="J43" s="1294"/>
      <c r="K43" s="722"/>
      <c r="L43" s="1055"/>
      <c r="M43" s="1056"/>
      <c r="N43" s="1056"/>
      <c r="O43" s="1056"/>
      <c r="P43" s="3618" t="str">
        <f>A43</f>
        <v>估价对象XX用房的比较价值（楼面单价，元/平方米）</v>
      </c>
      <c r="Q43" s="3619"/>
      <c r="R43" s="3620" t="e">
        <f>IF(F1="售价",ROUND(IF(D42="简单平均",AVERAGE(R42:V42),R42*F42+T42*H42+V42*J42),0),ROUND(IF(D42="简单平均",AVERAGE(R42:V42),R42*F42+T42*H42+V42*J42),1))</f>
        <v>#DIV/0!</v>
      </c>
      <c r="S43" s="3620"/>
      <c r="T43" s="3620"/>
      <c r="U43" s="3620"/>
      <c r="V43" s="3620"/>
      <c r="W43" s="3620"/>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1018"/>
      <c r="M46" s="1056"/>
      <c r="N46" s="1056"/>
      <c r="O46" s="1056"/>
    </row>
    <row r="47" spans="1:29"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1018"/>
      <c r="M47" s="1056"/>
      <c r="N47" s="1056"/>
      <c r="O47" s="1056"/>
    </row>
    <row r="48" spans="1:29"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1059"/>
      <c r="M48" s="1057"/>
      <c r="N48" s="1057"/>
      <c r="O48" s="1057"/>
    </row>
    <row r="49" spans="1:17" s="458"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5" t="str">
        <f>YEAR(C7)&amp;"-"&amp;MONTH(C7)</f>
        <v>2022-7</v>
      </c>
      <c r="D52" s="1316">
        <f>EDATE(C52,-1)</f>
        <v>44713</v>
      </c>
      <c r="E52" s="1316">
        <f t="shared" ref="E52:O52" si="16">EDATE(D52,-1)</f>
        <v>44682</v>
      </c>
      <c r="F52" s="1316">
        <f t="shared" si="16"/>
        <v>44652</v>
      </c>
      <c r="G52" s="1316">
        <f t="shared" si="16"/>
        <v>44621</v>
      </c>
      <c r="H52" s="1316">
        <f t="shared" si="16"/>
        <v>44593</v>
      </c>
      <c r="I52" s="1316">
        <f t="shared" si="16"/>
        <v>44562</v>
      </c>
      <c r="J52" s="1316">
        <f t="shared" si="16"/>
        <v>44531</v>
      </c>
      <c r="K52" s="1316">
        <f t="shared" si="16"/>
        <v>44501</v>
      </c>
      <c r="L52" s="1316">
        <f t="shared" si="16"/>
        <v>44470</v>
      </c>
      <c r="M52" s="1316">
        <f t="shared" si="16"/>
        <v>44440</v>
      </c>
      <c r="N52" s="1316">
        <f t="shared" si="16"/>
        <v>44409</v>
      </c>
      <c r="O52" s="1316">
        <f t="shared" si="16"/>
        <v>44378</v>
      </c>
      <c r="P52" s="463"/>
    </row>
    <row r="53" spans="1:17" s="113" customFormat="1" ht="15">
      <c r="A53" s="465"/>
      <c r="B53" s="466"/>
      <c r="C53" s="1314">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5"/>
      <c r="O54" s="2966"/>
      <c r="P54" s="460"/>
      <c r="Q54" s="460"/>
    </row>
    <row r="55" spans="1:17" s="113" customFormat="1" ht="15">
      <c r="A55" s="477" t="s">
        <v>2311</v>
      </c>
      <c r="B55" s="466"/>
      <c r="C55" s="478" t="s">
        <v>2413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0"/>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0"/>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625" style="362" customWidth="1"/>
    <col min="3" max="3" width="14.375" style="362" customWidth="1"/>
    <col min="4" max="4" width="14.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30" s="357" customFormat="1" ht="28.5" customHeight="1">
      <c r="A1" s="353" t="s">
        <v>2504</v>
      </c>
      <c r="B1" s="354"/>
      <c r="C1" s="355" t="s">
        <v>2505</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2088</v>
      </c>
      <c r="B2" s="626" t="e">
        <f>F66</f>
        <v>#DIV/0!</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6"/>
    </row>
    <row r="3" spans="1:30"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30"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30" ht="15.75" thickBot="1">
      <c r="A6" s="365"/>
      <c r="B6" s="366"/>
      <c r="C6" s="3651" t="s">
        <v>2307</v>
      </c>
      <c r="D6" s="3652"/>
      <c r="E6" s="3660" t="s">
        <v>2307</v>
      </c>
      <c r="F6" s="3661"/>
      <c r="G6" s="3651" t="s">
        <v>2307</v>
      </c>
      <c r="H6" s="3652"/>
      <c r="I6" s="3651" t="s">
        <v>2307</v>
      </c>
      <c r="J6" s="3652"/>
      <c r="K6" s="566" t="s">
        <v>2308</v>
      </c>
      <c r="L6" s="2910"/>
      <c r="M6" s="2911"/>
      <c r="N6" s="2911"/>
      <c r="O6" s="2911"/>
      <c r="P6" s="3643"/>
      <c r="Q6" s="3644"/>
      <c r="R6" s="3647"/>
      <c r="S6" s="3648"/>
      <c r="T6" s="3649"/>
      <c r="U6" s="3650"/>
      <c r="V6" s="3630"/>
      <c r="W6" s="3630"/>
      <c r="X6" s="1506"/>
      <c r="Y6" s="3649"/>
      <c r="Z6" s="3650"/>
      <c r="AA6" s="3634"/>
      <c r="AB6" s="3634"/>
      <c r="AC6" s="3634"/>
    </row>
    <row r="7" spans="1:30" s="113" customFormat="1" ht="15.75" thickBot="1">
      <c r="A7" s="367" t="s">
        <v>2309</v>
      </c>
      <c r="B7" s="368"/>
      <c r="C7" s="369">
        <f>'数据-取费表'!B2</f>
        <v>44762</v>
      </c>
      <c r="D7" s="370">
        <v>100</v>
      </c>
      <c r="E7" s="371"/>
      <c r="F7" s="372">
        <f>SUMIF(70:70,YEAR(E7)&amp;"-"&amp;INT((MONTH(E7)+2)/3),71:71)</f>
        <v>0</v>
      </c>
      <c r="G7" s="2126"/>
      <c r="H7" s="370">
        <f>SUMIF(70:70,YEAR(G7)&amp;"-"&amp;INT((MONTH(G7)+2)/3),71:71)</f>
        <v>0</v>
      </c>
      <c r="I7" s="2126"/>
      <c r="J7" s="370">
        <f>SUMIF(70:70,YEAR(I7)&amp;"-"&amp;INT((MONTH(I7)+2)/3),71:71)</f>
        <v>0</v>
      </c>
      <c r="K7" s="567"/>
      <c r="L7" s="2912"/>
      <c r="M7" s="2913"/>
      <c r="N7" s="2913"/>
      <c r="O7" s="2913"/>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45" si="3">D8/F8</f>
        <v>#DIV/0!</v>
      </c>
      <c r="AB8" s="711" t="e">
        <f t="shared" ref="AB8:AB45" si="4">D8/H8</f>
        <v>#DIV/0!</v>
      </c>
      <c r="AC8" s="711" t="e">
        <f t="shared" ref="AC8:AC45" si="5">D8/J8</f>
        <v>#DIV/0!</v>
      </c>
    </row>
    <row r="9" spans="1:30" s="113" customFormat="1">
      <c r="A9" s="374" t="s">
        <v>2314</v>
      </c>
      <c r="B9" s="67" t="s">
        <v>2315</v>
      </c>
      <c r="C9" s="2129"/>
      <c r="D9" s="131">
        <v>100</v>
      </c>
      <c r="E9" s="2129"/>
      <c r="F9" s="131">
        <f>SUMIF(75:75,E9,76:76)-SUMIF(75:75,C9,76:76)+100</f>
        <v>100</v>
      </c>
      <c r="G9" s="2129"/>
      <c r="H9" s="131">
        <f>SUMIF(75:75,G9,76:76)-SUMIF(75:75,C9,76:76)+100</f>
        <v>100</v>
      </c>
      <c r="I9" s="2129"/>
      <c r="J9" s="131">
        <f>SUMIF(75:75,I9,76:76)-SUMIF(75:75,C9,76:76)+100</f>
        <v>100</v>
      </c>
      <c r="K9" s="567"/>
      <c r="L9" s="2912"/>
      <c r="M9" s="2913"/>
      <c r="N9" s="2913"/>
      <c r="O9" s="2967"/>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30" s="385" customFormat="1" ht="27">
      <c r="A10" s="379"/>
      <c r="B10" s="380" t="s">
        <v>2318</v>
      </c>
      <c r="C10" s="390"/>
      <c r="D10" s="132">
        <v>100</v>
      </c>
      <c r="E10" s="423"/>
      <c r="F10" s="132">
        <f>ROUND(100/'数据-取费表'!G16,0)</f>
        <v>106</v>
      </c>
      <c r="G10" s="421"/>
      <c r="H10" s="132">
        <f>ROUND(100/'数据-取费表'!G16,0)</f>
        <v>106</v>
      </c>
      <c r="I10" s="421"/>
      <c r="J10" s="132">
        <f>ROUND(100/'数据-取费表'!G16,0)</f>
        <v>106</v>
      </c>
      <c r="K10" s="627"/>
      <c r="L10" s="2914"/>
      <c r="M10" s="2915"/>
      <c r="N10" s="2915"/>
      <c r="O10" s="2968"/>
      <c r="P10" s="3616"/>
      <c r="Q10" s="1494" t="str">
        <f t="shared" si="6"/>
        <v>土地使用年限（年）</v>
      </c>
      <c r="R10" s="708" t="s">
        <v>17</v>
      </c>
      <c r="S10" s="709">
        <f t="shared" si="0"/>
        <v>106</v>
      </c>
      <c r="T10" s="708" t="s">
        <v>17</v>
      </c>
      <c r="U10" s="709">
        <f t="shared" si="1"/>
        <v>106</v>
      </c>
      <c r="V10" s="708" t="s">
        <v>17</v>
      </c>
      <c r="W10" s="709">
        <f t="shared" si="2"/>
        <v>106</v>
      </c>
      <c r="X10" s="710"/>
      <c r="Y10" s="3520"/>
      <c r="Z10" s="55" t="str">
        <f t="shared" si="7"/>
        <v>土地使用年限（年）</v>
      </c>
      <c r="AA10" s="711">
        <f t="shared" si="3"/>
        <v>0.94339622641509435</v>
      </c>
      <c r="AB10" s="711">
        <f t="shared" si="4"/>
        <v>0.94339622641509435</v>
      </c>
      <c r="AC10" s="711">
        <f t="shared" si="5"/>
        <v>0.94339622641509435</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6"/>
      <c r="M11" s="2911"/>
      <c r="N11" s="2911"/>
      <c r="O11" s="2969"/>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30" s="113" customFormat="1" ht="15">
      <c r="A12" s="389"/>
      <c r="B12" s="2045" t="s">
        <v>2507</v>
      </c>
      <c r="C12" s="390"/>
      <c r="D12" s="391">
        <v>100</v>
      </c>
      <c r="E12" s="423"/>
      <c r="F12" s="132">
        <f>SUMIF(82:82,E12,83:83)-SUMIF(82:82,C12,83:83)+100</f>
        <v>100</v>
      </c>
      <c r="G12" s="421"/>
      <c r="H12" s="132">
        <f>SUMIF(82:82,G12,83:83)-SUMIF(82:82,C12,83:83)+100</f>
        <v>100</v>
      </c>
      <c r="I12" s="423"/>
      <c r="J12" s="132">
        <f>SUMIF(82:82,I12,83:83)-SUMIF(82:82,C12,83:83)+100</f>
        <v>100</v>
      </c>
      <c r="K12" s="627"/>
      <c r="L12" s="2912"/>
      <c r="M12" s="2913"/>
      <c r="N12" s="2913"/>
      <c r="O12" s="2967"/>
      <c r="P12" s="3616"/>
      <c r="Q12" s="1494" t="str">
        <f t="shared" si="6"/>
        <v>配建</v>
      </c>
      <c r="R12" s="708" t="s">
        <v>17</v>
      </c>
      <c r="S12" s="709">
        <f t="shared" si="0"/>
        <v>100</v>
      </c>
      <c r="T12" s="708" t="s">
        <v>17</v>
      </c>
      <c r="U12" s="709">
        <f t="shared" si="1"/>
        <v>100</v>
      </c>
      <c r="V12" s="708" t="s">
        <v>17</v>
      </c>
      <c r="W12" s="709">
        <f t="shared" si="2"/>
        <v>100</v>
      </c>
      <c r="X12" s="710"/>
      <c r="Y12" s="3520"/>
      <c r="Z12" s="55" t="str">
        <f t="shared" si="7"/>
        <v>配建</v>
      </c>
      <c r="AA12" s="711">
        <f>D12/F12</f>
        <v>1</v>
      </c>
      <c r="AB12" s="711">
        <f>D12/H12</f>
        <v>1</v>
      </c>
      <c r="AC12" s="711">
        <f>D12/J12</f>
        <v>1</v>
      </c>
    </row>
    <row r="13" spans="1:30" ht="15">
      <c r="A13" s="386"/>
      <c r="B13" s="2045">
        <v>111</v>
      </c>
      <c r="C13" s="392"/>
      <c r="D13" s="393">
        <v>100</v>
      </c>
      <c r="E13" s="505"/>
      <c r="F13" s="132">
        <f>SUMIF(84:84,E13,85:85)-SUMIF(84:84,C13,85:85)+100</f>
        <v>100</v>
      </c>
      <c r="G13" s="629"/>
      <c r="H13" s="393">
        <f>SUMIF(84:84,G13,85:85)-SUMIF(84:84,C13,85:85)+100</f>
        <v>100</v>
      </c>
      <c r="I13" s="629"/>
      <c r="J13" s="393">
        <f>SUMIF(84:84,I13,85:85)-SUMIF(84:84,C13,85:85)+100</f>
        <v>100</v>
      </c>
      <c r="K13" s="627"/>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D13/F13</f>
        <v>1</v>
      </c>
      <c r="AB13" s="711">
        <f>D13/H13</f>
        <v>1</v>
      </c>
      <c r="AC13" s="711">
        <f>D13/J13</f>
        <v>1</v>
      </c>
    </row>
    <row r="14" spans="1:30" ht="15.75" thickBot="1">
      <c r="A14" s="394"/>
      <c r="B14" s="2047">
        <v>111</v>
      </c>
      <c r="C14" s="395"/>
      <c r="D14" s="396">
        <v>100</v>
      </c>
      <c r="E14" s="505"/>
      <c r="F14" s="396">
        <f>SUMIF(86:86,E14,87:87)-SUMIF(86:86,C14,87:87)+100</f>
        <v>100</v>
      </c>
      <c r="G14" s="629"/>
      <c r="H14" s="396">
        <f>SUMIF(86:86,G14,87:87)-SUMIF(86:86,C14,87:87)+100</f>
        <v>100</v>
      </c>
      <c r="I14" s="629"/>
      <c r="J14" s="396">
        <f>SUMIF(86:86,I14,87:87)-SUMIF(86:86,C14,87:87)+100</f>
        <v>100</v>
      </c>
      <c r="K14" s="627"/>
      <c r="L14" s="2917"/>
      <c r="M14" s="2911"/>
      <c r="N14" s="2911"/>
      <c r="O14" s="2969"/>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D14/F14</f>
        <v>1</v>
      </c>
      <c r="AB14" s="711">
        <f>D14/H14</f>
        <v>1</v>
      </c>
      <c r="AC14" s="711">
        <f>D14/J14</f>
        <v>1</v>
      </c>
    </row>
    <row r="15" spans="1:30" ht="99.75">
      <c r="A15" s="398" t="s">
        <v>2320</v>
      </c>
      <c r="B15" s="65" t="s">
        <v>1883</v>
      </c>
      <c r="C15" s="204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7"/>
      <c r="M15" s="2911"/>
      <c r="N15" s="2911"/>
      <c r="O15" s="2969"/>
      <c r="P15" s="3623" t="s">
        <v>2321</v>
      </c>
      <c r="Q15" s="1503" t="str">
        <f t="shared" si="6"/>
        <v>居住社区成熟度</v>
      </c>
      <c r="R15" s="712" t="s">
        <v>17</v>
      </c>
      <c r="S15" s="713">
        <f t="shared" si="0"/>
        <v>100</v>
      </c>
      <c r="T15" s="712" t="s">
        <v>17</v>
      </c>
      <c r="U15" s="713">
        <f t="shared" si="1"/>
        <v>100</v>
      </c>
      <c r="V15" s="712" t="s">
        <v>17</v>
      </c>
      <c r="W15" s="713">
        <f t="shared" si="2"/>
        <v>100</v>
      </c>
      <c r="X15" s="1506"/>
      <c r="Y15" s="3623" t="s">
        <v>2321</v>
      </c>
      <c r="Z15" s="1507" t="str">
        <f t="shared" si="7"/>
        <v>居住社区成熟度</v>
      </c>
      <c r="AA15" s="1504">
        <f t="shared" si="3"/>
        <v>1</v>
      </c>
      <c r="AB15" s="1504">
        <f t="shared" si="4"/>
        <v>1</v>
      </c>
      <c r="AC15" s="1504">
        <f t="shared" si="5"/>
        <v>1</v>
      </c>
    </row>
    <row r="16" spans="1:30" ht="15">
      <c r="A16" s="386"/>
      <c r="B16" s="404"/>
      <c r="C16" s="405"/>
      <c r="D16" s="406"/>
      <c r="E16" s="2050"/>
      <c r="F16" s="406"/>
      <c r="G16" s="2050"/>
      <c r="H16" s="408"/>
      <c r="I16" s="2049"/>
      <c r="J16" s="406"/>
      <c r="K16" s="627"/>
      <c r="L16" s="2917"/>
      <c r="M16" s="2911"/>
      <c r="N16" s="2911"/>
      <c r="O16" s="2969"/>
      <c r="P16" s="3624"/>
      <c r="Q16" s="1503"/>
      <c r="R16" s="712"/>
      <c r="S16" s="713"/>
      <c r="T16" s="712"/>
      <c r="U16" s="713"/>
      <c r="V16" s="712"/>
      <c r="W16" s="713"/>
      <c r="X16" s="1506"/>
      <c r="Y16" s="3624"/>
      <c r="Z16" s="1507"/>
      <c r="AA16" s="1504">
        <v>1</v>
      </c>
      <c r="AB16" s="1504">
        <v>1</v>
      </c>
      <c r="AC16" s="1504">
        <v>1</v>
      </c>
    </row>
    <row r="17" spans="1:29" ht="71.25">
      <c r="A17" s="386"/>
      <c r="B17" s="409" t="s">
        <v>2414</v>
      </c>
      <c r="C17" s="210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7"/>
      <c r="M17" s="2911"/>
      <c r="N17" s="2911"/>
      <c r="O17" s="2969"/>
      <c r="P17" s="3624"/>
      <c r="Q17" s="1503" t="str">
        <f>B17</f>
        <v>商业繁华度</v>
      </c>
      <c r="R17" s="712" t="s">
        <v>17</v>
      </c>
      <c r="S17" s="713">
        <f>F17</f>
        <v>100</v>
      </c>
      <c r="T17" s="712" t="s">
        <v>17</v>
      </c>
      <c r="U17" s="713">
        <f>H17</f>
        <v>100</v>
      </c>
      <c r="V17" s="712" t="s">
        <v>17</v>
      </c>
      <c r="W17" s="713">
        <f>J17</f>
        <v>100</v>
      </c>
      <c r="X17" s="1506"/>
      <c r="Y17" s="3624"/>
      <c r="Z17" s="1507" t="str">
        <f>Q17</f>
        <v>商业繁华度</v>
      </c>
      <c r="AA17" s="1504">
        <f t="shared" si="3"/>
        <v>1</v>
      </c>
      <c r="AB17" s="1504">
        <f t="shared" si="4"/>
        <v>1</v>
      </c>
      <c r="AC17" s="1504">
        <f t="shared" si="5"/>
        <v>1</v>
      </c>
    </row>
    <row r="18" spans="1:29" ht="15">
      <c r="A18" s="386"/>
      <c r="B18" s="414"/>
      <c r="C18" s="2053"/>
      <c r="D18" s="408"/>
      <c r="E18" s="2055"/>
      <c r="F18" s="408"/>
      <c r="G18" s="2055"/>
      <c r="H18" s="406"/>
      <c r="I18" s="2054"/>
      <c r="J18" s="406"/>
      <c r="K18" s="627"/>
      <c r="L18" s="2917"/>
      <c r="M18" s="2911"/>
      <c r="N18" s="2911"/>
      <c r="O18" s="2969"/>
      <c r="P18" s="3624"/>
      <c r="Q18" s="1503"/>
      <c r="R18" s="712"/>
      <c r="S18" s="713"/>
      <c r="T18" s="712"/>
      <c r="U18" s="713"/>
      <c r="V18" s="712"/>
      <c r="W18" s="713"/>
      <c r="X18" s="1506"/>
      <c r="Y18" s="3624"/>
      <c r="Z18" s="1507"/>
      <c r="AA18" s="1504">
        <v>1</v>
      </c>
      <c r="AB18" s="1504">
        <v>1</v>
      </c>
      <c r="AC18" s="1504">
        <v>1</v>
      </c>
    </row>
    <row r="19" spans="1:29" ht="71.25">
      <c r="A19" s="386"/>
      <c r="B19" s="409" t="s">
        <v>2448</v>
      </c>
      <c r="C19" s="210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7"/>
      <c r="M19" s="2911"/>
      <c r="N19" s="2911"/>
      <c r="O19" s="2969"/>
      <c r="P19" s="3624"/>
      <c r="Q19" s="1503" t="str">
        <f>B19</f>
        <v>办公集聚程度</v>
      </c>
      <c r="R19" s="712" t="s">
        <v>17</v>
      </c>
      <c r="S19" s="713">
        <f>F19</f>
        <v>100</v>
      </c>
      <c r="T19" s="712" t="s">
        <v>17</v>
      </c>
      <c r="U19" s="713">
        <f>H19</f>
        <v>100</v>
      </c>
      <c r="V19" s="712" t="s">
        <v>17</v>
      </c>
      <c r="W19" s="713">
        <f>J19</f>
        <v>100</v>
      </c>
      <c r="X19" s="1506"/>
      <c r="Y19" s="3624"/>
      <c r="Z19" s="1507" t="str">
        <f>Q19</f>
        <v>办公集聚程度</v>
      </c>
      <c r="AA19" s="1504">
        <f t="shared" si="3"/>
        <v>1</v>
      </c>
      <c r="AB19" s="1504">
        <f t="shared" si="4"/>
        <v>1</v>
      </c>
      <c r="AC19" s="1504">
        <f t="shared" si="5"/>
        <v>1</v>
      </c>
    </row>
    <row r="20" spans="1:29" ht="15">
      <c r="A20" s="386"/>
      <c r="B20" s="414"/>
      <c r="C20" s="405"/>
      <c r="D20" s="406"/>
      <c r="E20" s="2050"/>
      <c r="F20" s="406"/>
      <c r="G20" s="2050"/>
      <c r="H20" s="406"/>
      <c r="I20" s="2049"/>
      <c r="J20" s="406"/>
      <c r="K20" s="627"/>
      <c r="L20" s="2917"/>
      <c r="M20" s="2911"/>
      <c r="N20" s="2911"/>
      <c r="O20" s="2969"/>
      <c r="P20" s="3624"/>
      <c r="Q20" s="1503"/>
      <c r="R20" s="712"/>
      <c r="S20" s="713"/>
      <c r="T20" s="712"/>
      <c r="U20" s="713"/>
      <c r="V20" s="712"/>
      <c r="W20" s="713"/>
      <c r="X20" s="1506"/>
      <c r="Y20" s="3624"/>
      <c r="Z20" s="1507"/>
      <c r="AA20" s="1504">
        <v>1</v>
      </c>
      <c r="AB20" s="1504">
        <v>1</v>
      </c>
      <c r="AC20" s="1504">
        <v>1</v>
      </c>
    </row>
    <row r="21" spans="1:29" ht="85.5">
      <c r="A21" s="386"/>
      <c r="B21" s="409" t="s">
        <v>2470</v>
      </c>
      <c r="C21" s="205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7"/>
      <c r="M21" s="2911"/>
      <c r="N21" s="2911"/>
      <c r="O21" s="2969"/>
      <c r="P21" s="3624"/>
      <c r="Q21" s="1503" t="str">
        <f>B21</f>
        <v>交通便捷度</v>
      </c>
      <c r="R21" s="712" t="s">
        <v>17</v>
      </c>
      <c r="S21" s="713">
        <f>F21</f>
        <v>100</v>
      </c>
      <c r="T21" s="712" t="s">
        <v>17</v>
      </c>
      <c r="U21" s="713">
        <f>H21</f>
        <v>100</v>
      </c>
      <c r="V21" s="712" t="s">
        <v>17</v>
      </c>
      <c r="W21" s="713">
        <f>J21</f>
        <v>100</v>
      </c>
      <c r="X21" s="1506"/>
      <c r="Y21" s="3624"/>
      <c r="Z21" s="1507" t="str">
        <f>Q21</f>
        <v>交通便捷度</v>
      </c>
      <c r="AA21" s="1504">
        <f t="shared" si="3"/>
        <v>1</v>
      </c>
      <c r="AB21" s="1504">
        <f t="shared" si="4"/>
        <v>1</v>
      </c>
      <c r="AC21" s="1504">
        <f t="shared" si="5"/>
        <v>1</v>
      </c>
    </row>
    <row r="22" spans="1:29" ht="15">
      <c r="A22" s="386"/>
      <c r="B22" s="1262"/>
      <c r="C22" s="405"/>
      <c r="D22" s="408"/>
      <c r="E22" s="2050"/>
      <c r="F22" s="406"/>
      <c r="G22" s="2050"/>
      <c r="H22" s="406"/>
      <c r="I22" s="2049"/>
      <c r="J22" s="406"/>
      <c r="K22" s="627"/>
      <c r="L22" s="2917"/>
      <c r="M22" s="2911"/>
      <c r="N22" s="2911"/>
      <c r="O22" s="2969"/>
      <c r="P22" s="3624"/>
      <c r="Q22" s="1503"/>
      <c r="R22" s="712"/>
      <c r="S22" s="713"/>
      <c r="T22" s="712"/>
      <c r="U22" s="713"/>
      <c r="V22" s="712"/>
      <c r="W22" s="713"/>
      <c r="X22" s="1506"/>
      <c r="Y22" s="3624"/>
      <c r="Z22" s="1507"/>
      <c r="AA22" s="1504">
        <v>1</v>
      </c>
      <c r="AB22" s="1504">
        <v>1</v>
      </c>
      <c r="AC22" s="1504">
        <v>1</v>
      </c>
    </row>
    <row r="23" spans="1:29" ht="15">
      <c r="A23" s="363"/>
      <c r="B23" s="409" t="s">
        <v>2508</v>
      </c>
      <c r="C23" s="126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7"/>
      <c r="M23" s="2911"/>
      <c r="N23" s="2911"/>
      <c r="O23" s="2969"/>
      <c r="P23" s="3624"/>
      <c r="Q23" s="1503" t="str">
        <f t="shared" ref="Q23:Q37" si="8">B23</f>
        <v>区域土地利用方向</v>
      </c>
      <c r="R23" s="712" t="s">
        <v>17</v>
      </c>
      <c r="S23" s="713">
        <f>F23</f>
        <v>100</v>
      </c>
      <c r="T23" s="712" t="s">
        <v>17</v>
      </c>
      <c r="U23" s="713">
        <f>H23</f>
        <v>100</v>
      </c>
      <c r="V23" s="712" t="s">
        <v>17</v>
      </c>
      <c r="W23" s="713">
        <f>J23</f>
        <v>100</v>
      </c>
      <c r="X23" s="1506"/>
      <c r="Y23" s="3624"/>
      <c r="Z23" s="1507" t="str">
        <f>Q23</f>
        <v>区域土地利用方向</v>
      </c>
      <c r="AA23" s="1504">
        <f t="shared" si="3"/>
        <v>1</v>
      </c>
      <c r="AB23" s="1504">
        <f t="shared" si="4"/>
        <v>1</v>
      </c>
      <c r="AC23" s="1504">
        <f t="shared" si="5"/>
        <v>1</v>
      </c>
    </row>
    <row r="24" spans="1:29" ht="15">
      <c r="A24" s="363"/>
      <c r="B24" s="414"/>
      <c r="C24" s="572"/>
      <c r="D24" s="406"/>
      <c r="E24" s="2050"/>
      <c r="F24" s="406"/>
      <c r="G24" s="2049"/>
      <c r="H24" s="406"/>
      <c r="I24" s="2049"/>
      <c r="J24" s="406"/>
      <c r="K24" s="749"/>
      <c r="L24" s="2917"/>
      <c r="M24" s="2911"/>
      <c r="N24" s="2911"/>
      <c r="O24" s="2969"/>
      <c r="P24" s="3624"/>
      <c r="Q24" s="1503"/>
      <c r="R24" s="712"/>
      <c r="S24" s="713"/>
      <c r="T24" s="712"/>
      <c r="U24" s="713"/>
      <c r="V24" s="712"/>
      <c r="W24" s="713"/>
      <c r="X24" s="1506"/>
      <c r="Y24" s="3624"/>
      <c r="Z24" s="1507"/>
      <c r="AA24" s="1504"/>
      <c r="AB24" s="1504"/>
      <c r="AC24" s="1504"/>
    </row>
    <row r="25" spans="1:29" ht="57">
      <c r="A25" s="363"/>
      <c r="B25" s="1262" t="s">
        <v>2509</v>
      </c>
      <c r="C25" s="210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7"/>
      <c r="M25" s="2911"/>
      <c r="N25" s="2911"/>
      <c r="O25" s="2969"/>
      <c r="P25" s="3624"/>
      <c r="Q25" s="1503" t="str">
        <f t="shared" si="8"/>
        <v>自然及人文环境状况</v>
      </c>
      <c r="R25" s="712" t="s">
        <v>17</v>
      </c>
      <c r="S25" s="713">
        <f>F25</f>
        <v>100</v>
      </c>
      <c r="T25" s="712" t="s">
        <v>17</v>
      </c>
      <c r="U25" s="713">
        <f>H25</f>
        <v>100</v>
      </c>
      <c r="V25" s="712" t="s">
        <v>17</v>
      </c>
      <c r="W25" s="713">
        <f>J25</f>
        <v>100</v>
      </c>
      <c r="X25" s="1506"/>
      <c r="Y25" s="3624"/>
      <c r="Z25" s="1507" t="str">
        <f>Q25</f>
        <v>自然及人文环境状况</v>
      </c>
      <c r="AA25" s="1504">
        <f t="shared" si="3"/>
        <v>1</v>
      </c>
      <c r="AB25" s="1504">
        <f t="shared" si="4"/>
        <v>1</v>
      </c>
      <c r="AC25" s="1504">
        <f t="shared" si="5"/>
        <v>1</v>
      </c>
    </row>
    <row r="26" spans="1:29" ht="15">
      <c r="A26" s="363"/>
      <c r="B26" s="414"/>
      <c r="C26" s="405"/>
      <c r="D26" s="406"/>
      <c r="E26" s="2056"/>
      <c r="F26" s="406"/>
      <c r="G26" s="2056"/>
      <c r="H26" s="406"/>
      <c r="I26" s="405"/>
      <c r="J26" s="406"/>
      <c r="K26" s="627"/>
      <c r="L26" s="2917"/>
      <c r="M26" s="2911"/>
      <c r="N26" s="2911"/>
      <c r="O26" s="2969"/>
      <c r="P26" s="3624"/>
      <c r="Q26" s="1503"/>
      <c r="R26" s="712"/>
      <c r="S26" s="713"/>
      <c r="T26" s="712"/>
      <c r="U26" s="713"/>
      <c r="V26" s="712"/>
      <c r="W26" s="713"/>
      <c r="X26" s="1506"/>
      <c r="Y26" s="3624"/>
      <c r="Z26" s="1507"/>
      <c r="AA26" s="1504">
        <v>1</v>
      </c>
      <c r="AB26" s="1504">
        <v>1</v>
      </c>
      <c r="AC26" s="1504">
        <v>1</v>
      </c>
    </row>
    <row r="27" spans="1:29" s="113" customFormat="1" ht="42.75">
      <c r="A27" s="604"/>
      <c r="B27" s="1262" t="s">
        <v>2415</v>
      </c>
      <c r="C27" s="205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2"/>
      <c r="M27" s="2913"/>
      <c r="N27" s="2913"/>
      <c r="O27" s="2967"/>
      <c r="P27" s="3624"/>
      <c r="Q27" s="1494" t="str">
        <f t="shared" si="8"/>
        <v>公共配套设施</v>
      </c>
      <c r="R27" s="708" t="s">
        <v>17</v>
      </c>
      <c r="S27" s="709">
        <f>F27</f>
        <v>100</v>
      </c>
      <c r="T27" s="708" t="s">
        <v>17</v>
      </c>
      <c r="U27" s="709">
        <f>H27</f>
        <v>100</v>
      </c>
      <c r="V27" s="708" t="s">
        <v>17</v>
      </c>
      <c r="W27" s="709">
        <f>J27</f>
        <v>100</v>
      </c>
      <c r="X27" s="710"/>
      <c r="Y27" s="3624"/>
      <c r="Z27" s="55" t="str">
        <f>Q27</f>
        <v>公共配套设施</v>
      </c>
      <c r="AA27" s="1504">
        <f>D27/F27</f>
        <v>1</v>
      </c>
      <c r="AB27" s="1504">
        <f>D27/H27</f>
        <v>1</v>
      </c>
      <c r="AC27" s="1504">
        <f>D27/J27</f>
        <v>1</v>
      </c>
    </row>
    <row r="28" spans="1:29" s="113" customFormat="1" ht="15">
      <c r="A28" s="604"/>
      <c r="B28" s="414"/>
      <c r="C28" s="2130"/>
      <c r="D28" s="406"/>
      <c r="E28" s="2056"/>
      <c r="F28" s="406"/>
      <c r="G28" s="2056"/>
      <c r="H28" s="406"/>
      <c r="I28" s="405"/>
      <c r="J28" s="406"/>
      <c r="K28" s="627"/>
      <c r="L28" s="2912"/>
      <c r="M28" s="2913"/>
      <c r="N28" s="2913"/>
      <c r="O28" s="2967"/>
      <c r="P28" s="3624"/>
      <c r="Q28" s="1494"/>
      <c r="R28" s="708"/>
      <c r="S28" s="709"/>
      <c r="T28" s="708"/>
      <c r="U28" s="709"/>
      <c r="V28" s="708"/>
      <c r="W28" s="709"/>
      <c r="X28" s="710"/>
      <c r="Y28" s="3624"/>
      <c r="Z28" s="55"/>
      <c r="AA28" s="1504">
        <v>1</v>
      </c>
      <c r="AB28" s="1504">
        <v>1</v>
      </c>
      <c r="AC28" s="1504">
        <v>1</v>
      </c>
    </row>
    <row r="29" spans="1:29" s="113" customFormat="1" ht="28.5">
      <c r="A29" s="604"/>
      <c r="B29" s="1262" t="s">
        <v>2416</v>
      </c>
      <c r="C29" s="205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2"/>
      <c r="M29" s="2913"/>
      <c r="N29" s="2913"/>
      <c r="O29" s="2967"/>
      <c r="P29" s="3624"/>
      <c r="Q29" s="1494" t="str">
        <f t="shared" ref="Q29" si="9">B29</f>
        <v>基础设施水平</v>
      </c>
      <c r="R29" s="708" t="s">
        <v>17</v>
      </c>
      <c r="S29" s="709">
        <f>F29</f>
        <v>100</v>
      </c>
      <c r="T29" s="708" t="s">
        <v>17</v>
      </c>
      <c r="U29" s="709">
        <f>H29</f>
        <v>100</v>
      </c>
      <c r="V29" s="708" t="s">
        <v>17</v>
      </c>
      <c r="W29" s="709">
        <f>J29</f>
        <v>100</v>
      </c>
      <c r="X29" s="710"/>
      <c r="Y29" s="3624"/>
      <c r="Z29" s="55" t="str">
        <f>Q29</f>
        <v>基础设施水平</v>
      </c>
      <c r="AA29" s="1504">
        <f>D29/F29</f>
        <v>1</v>
      </c>
      <c r="AB29" s="1504">
        <f>D29/H29</f>
        <v>1</v>
      </c>
      <c r="AC29" s="1504">
        <f>D29/J29</f>
        <v>1</v>
      </c>
    </row>
    <row r="30" spans="1:29" s="113" customFormat="1" ht="15">
      <c r="A30" s="604"/>
      <c r="B30" s="414"/>
      <c r="C30" s="2130"/>
      <c r="D30" s="406"/>
      <c r="E30" s="2131"/>
      <c r="F30" s="406"/>
      <c r="G30" s="2131"/>
      <c r="H30" s="406"/>
      <c r="I30" s="2131"/>
      <c r="J30" s="406"/>
      <c r="K30" s="627"/>
      <c r="L30" s="2912"/>
      <c r="M30" s="2913"/>
      <c r="N30" s="2913"/>
      <c r="O30" s="2967"/>
      <c r="P30" s="3624"/>
      <c r="Q30" s="1494"/>
      <c r="R30" s="708"/>
      <c r="S30" s="709"/>
      <c r="T30" s="708"/>
      <c r="U30" s="709"/>
      <c r="V30" s="708"/>
      <c r="W30" s="709"/>
      <c r="X30" s="710"/>
      <c r="Y30" s="3624"/>
      <c r="Z30" s="55"/>
      <c r="AA30" s="1504">
        <v>1</v>
      </c>
      <c r="AB30" s="1504">
        <v>1</v>
      </c>
      <c r="AC30" s="1504">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7"/>
      <c r="M31" s="2911"/>
      <c r="N31" s="2911"/>
      <c r="O31" s="2969"/>
      <c r="P31" s="3624"/>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624"/>
      <c r="Z31" s="1507" t="str">
        <f t="shared" ref="Z31:Z45" si="13">Q31</f>
        <v>临街状况</v>
      </c>
      <c r="AA31" s="1504">
        <f t="shared" si="3"/>
        <v>1</v>
      </c>
      <c r="AB31" s="1504">
        <f t="shared" si="4"/>
        <v>1</v>
      </c>
      <c r="AC31" s="1504">
        <f t="shared" si="5"/>
        <v>1</v>
      </c>
    </row>
    <row r="32" spans="1:29" ht="27">
      <c r="A32" s="386"/>
      <c r="B32" s="1262"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7"/>
      <c r="M32" s="2911"/>
      <c r="N32" s="2911"/>
      <c r="O32" s="2969"/>
      <c r="P32" s="3624"/>
      <c r="Q32" s="1503" t="str">
        <f t="shared" si="8"/>
        <v>毗邻道路的类型与等级</v>
      </c>
      <c r="R32" s="712" t="s">
        <v>17</v>
      </c>
      <c r="S32" s="713">
        <f t="shared" si="10"/>
        <v>100</v>
      </c>
      <c r="T32" s="712" t="s">
        <v>17</v>
      </c>
      <c r="U32" s="713">
        <f t="shared" si="11"/>
        <v>100</v>
      </c>
      <c r="V32" s="712" t="s">
        <v>17</v>
      </c>
      <c r="W32" s="713">
        <f t="shared" si="12"/>
        <v>100</v>
      </c>
      <c r="X32" s="1506"/>
      <c r="Y32" s="3624"/>
      <c r="Z32" s="1507" t="str">
        <f t="shared" si="13"/>
        <v>毗邻道路的类型与等级</v>
      </c>
      <c r="AA32" s="1504">
        <f t="shared" si="3"/>
        <v>1</v>
      </c>
      <c r="AB32" s="1504">
        <f t="shared" si="4"/>
        <v>1</v>
      </c>
      <c r="AC32" s="1504">
        <f t="shared" si="5"/>
        <v>1</v>
      </c>
    </row>
    <row r="33" spans="1:29" ht="15">
      <c r="A33" s="386"/>
      <c r="B33" s="414"/>
      <c r="C33" s="405"/>
      <c r="D33" s="406"/>
      <c r="E33" s="2056"/>
      <c r="F33" s="406"/>
      <c r="G33" s="2056"/>
      <c r="H33" s="406"/>
      <c r="I33" s="405"/>
      <c r="J33" s="406"/>
      <c r="K33" s="569"/>
      <c r="L33" s="2917"/>
      <c r="M33" s="2911"/>
      <c r="N33" s="2911"/>
      <c r="O33" s="2969"/>
      <c r="P33" s="3624"/>
      <c r="Q33" s="1503"/>
      <c r="R33" s="712"/>
      <c r="S33" s="713"/>
      <c r="T33" s="712"/>
      <c r="U33" s="713"/>
      <c r="V33" s="712"/>
      <c r="W33" s="713"/>
      <c r="X33" s="1506"/>
      <c r="Y33" s="3624"/>
      <c r="Z33" s="1507"/>
      <c r="AA33" s="1504">
        <v>1</v>
      </c>
      <c r="AB33" s="1504">
        <v>1</v>
      </c>
      <c r="AC33" s="1504">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7"/>
      <c r="M34" s="2911"/>
      <c r="N34" s="2911"/>
      <c r="O34" s="2969"/>
      <c r="P34" s="3624"/>
      <c r="Q34" s="1503" t="str">
        <f t="shared" si="8"/>
        <v>土地级别</v>
      </c>
      <c r="R34" s="712" t="s">
        <v>17</v>
      </c>
      <c r="S34" s="713">
        <f t="shared" si="10"/>
        <v>100</v>
      </c>
      <c r="T34" s="712" t="s">
        <v>17</v>
      </c>
      <c r="U34" s="713">
        <f t="shared" si="11"/>
        <v>100</v>
      </c>
      <c r="V34" s="712" t="s">
        <v>17</v>
      </c>
      <c r="W34" s="713">
        <f t="shared" si="12"/>
        <v>100</v>
      </c>
      <c r="X34" s="1506"/>
      <c r="Y34" s="3624"/>
      <c r="Z34" s="1507" t="str">
        <f t="shared" si="13"/>
        <v>土地级别</v>
      </c>
      <c r="AA34" s="1504">
        <f t="shared" si="3"/>
        <v>1</v>
      </c>
      <c r="AB34" s="1504">
        <f t="shared" si="4"/>
        <v>1</v>
      </c>
      <c r="AC34" s="1504">
        <f t="shared" si="5"/>
        <v>1</v>
      </c>
    </row>
    <row r="35" spans="1:29" ht="15">
      <c r="A35" s="363"/>
      <c r="B35" s="126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7"/>
      <c r="M35" s="2911"/>
      <c r="N35" s="2911"/>
      <c r="O35" s="2969"/>
      <c r="P35" s="3624"/>
      <c r="Q35" s="1503">
        <f t="shared" si="8"/>
        <v>111</v>
      </c>
      <c r="R35" s="712" t="s">
        <v>17</v>
      </c>
      <c r="S35" s="713">
        <f t="shared" si="10"/>
        <v>100</v>
      </c>
      <c r="T35" s="712" t="s">
        <v>17</v>
      </c>
      <c r="U35" s="713">
        <f t="shared" si="11"/>
        <v>100</v>
      </c>
      <c r="V35" s="712" t="s">
        <v>17</v>
      </c>
      <c r="W35" s="713">
        <f t="shared" si="12"/>
        <v>100</v>
      </c>
      <c r="X35" s="1506"/>
      <c r="Y35" s="3624"/>
      <c r="Z35" s="1507">
        <f t="shared" si="13"/>
        <v>111</v>
      </c>
      <c r="AA35" s="1504">
        <f t="shared" si="3"/>
        <v>1</v>
      </c>
      <c r="AB35" s="1504">
        <f t="shared" si="4"/>
        <v>1</v>
      </c>
      <c r="AC35" s="1504">
        <f t="shared" si="5"/>
        <v>1</v>
      </c>
    </row>
    <row r="36" spans="1:29" ht="15">
      <c r="A36" s="630"/>
      <c r="B36" s="126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7"/>
      <c r="M36" s="2911"/>
      <c r="N36" s="2911"/>
      <c r="O36" s="2969"/>
      <c r="P36" s="3743" t="s">
        <v>2326</v>
      </c>
      <c r="Q36" s="1503">
        <f t="shared" si="8"/>
        <v>111</v>
      </c>
      <c r="R36" s="712" t="s">
        <v>17</v>
      </c>
      <c r="S36" s="713">
        <f t="shared" si="10"/>
        <v>100</v>
      </c>
      <c r="T36" s="712" t="s">
        <v>17</v>
      </c>
      <c r="U36" s="713">
        <f t="shared" si="11"/>
        <v>100</v>
      </c>
      <c r="V36" s="712" t="s">
        <v>17</v>
      </c>
      <c r="W36" s="713">
        <f t="shared" si="12"/>
        <v>100</v>
      </c>
      <c r="X36" s="1506"/>
      <c r="Y36" s="3628" t="s">
        <v>2326</v>
      </c>
      <c r="Z36" s="1507">
        <f t="shared" si="13"/>
        <v>111</v>
      </c>
      <c r="AA36" s="1504">
        <f t="shared" si="3"/>
        <v>1</v>
      </c>
      <c r="AB36" s="1504">
        <f t="shared" si="4"/>
        <v>1</v>
      </c>
      <c r="AC36" s="1504">
        <f t="shared" si="5"/>
        <v>1</v>
      </c>
    </row>
    <row r="37" spans="1:29" s="429" customFormat="1" ht="15.75" thickBot="1">
      <c r="A37" s="631"/>
      <c r="B37" s="1266">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6"/>
      <c r="M37" s="2918"/>
      <c r="N37" s="2918"/>
      <c r="O37" s="2970"/>
      <c r="P37" s="3628"/>
      <c r="Q37" s="1503">
        <f t="shared" si="8"/>
        <v>111</v>
      </c>
      <c r="R37" s="715" t="s">
        <v>17</v>
      </c>
      <c r="S37" s="716">
        <f t="shared" si="10"/>
        <v>100</v>
      </c>
      <c r="T37" s="715" t="s">
        <v>17</v>
      </c>
      <c r="U37" s="716">
        <f t="shared" si="11"/>
        <v>100</v>
      </c>
      <c r="V37" s="715" t="s">
        <v>17</v>
      </c>
      <c r="W37" s="716">
        <f t="shared" si="12"/>
        <v>100</v>
      </c>
      <c r="X37" s="717"/>
      <c r="Y37" s="3628"/>
      <c r="Z37" s="718">
        <f t="shared" si="13"/>
        <v>111</v>
      </c>
      <c r="AA37" s="1504">
        <f t="shared" si="3"/>
        <v>1</v>
      </c>
      <c r="AB37" s="1504">
        <f t="shared" si="4"/>
        <v>1</v>
      </c>
      <c r="AC37" s="1504">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7"/>
      <c r="M38" s="2911"/>
      <c r="N38" s="2911"/>
      <c r="O38" s="2969"/>
      <c r="P38" s="3628"/>
      <c r="Q38" s="1503" t="str">
        <f>B38</f>
        <v>宗地面积</v>
      </c>
      <c r="R38" s="712" t="s">
        <v>17</v>
      </c>
      <c r="S38" s="713" t="e">
        <f t="shared" si="10"/>
        <v>#N/A</v>
      </c>
      <c r="T38" s="712" t="s">
        <v>17</v>
      </c>
      <c r="U38" s="713" t="e">
        <f t="shared" si="11"/>
        <v>#N/A</v>
      </c>
      <c r="V38" s="712" t="s">
        <v>17</v>
      </c>
      <c r="W38" s="713" t="e">
        <f t="shared" si="12"/>
        <v>#N/A</v>
      </c>
      <c r="X38" s="1506"/>
      <c r="Y38" s="3628"/>
      <c r="Z38" s="1507" t="str">
        <f t="shared" si="13"/>
        <v>宗地面积</v>
      </c>
      <c r="AA38" s="1504" t="e">
        <f t="shared" si="3"/>
        <v>#N/A</v>
      </c>
      <c r="AB38" s="1504" t="e">
        <f t="shared" si="4"/>
        <v>#N/A</v>
      </c>
      <c r="AC38" s="1504" t="e">
        <f t="shared" si="5"/>
        <v>#N/A</v>
      </c>
    </row>
    <row r="39" spans="1:29" ht="15">
      <c r="A39" s="430"/>
      <c r="B39" s="380" t="s">
        <v>2512</v>
      </c>
      <c r="C39" s="2058"/>
      <c r="D39" s="393">
        <v>100</v>
      </c>
      <c r="E39" s="2058"/>
      <c r="F39" s="393">
        <f>SUMIF(119:119,E39,120:120)-SUMIF(119:119,C39,120:120)+100</f>
        <v>100</v>
      </c>
      <c r="G39" s="2058"/>
      <c r="H39" s="393">
        <f>SUMIF(119:119,G39,120:120)-SUMIF(119:119,C39,120:120)+100</f>
        <v>100</v>
      </c>
      <c r="I39" s="2058"/>
      <c r="J39" s="393">
        <f>SUMIF(119:119,I39,120:120)-SUMIF(119:119,C39,120:120)+100</f>
        <v>100</v>
      </c>
      <c r="K39" s="568"/>
      <c r="L39" s="2917"/>
      <c r="M39" s="2911"/>
      <c r="N39" s="2911"/>
      <c r="O39" s="2969"/>
      <c r="P39" s="3628"/>
      <c r="Q39" s="1503" t="str">
        <f t="shared" ref="Q39:Q45" si="14">B39</f>
        <v>宗地形状</v>
      </c>
      <c r="R39" s="712" t="s">
        <v>17</v>
      </c>
      <c r="S39" s="713">
        <f t="shared" si="10"/>
        <v>100</v>
      </c>
      <c r="T39" s="712" t="s">
        <v>17</v>
      </c>
      <c r="U39" s="713">
        <f t="shared" si="11"/>
        <v>100</v>
      </c>
      <c r="V39" s="712" t="s">
        <v>17</v>
      </c>
      <c r="W39" s="713">
        <f t="shared" si="12"/>
        <v>100</v>
      </c>
      <c r="X39" s="1506"/>
      <c r="Y39" s="3628"/>
      <c r="Z39" s="1507" t="str">
        <f t="shared" si="13"/>
        <v>宗地形状</v>
      </c>
      <c r="AA39" s="1504">
        <f t="shared" si="3"/>
        <v>1</v>
      </c>
      <c r="AB39" s="1504">
        <f t="shared" si="4"/>
        <v>1</v>
      </c>
      <c r="AC39" s="1504">
        <f t="shared" si="5"/>
        <v>1</v>
      </c>
    </row>
    <row r="40" spans="1:29" ht="15">
      <c r="A40" s="430"/>
      <c r="B40" s="380" t="s">
        <v>2513</v>
      </c>
      <c r="C40" s="2058"/>
      <c r="D40" s="393">
        <v>100</v>
      </c>
      <c r="E40" s="2058"/>
      <c r="F40" s="393">
        <f>SUMIF(121:121,E40,122:122)-SUMIF(121:121,C40,122:122)+100</f>
        <v>100</v>
      </c>
      <c r="G40" s="2058"/>
      <c r="H40" s="393">
        <f>SUMIF(121:121,G40,122:122)-SUMIF(121:121,C40,122:122)+100</f>
        <v>100</v>
      </c>
      <c r="I40" s="2058"/>
      <c r="J40" s="393">
        <f>SUMIF(121:121,I40,122:122)-SUMIF(121:121,C40,122:122)+100</f>
        <v>100</v>
      </c>
      <c r="K40" s="568"/>
      <c r="L40" s="2917"/>
      <c r="M40" s="2911"/>
      <c r="N40" s="2911"/>
      <c r="O40" s="2969"/>
      <c r="P40" s="3628"/>
      <c r="Q40" s="1503" t="str">
        <f t="shared" si="14"/>
        <v>临街宽度及深度</v>
      </c>
      <c r="R40" s="712" t="s">
        <v>17</v>
      </c>
      <c r="S40" s="713">
        <f t="shared" si="10"/>
        <v>100</v>
      </c>
      <c r="T40" s="712" t="s">
        <v>17</v>
      </c>
      <c r="U40" s="713">
        <f t="shared" si="11"/>
        <v>100</v>
      </c>
      <c r="V40" s="712" t="s">
        <v>17</v>
      </c>
      <c r="W40" s="713">
        <f t="shared" si="12"/>
        <v>100</v>
      </c>
      <c r="X40" s="1506"/>
      <c r="Y40" s="3628"/>
      <c r="Z40" s="1507" t="str">
        <f t="shared" si="13"/>
        <v>临街宽度及深度</v>
      </c>
      <c r="AA40" s="1504">
        <f t="shared" si="3"/>
        <v>1</v>
      </c>
      <c r="AB40" s="1504">
        <f t="shared" si="4"/>
        <v>1</v>
      </c>
      <c r="AC40" s="1504">
        <f t="shared" si="5"/>
        <v>1</v>
      </c>
    </row>
    <row r="41" spans="1:29" s="113" customFormat="1" ht="15">
      <c r="A41" s="431"/>
      <c r="B41" s="380" t="s">
        <v>2514</v>
      </c>
      <c r="C41" s="2132"/>
      <c r="D41" s="132">
        <v>100</v>
      </c>
      <c r="E41" s="2132"/>
      <c r="F41" s="393">
        <f>SUMIF(123:123,E41,124:124)-SUMIF(123:123,C41,124:124)+100</f>
        <v>100</v>
      </c>
      <c r="G41" s="2132"/>
      <c r="H41" s="393">
        <f>SUMIF(123:123,G41,124:124)-SUMIF(123:123,C41,124:124)+100</f>
        <v>100</v>
      </c>
      <c r="I41" s="2132"/>
      <c r="J41" s="393">
        <f>SUMIF(123:123,I41,124:124)-SUMIF(123:123,C41,124:124)+100</f>
        <v>100</v>
      </c>
      <c r="K41" s="568"/>
      <c r="L41" s="2912"/>
      <c r="M41" s="2913"/>
      <c r="N41" s="2913"/>
      <c r="O41" s="2967"/>
      <c r="P41" s="3628"/>
      <c r="Q41" s="1503" t="str">
        <f t="shared" si="14"/>
        <v>宗地开发程度</v>
      </c>
      <c r="R41" s="708" t="s">
        <v>17</v>
      </c>
      <c r="S41" s="709">
        <f t="shared" si="10"/>
        <v>100</v>
      </c>
      <c r="T41" s="708" t="s">
        <v>17</v>
      </c>
      <c r="U41" s="709">
        <f t="shared" si="11"/>
        <v>100</v>
      </c>
      <c r="V41" s="708" t="s">
        <v>17</v>
      </c>
      <c r="W41" s="709">
        <f t="shared" si="12"/>
        <v>100</v>
      </c>
      <c r="X41" s="710"/>
      <c r="Y41" s="3628"/>
      <c r="Z41" s="55" t="str">
        <f t="shared" si="13"/>
        <v>宗地开发程度</v>
      </c>
      <c r="AA41" s="711">
        <f t="shared" si="3"/>
        <v>1</v>
      </c>
      <c r="AB41" s="711">
        <f t="shared" si="4"/>
        <v>1</v>
      </c>
      <c r="AC41" s="711">
        <f t="shared" si="5"/>
        <v>1</v>
      </c>
    </row>
    <row r="42" spans="1:29" ht="15">
      <c r="A42" s="430"/>
      <c r="B42" s="380" t="s">
        <v>2515</v>
      </c>
      <c r="C42" s="2058"/>
      <c r="D42" s="393">
        <v>100</v>
      </c>
      <c r="E42" s="2058"/>
      <c r="F42" s="393">
        <f>SUMIF(125:125,E42,126:126)-SUMIF(125:125,C42,126:126)+100</f>
        <v>100</v>
      </c>
      <c r="G42" s="2058"/>
      <c r="H42" s="393">
        <f>SUMIF(125:125,G42,126:126)-SUMIF(125:125,C42,126:126)+100</f>
        <v>100</v>
      </c>
      <c r="I42" s="2058"/>
      <c r="J42" s="393">
        <f>SUMIF(125:125,I42,126:126)-SUMIF(125:125,C42,126:126)+100</f>
        <v>100</v>
      </c>
      <c r="K42" s="568"/>
      <c r="L42" s="2917"/>
      <c r="M42" s="2911"/>
      <c r="N42" s="2911"/>
      <c r="O42" s="2969"/>
      <c r="P42" s="3628" t="s">
        <v>2326</v>
      </c>
      <c r="Q42" s="1503" t="str">
        <f t="shared" si="14"/>
        <v>工程地质条件</v>
      </c>
      <c r="R42" s="712" t="s">
        <v>17</v>
      </c>
      <c r="S42" s="713">
        <f t="shared" si="10"/>
        <v>100</v>
      </c>
      <c r="T42" s="712" t="s">
        <v>17</v>
      </c>
      <c r="U42" s="713">
        <f t="shared" si="11"/>
        <v>100</v>
      </c>
      <c r="V42" s="712" t="s">
        <v>17</v>
      </c>
      <c r="W42" s="713">
        <f t="shared" si="12"/>
        <v>100</v>
      </c>
      <c r="X42" s="1506"/>
      <c r="Y42" s="3628" t="s">
        <v>2326</v>
      </c>
      <c r="Z42" s="1507" t="str">
        <f t="shared" si="13"/>
        <v>工程地质条件</v>
      </c>
      <c r="AA42" s="1504">
        <f t="shared" si="3"/>
        <v>1</v>
      </c>
      <c r="AB42" s="1504">
        <f t="shared" si="4"/>
        <v>1</v>
      </c>
      <c r="AC42" s="1504">
        <f t="shared" si="5"/>
        <v>1</v>
      </c>
    </row>
    <row r="43" spans="1:29" ht="15">
      <c r="A43" s="430"/>
      <c r="B43" s="126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7"/>
      <c r="M43" s="2911"/>
      <c r="N43" s="2911"/>
      <c r="O43" s="2969"/>
      <c r="P43" s="3628"/>
      <c r="Q43" s="1503">
        <f t="shared" si="14"/>
        <v>111</v>
      </c>
      <c r="R43" s="712" t="s">
        <v>17</v>
      </c>
      <c r="S43" s="713">
        <f t="shared" si="10"/>
        <v>100</v>
      </c>
      <c r="T43" s="712" t="s">
        <v>17</v>
      </c>
      <c r="U43" s="713">
        <f t="shared" si="11"/>
        <v>100</v>
      </c>
      <c r="V43" s="712" t="s">
        <v>17</v>
      </c>
      <c r="W43" s="713">
        <f t="shared" si="12"/>
        <v>100</v>
      </c>
      <c r="X43" s="1506"/>
      <c r="Y43" s="3628"/>
      <c r="Z43" s="1507">
        <f t="shared" si="13"/>
        <v>111</v>
      </c>
      <c r="AA43" s="1504">
        <f t="shared" si="3"/>
        <v>1</v>
      </c>
      <c r="AB43" s="1504">
        <f t="shared" si="4"/>
        <v>1</v>
      </c>
      <c r="AC43" s="1504">
        <f t="shared" si="5"/>
        <v>1</v>
      </c>
    </row>
    <row r="44" spans="1:29" ht="15">
      <c r="A44" s="430"/>
      <c r="B44" s="126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7"/>
      <c r="M44" s="2911"/>
      <c r="N44" s="2911"/>
      <c r="O44" s="2969"/>
      <c r="P44" s="3628"/>
      <c r="Q44" s="1503">
        <f t="shared" si="14"/>
        <v>111</v>
      </c>
      <c r="R44" s="712" t="s">
        <v>17</v>
      </c>
      <c r="S44" s="713">
        <f t="shared" si="10"/>
        <v>100</v>
      </c>
      <c r="T44" s="712" t="s">
        <v>17</v>
      </c>
      <c r="U44" s="713">
        <f t="shared" si="11"/>
        <v>100</v>
      </c>
      <c r="V44" s="712" t="s">
        <v>17</v>
      </c>
      <c r="W44" s="713">
        <f t="shared" si="12"/>
        <v>100</v>
      </c>
      <c r="X44" s="1506"/>
      <c r="Y44" s="3628"/>
      <c r="Z44" s="1507">
        <f t="shared" si="13"/>
        <v>111</v>
      </c>
      <c r="AA44" s="1504">
        <f t="shared" si="3"/>
        <v>1</v>
      </c>
      <c r="AB44" s="1504">
        <f t="shared" si="4"/>
        <v>1</v>
      </c>
      <c r="AC44" s="1504">
        <f t="shared" si="5"/>
        <v>1</v>
      </c>
    </row>
    <row r="45" spans="1:29" s="429" customFormat="1" ht="15.75" thickBot="1">
      <c r="A45" s="426"/>
      <c r="B45" s="1265">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6"/>
      <c r="M45" s="2918"/>
      <c r="N45" s="2918"/>
      <c r="O45" s="2970"/>
      <c r="P45" s="3628"/>
      <c r="Q45" s="1503">
        <f t="shared" si="14"/>
        <v>111</v>
      </c>
      <c r="R45" s="715" t="s">
        <v>17</v>
      </c>
      <c r="S45" s="716">
        <f t="shared" si="10"/>
        <v>100</v>
      </c>
      <c r="T45" s="715" t="s">
        <v>17</v>
      </c>
      <c r="U45" s="716">
        <f t="shared" si="11"/>
        <v>100</v>
      </c>
      <c r="V45" s="715" t="s">
        <v>17</v>
      </c>
      <c r="W45" s="716">
        <f t="shared" si="12"/>
        <v>100</v>
      </c>
      <c r="X45" s="717"/>
      <c r="Y45" s="3628"/>
      <c r="Z45" s="718">
        <f t="shared" si="13"/>
        <v>111</v>
      </c>
      <c r="AA45" s="1504">
        <f t="shared" si="3"/>
        <v>1</v>
      </c>
      <c r="AB45" s="1504">
        <f t="shared" si="4"/>
        <v>1</v>
      </c>
      <c r="AC45" s="1504">
        <f t="shared" si="5"/>
        <v>1</v>
      </c>
    </row>
    <row r="46" spans="1:29" ht="15">
      <c r="A46" s="437" t="s">
        <v>2481</v>
      </c>
      <c r="B46" s="2134" t="s">
        <v>2516</v>
      </c>
      <c r="C46" s="637" t="s">
        <v>1</v>
      </c>
      <c r="D46" s="439"/>
      <c r="E46" s="440"/>
      <c r="F46" s="441"/>
      <c r="G46" s="442"/>
      <c r="H46" s="443"/>
      <c r="I46" s="440"/>
      <c r="J46" s="443"/>
      <c r="K46" s="721"/>
      <c r="L46" s="2919"/>
      <c r="M46" s="2920"/>
      <c r="N46" s="2911"/>
      <c r="O46" s="2920"/>
      <c r="P46" s="3616" t="str">
        <f>A46</f>
        <v>成交单价</v>
      </c>
      <c r="Q46" s="3616"/>
      <c r="R46" s="3630">
        <f>E46</f>
        <v>0</v>
      </c>
      <c r="S46" s="3630"/>
      <c r="T46" s="3630">
        <f>G46</f>
        <v>0</v>
      </c>
      <c r="U46" s="3630"/>
      <c r="V46" s="3630">
        <f>I46</f>
        <v>0</v>
      </c>
      <c r="W46" s="3630"/>
      <c r="X46" s="697"/>
      <c r="Y46" s="719"/>
      <c r="Z46" s="697"/>
      <c r="AA46" s="697"/>
      <c r="AB46" s="697"/>
      <c r="AC46" s="697"/>
    </row>
    <row r="47" spans="1:29" ht="15.75" thickBot="1">
      <c r="A47" s="444" t="s">
        <v>2430</v>
      </c>
      <c r="B47" s="638"/>
      <c r="C47" s="447" t="e">
        <f>R48</f>
        <v>#DIV/0!</v>
      </c>
      <c r="D47" s="2504" t="s">
        <v>2816</v>
      </c>
      <c r="E47" s="447" t="e">
        <f>R47</f>
        <v>#DIV/0!</v>
      </c>
      <c r="F47" s="2505"/>
      <c r="G47" s="446" t="e">
        <f>T47</f>
        <v>#DIV/0!</v>
      </c>
      <c r="H47" s="2505"/>
      <c r="I47" s="447" t="e">
        <f>V47</f>
        <v>#DIV/0!</v>
      </c>
      <c r="J47" s="2505"/>
      <c r="K47" s="2507">
        <f>F47+H47+J47</f>
        <v>0</v>
      </c>
      <c r="L47" s="2919"/>
      <c r="M47" s="2920"/>
      <c r="N47" s="2920"/>
      <c r="O47" s="2920"/>
      <c r="P47" s="3616" t="str">
        <f>A47</f>
        <v>比较价值（元/平方米）</v>
      </c>
      <c r="Q47" s="3616"/>
      <c r="R47" s="3788" t="e">
        <f>ROUND(PRODUCT(R46,AA7:AA45),0)</f>
        <v>#DIV/0!</v>
      </c>
      <c r="S47" s="3788"/>
      <c r="T47" s="3788" t="e">
        <f>ROUND(PRODUCT(T46,AB7:AB45),0)</f>
        <v>#DIV/0!</v>
      </c>
      <c r="U47" s="3788"/>
      <c r="V47" s="3788" t="e">
        <f>ROUND(PRODUCT(V46,AC7:AC45),0)</f>
        <v>#DIV/0!</v>
      </c>
      <c r="W47" s="3788"/>
      <c r="X47" s="697"/>
      <c r="Y47" s="697"/>
      <c r="Z47" s="697"/>
      <c r="AA47" s="697"/>
      <c r="AB47" s="697"/>
      <c r="AC47" s="697"/>
    </row>
    <row r="48" spans="1:29" ht="15.75" thickBot="1">
      <c r="A48" s="448" t="s">
        <v>2517</v>
      </c>
      <c r="B48" s="449"/>
      <c r="C48" s="450" t="e">
        <f>R48</f>
        <v>#DIV/0!</v>
      </c>
      <c r="D48" s="450"/>
      <c r="E48" s="450"/>
      <c r="F48" s="450"/>
      <c r="G48" s="450"/>
      <c r="H48" s="450"/>
      <c r="I48" s="450"/>
      <c r="J48" s="450"/>
      <c r="K48" s="722"/>
      <c r="L48" s="2919"/>
      <c r="M48" s="2920"/>
      <c r="N48" s="2920"/>
      <c r="O48" s="2920"/>
      <c r="P48" s="3618" t="str">
        <f>A48</f>
        <v>估价对象XX用房的比较价值（楼面单价，元/平方米）</v>
      </c>
      <c r="Q48" s="3619"/>
      <c r="R48" s="3789" t="e">
        <f>ROUND(IF(D47="简单平均",AVERAGE(R47:W47),R47*F47+T47*H47+V47*J47),0)</f>
        <v>#DIV/0!</v>
      </c>
      <c r="S48" s="3789"/>
      <c r="T48" s="3789"/>
      <c r="U48" s="3789"/>
      <c r="V48" s="3789"/>
      <c r="W48" s="3789"/>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8" customFormat="1" ht="13.5" customHeight="1">
      <c r="A53" s="2923"/>
      <c r="B53" s="2923"/>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8"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9" t="s">
        <v>2518</v>
      </c>
      <c r="B55" s="640" t="s">
        <v>2519</v>
      </c>
      <c r="C55" s="2135" t="s">
        <v>2520</v>
      </c>
      <c r="D55" s="2136" t="s">
        <v>2521</v>
      </c>
      <c r="E55" s="641" t="s">
        <v>2522</v>
      </c>
      <c r="F55" s="1019" t="s">
        <v>2523</v>
      </c>
      <c r="G55" s="3635" t="s">
        <v>2524</v>
      </c>
      <c r="H55" s="3790"/>
      <c r="I55" s="140" t="s">
        <v>2525</v>
      </c>
      <c r="J55" s="2137">
        <f>项目基本情况!F35</f>
        <v>0</v>
      </c>
      <c r="K55" s="2138" t="s">
        <v>2526</v>
      </c>
      <c r="L55" s="2921"/>
      <c r="M55" s="2920"/>
      <c r="N55" s="2920"/>
      <c r="O55" s="2920"/>
      <c r="P55" s="2920"/>
      <c r="Q55" s="2920"/>
      <c r="R55" s="2920"/>
      <c r="S55" s="2920"/>
      <c r="T55" s="2920"/>
      <c r="U55" s="2920"/>
      <c r="V55" s="2920"/>
      <c r="W55" s="2920"/>
      <c r="X55" s="2920"/>
      <c r="Y55" s="2920"/>
      <c r="Z55" s="2920"/>
      <c r="AA55" s="2920"/>
      <c r="AB55" s="2920"/>
      <c r="AC55" s="2920"/>
    </row>
    <row r="56" spans="1:29" s="647" customFormat="1">
      <c r="A56" s="643" t="s">
        <v>2527</v>
      </c>
      <c r="B56" s="644" t="e">
        <f>C48</f>
        <v>#DIV/0!</v>
      </c>
      <c r="C56" s="645">
        <v>1</v>
      </c>
      <c r="D56" s="1073">
        <v>1</v>
      </c>
      <c r="E56" s="645">
        <f>'数据-汇总表'!E8+'数据-汇总表'!E9</f>
        <v>683.55</v>
      </c>
      <c r="F56" s="1015" t="e">
        <f t="shared" ref="F56:F65" si="15">ROUND(B56*E56/10000,0)</f>
        <v>#DIV/0!</v>
      </c>
      <c r="G56" s="3631"/>
      <c r="H56" s="3616"/>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7" customFormat="1">
      <c r="A57" s="648" t="s">
        <v>2528</v>
      </c>
      <c r="B57" s="223" t="e">
        <f>ROUND($C$48*C57*D57,0)</f>
        <v>#DIV/0!</v>
      </c>
      <c r="C57" s="175">
        <f t="shared" ref="C57:C65" si="16">IF($C$55="北京市系数",I57,J57)</f>
        <v>0.7</v>
      </c>
      <c r="D57" s="1074">
        <v>0.25</v>
      </c>
      <c r="E57" s="649"/>
      <c r="F57" s="1015" t="e">
        <f t="shared" si="15"/>
        <v>#DIV/0!</v>
      </c>
      <c r="G57" s="3791" t="s">
        <v>2529</v>
      </c>
      <c r="H57" s="1016" t="str">
        <f>项目基本情况!B37</f>
        <v>七级</v>
      </c>
      <c r="I57" s="1020">
        <f>SUMIF(修正!A45:A56,H57,修正!B45:B56)</f>
        <v>0.7</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7" customFormat="1">
      <c r="A58" s="648" t="s">
        <v>2530</v>
      </c>
      <c r="B58" s="223" t="e">
        <f t="shared" ref="B58:B65" si="17">ROUND($C$48*C58*D58,0)</f>
        <v>#DIV/0!</v>
      </c>
      <c r="C58" s="175">
        <f t="shared" si="16"/>
        <v>0.4</v>
      </c>
      <c r="D58" s="1074">
        <v>0.25</v>
      </c>
      <c r="E58" s="649"/>
      <c r="F58" s="1015" t="e">
        <f t="shared" si="15"/>
        <v>#DIV/0!</v>
      </c>
      <c r="G58" s="3791"/>
      <c r="H58" s="1016" t="str">
        <f>项目基本情况!B37</f>
        <v>七级</v>
      </c>
      <c r="I58" s="1020">
        <f>SUMIF(修正!A45:A56,H58,修正!C45:C56)</f>
        <v>0.4</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7" customFormat="1">
      <c r="A59" s="648" t="s">
        <v>2531</v>
      </c>
      <c r="B59" s="223" t="e">
        <f t="shared" si="17"/>
        <v>#DIV/0!</v>
      </c>
      <c r="C59" s="175">
        <f t="shared" si="16"/>
        <v>0.28000000000000003</v>
      </c>
      <c r="D59" s="1074">
        <v>0.25</v>
      </c>
      <c r="E59" s="649"/>
      <c r="F59" s="1015" t="e">
        <f t="shared" si="15"/>
        <v>#DIV/0!</v>
      </c>
      <c r="G59" s="3791"/>
      <c r="H59" s="1016" t="str">
        <f>项目基本情况!B37</f>
        <v>七级</v>
      </c>
      <c r="I59" s="1020">
        <f>SUMIF(修正!A45:A56,H59,修正!D45:D56)</f>
        <v>0.28000000000000003</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7" customFormat="1">
      <c r="A60" s="648" t="s">
        <v>2532</v>
      </c>
      <c r="B60" s="223" t="e">
        <f t="shared" si="17"/>
        <v>#DIV/0!</v>
      </c>
      <c r="C60" s="175">
        <f t="shared" si="16"/>
        <v>0.25</v>
      </c>
      <c r="D60" s="1074">
        <v>0.25</v>
      </c>
      <c r="E60" s="649"/>
      <c r="F60" s="1015" t="e">
        <f t="shared" si="15"/>
        <v>#DIV/0!</v>
      </c>
      <c r="G60" s="3791"/>
      <c r="H60" s="1016" t="str">
        <f>项目基本情况!B37</f>
        <v>七级</v>
      </c>
      <c r="I60" s="1020">
        <f>SUMIF(修正!A45:A56,H60,修正!E45:E56)</f>
        <v>0.25</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7" customFormat="1">
      <c r="A61" s="648" t="s">
        <v>2533</v>
      </c>
      <c r="B61" s="223" t="e">
        <f t="shared" si="17"/>
        <v>#DIV/0!</v>
      </c>
      <c r="C61" s="175">
        <f t="shared" si="16"/>
        <v>0.25</v>
      </c>
      <c r="D61" s="1074">
        <v>0.25</v>
      </c>
      <c r="E61" s="222">
        <f>'数据-汇总表'!E11</f>
        <v>0</v>
      </c>
      <c r="F61" s="1015" t="e">
        <f t="shared" si="15"/>
        <v>#DIV/0!</v>
      </c>
      <c r="G61" s="2139" t="s">
        <v>2534</v>
      </c>
      <c r="H61" s="1016" t="str">
        <f>项目基本情况!C37</f>
        <v>七级</v>
      </c>
      <c r="I61" s="1020">
        <f>SUMIF(修正!A45:A56,H61,修正!F45:F56)</f>
        <v>0.25</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7" customFormat="1">
      <c r="A62" s="648" t="s">
        <v>2535</v>
      </c>
      <c r="B62" s="223" t="e">
        <f t="shared" si="17"/>
        <v>#DIV/0!</v>
      </c>
      <c r="C62" s="175">
        <f t="shared" si="16"/>
        <v>0.25</v>
      </c>
      <c r="D62" s="1074">
        <v>0.25</v>
      </c>
      <c r="E62" s="222">
        <f>'数据-汇总表'!E12</f>
        <v>0</v>
      </c>
      <c r="F62" s="1015" t="e">
        <f t="shared" si="15"/>
        <v>#DIV/0!</v>
      </c>
      <c r="G62" s="1021" t="s">
        <v>2536</v>
      </c>
      <c r="H62" s="1016" t="str">
        <f>IF(G62="商业",项目基本情况!B37,IF(G62="办公",项目基本情况!C37,IF(G62="住宅",项目基本情况!D37,项目基本情况!E37)))</f>
        <v>七级</v>
      </c>
      <c r="I62" s="1020">
        <f>SUMIF(修正!A45:A56,H62,修正!G45:G56)</f>
        <v>0.25</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7" customFormat="1">
      <c r="A63" s="648" t="s">
        <v>2537</v>
      </c>
      <c r="B63" s="223" t="e">
        <f t="shared" si="17"/>
        <v>#DIV/0!</v>
      </c>
      <c r="C63" s="175">
        <f t="shared" si="16"/>
        <v>0</v>
      </c>
      <c r="D63" s="1074">
        <v>0.25</v>
      </c>
      <c r="E63" s="222">
        <f>'数据-汇总表'!E13</f>
        <v>0</v>
      </c>
      <c r="F63" s="1015" t="e">
        <f t="shared" si="15"/>
        <v>#DIV/0!</v>
      </c>
      <c r="G63" s="1021" t="s">
        <v>2538</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7" customFormat="1">
      <c r="A64" s="648" t="s">
        <v>2539</v>
      </c>
      <c r="B64" s="223" t="e">
        <f t="shared" si="17"/>
        <v>#DIV/0!</v>
      </c>
      <c r="C64" s="175">
        <f t="shared" si="16"/>
        <v>0.2</v>
      </c>
      <c r="D64" s="1074">
        <v>0.25</v>
      </c>
      <c r="E64" s="222">
        <f>'数据-汇总表'!E14</f>
        <v>0</v>
      </c>
      <c r="F64" s="1015" t="e">
        <f t="shared" si="15"/>
        <v>#DIV/0!</v>
      </c>
      <c r="G64" s="2139" t="s">
        <v>2529</v>
      </c>
      <c r="H64" s="1016" t="str">
        <f>项目基本情况!B37</f>
        <v>七级</v>
      </c>
      <c r="I64" s="1020">
        <f>SUMIF(修正!A45:A56,H64,修正!H45:H56)</f>
        <v>0.2</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7" customFormat="1" ht="15" thickBot="1">
      <c r="A65" s="648" t="s">
        <v>2540</v>
      </c>
      <c r="B65" s="223" t="e">
        <f t="shared" si="17"/>
        <v>#DIV/0!</v>
      </c>
      <c r="C65" s="175">
        <f t="shared" si="16"/>
        <v>0.2</v>
      </c>
      <c r="D65" s="1074">
        <v>0.25</v>
      </c>
      <c r="E65" s="222">
        <f>'数据-汇总表'!E15</f>
        <v>0</v>
      </c>
      <c r="F65" s="1015" t="e">
        <f t="shared" si="15"/>
        <v>#DIV/0!</v>
      </c>
      <c r="G65" s="2140" t="s">
        <v>2534</v>
      </c>
      <c r="H65" s="1026" t="str">
        <f>项目基本情况!C37</f>
        <v>七级</v>
      </c>
      <c r="I65" s="1022">
        <f>SUMIF(修正!A45:A56,H65,修正!H45:H56)</f>
        <v>0.2</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7" customFormat="1" ht="13.5" thickBot="1">
      <c r="A66" s="650" t="s">
        <v>2541</v>
      </c>
      <c r="B66" s="651" t="s">
        <v>28</v>
      </c>
      <c r="C66" s="651" t="s">
        <v>29</v>
      </c>
      <c r="D66" s="651" t="s">
        <v>997</v>
      </c>
      <c r="E66" s="651">
        <f>IF(B46="楼面地价",SUM(E56:E65),'数据-汇总表'!D3)</f>
        <v>683.55</v>
      </c>
      <c r="F66" s="652" t="e">
        <f>IF(B46="楼面地价",SUM(F56:F65),ROUND(C48*E66/10000,0))</f>
        <v>#DIV/0!</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2022-7-1</v>
      </c>
      <c r="D68" s="699">
        <f>EDATE(C68,-3)</f>
        <v>44652</v>
      </c>
      <c r="E68" s="699">
        <f>EDATE(D68,-3)</f>
        <v>44562</v>
      </c>
      <c r="F68" s="699">
        <f t="shared" ref="F68:O68" si="18">EDATE(E68,-3)</f>
        <v>44470</v>
      </c>
      <c r="G68" s="699">
        <f t="shared" si="18"/>
        <v>44378</v>
      </c>
      <c r="H68" s="699">
        <f t="shared" si="18"/>
        <v>44287</v>
      </c>
      <c r="I68" s="699">
        <f t="shared" si="18"/>
        <v>44197</v>
      </c>
      <c r="J68" s="699">
        <f t="shared" si="18"/>
        <v>44105</v>
      </c>
      <c r="K68" s="699">
        <f t="shared" si="18"/>
        <v>44013</v>
      </c>
      <c r="L68" s="699">
        <f t="shared" si="18"/>
        <v>43922</v>
      </c>
      <c r="M68" s="699">
        <f t="shared" si="18"/>
        <v>43831</v>
      </c>
      <c r="N68" s="699">
        <f t="shared" si="18"/>
        <v>43739</v>
      </c>
      <c r="O68" s="699">
        <f t="shared" si="18"/>
        <v>43647</v>
      </c>
      <c r="P68" s="2920"/>
      <c r="Q68" s="2920"/>
      <c r="R68" s="2920"/>
      <c r="S68" s="2920"/>
      <c r="T68" s="2920"/>
      <c r="U68" s="2920"/>
      <c r="V68" s="2920"/>
      <c r="W68" s="2920"/>
      <c r="X68" s="2920"/>
      <c r="Y68" s="2920"/>
      <c r="Z68" s="2920"/>
      <c r="AA68" s="2920"/>
      <c r="AB68" s="2920"/>
      <c r="AC68" s="2920"/>
    </row>
    <row r="69" spans="1:29" ht="21.75" thickBot="1">
      <c r="A69" s="701" t="s">
        <v>2435</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4" customFormat="1" ht="15">
      <c r="A70" s="2141" t="s">
        <v>2542</v>
      </c>
      <c r="B70" s="1238"/>
      <c r="C70" s="1313" t="str">
        <f>YEAR(C68)&amp;"-"&amp;ROUNDUP(MONTH(C68)/3,0)</f>
        <v>2022-3</v>
      </c>
      <c r="D70" s="1313" t="str">
        <f>YEAR(D68)&amp;"-"&amp;ROUNDUP(MONTH(D68)/3,0)</f>
        <v>2022-2</v>
      </c>
      <c r="E70" s="1313" t="str">
        <f t="shared" ref="E70:O70" si="19">YEAR(E68)&amp;"-"&amp;ROUNDUP(MONTH(E68)/3,0)</f>
        <v>2022-1</v>
      </c>
      <c r="F70" s="1313" t="str">
        <f t="shared" si="19"/>
        <v>2021-4</v>
      </c>
      <c r="G70" s="1313" t="str">
        <f t="shared" si="19"/>
        <v>2021-3</v>
      </c>
      <c r="H70" s="1313" t="str">
        <f t="shared" si="19"/>
        <v>2021-2</v>
      </c>
      <c r="I70" s="1313" t="str">
        <f t="shared" si="19"/>
        <v>2021-1</v>
      </c>
      <c r="J70" s="1313" t="str">
        <f t="shared" si="19"/>
        <v>2020-4</v>
      </c>
      <c r="K70" s="1313" t="str">
        <f t="shared" si="19"/>
        <v>2020-3</v>
      </c>
      <c r="L70" s="1313" t="str">
        <f t="shared" si="19"/>
        <v>2020-2</v>
      </c>
      <c r="M70" s="1313" t="str">
        <f t="shared" si="19"/>
        <v>2020-1</v>
      </c>
      <c r="N70" s="1313" t="str">
        <f t="shared" si="19"/>
        <v>2019-4</v>
      </c>
      <c r="O70" s="1313" t="str">
        <f t="shared" si="19"/>
        <v>2019-3</v>
      </c>
      <c r="P70" s="2971"/>
      <c r="Q70" s="2936"/>
      <c r="R70" s="2936"/>
      <c r="S70" s="2936"/>
      <c r="T70" s="2936"/>
      <c r="U70" s="2936"/>
      <c r="V70" s="2936"/>
      <c r="W70" s="2936"/>
      <c r="X70" s="2936"/>
      <c r="Y70" s="2936"/>
      <c r="Z70" s="2936"/>
      <c r="AA70" s="2936"/>
      <c r="AB70" s="2936"/>
      <c r="AC70" s="2936"/>
    </row>
    <row r="71" spans="1:29" s="113" customFormat="1" ht="30" customHeight="1">
      <c r="A71" s="2142" t="s">
        <v>2543</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09"/>
      <c r="N71" s="551"/>
      <c r="O71" s="1310"/>
      <c r="P71" s="2934"/>
      <c r="Q71" s="2854"/>
      <c r="R71" s="2854"/>
      <c r="S71" s="2854"/>
      <c r="T71" s="2854"/>
      <c r="U71" s="2854"/>
      <c r="V71" s="2854"/>
      <c r="W71" s="2854"/>
      <c r="X71" s="2854"/>
      <c r="Y71" s="2854"/>
      <c r="Z71" s="2854"/>
      <c r="AA71" s="2854"/>
      <c r="AB71" s="2854"/>
      <c r="AC71" s="2854"/>
    </row>
    <row r="72" spans="1:29" s="113" customFormat="1" ht="15.75" thickBot="1">
      <c r="A72" s="471" t="s">
        <v>2346</v>
      </c>
      <c r="B72" s="472"/>
      <c r="C72" s="473"/>
      <c r="D72" s="474"/>
      <c r="E72" s="474"/>
      <c r="F72" s="474"/>
      <c r="G72" s="474"/>
      <c r="H72" s="474"/>
      <c r="I72" s="474"/>
      <c r="J72" s="474"/>
      <c r="K72" s="474"/>
      <c r="L72" s="474"/>
      <c r="M72" s="475"/>
      <c r="N72" s="474"/>
      <c r="O72" s="1072"/>
      <c r="P72" s="2934"/>
      <c r="Q72" s="2934"/>
      <c r="R72" s="2854"/>
      <c r="S72" s="2854"/>
      <c r="T72" s="2854"/>
      <c r="U72" s="2854"/>
      <c r="V72" s="2854"/>
      <c r="W72" s="2854"/>
      <c r="X72" s="2854"/>
      <c r="Y72" s="2854"/>
      <c r="Z72" s="2854"/>
      <c r="AA72" s="2854"/>
      <c r="AB72" s="2854"/>
      <c r="AC72" s="2854"/>
    </row>
    <row r="73" spans="1:29" s="113" customFormat="1" ht="15">
      <c r="A73" s="477" t="s">
        <v>2311</v>
      </c>
      <c r="B73" s="466"/>
      <c r="C73" s="478" t="s">
        <v>2413</v>
      </c>
      <c r="D73" s="479"/>
      <c r="E73" s="479"/>
      <c r="F73" s="479"/>
      <c r="G73" s="479"/>
      <c r="H73" s="479"/>
      <c r="I73" s="479"/>
      <c r="J73" s="479"/>
      <c r="K73" s="479"/>
      <c r="L73" s="480"/>
      <c r="M73" s="481"/>
      <c r="N73" s="2947"/>
      <c r="O73" s="2947"/>
      <c r="P73" s="2972"/>
      <c r="Q73" s="2934"/>
      <c r="R73" s="2854"/>
      <c r="S73" s="2854"/>
      <c r="T73" s="2854"/>
      <c r="U73" s="2854"/>
      <c r="V73" s="2854"/>
      <c r="W73" s="2854"/>
      <c r="X73" s="2854"/>
      <c r="Y73" s="2854"/>
      <c r="Z73" s="2854"/>
      <c r="AA73" s="2854"/>
      <c r="AB73" s="2854"/>
      <c r="AC73" s="2854"/>
    </row>
    <row r="74" spans="1:29" s="113" customFormat="1" ht="15.75" thickBot="1">
      <c r="A74" s="477"/>
      <c r="B74" s="466"/>
      <c r="C74" s="594">
        <v>100</v>
      </c>
      <c r="D74" s="468"/>
      <c r="E74" s="468"/>
      <c r="F74" s="468"/>
      <c r="G74" s="468"/>
      <c r="H74" s="468"/>
      <c r="I74" s="468"/>
      <c r="J74" s="468"/>
      <c r="K74" s="468"/>
      <c r="L74" s="468"/>
      <c r="M74" s="470"/>
      <c r="N74" s="2947"/>
      <c r="O74" s="2947"/>
      <c r="P74" s="2934"/>
      <c r="Q74" s="2934"/>
      <c r="R74" s="2854"/>
      <c r="S74" s="2854"/>
      <c r="T74" s="2854"/>
      <c r="U74" s="2854"/>
      <c r="V74" s="2854"/>
      <c r="W74" s="2854"/>
      <c r="X74" s="2854"/>
      <c r="Y74" s="2854"/>
      <c r="Z74" s="2854"/>
      <c r="AA74" s="2854"/>
      <c r="AB74" s="2854"/>
      <c r="AC74" s="2854"/>
    </row>
    <row r="75" spans="1:29">
      <c r="A75" s="483" t="s">
        <v>2349</v>
      </c>
      <c r="B75" s="484" t="s">
        <v>2315</v>
      </c>
      <c r="C75" s="486"/>
      <c r="D75" s="486"/>
      <c r="E75" s="486"/>
      <c r="F75" s="486"/>
      <c r="G75" s="486"/>
      <c r="H75" s="486"/>
      <c r="I75" s="486"/>
      <c r="J75" s="486"/>
      <c r="K75" s="487"/>
      <c r="L75" s="488"/>
      <c r="M75" s="489"/>
      <c r="N75" s="2948"/>
      <c r="O75" s="2948"/>
      <c r="P75" s="2973"/>
      <c r="Q75" s="2934"/>
      <c r="R75" s="2920"/>
      <c r="S75" s="2920"/>
      <c r="T75" s="2920"/>
      <c r="U75" s="2920"/>
      <c r="V75" s="2920"/>
      <c r="W75" s="2920"/>
      <c r="X75" s="2920"/>
      <c r="Y75" s="2920"/>
      <c r="Z75" s="2920"/>
      <c r="AA75" s="2920"/>
      <c r="AB75" s="2920"/>
      <c r="AC75" s="2920"/>
    </row>
    <row r="76" spans="1:29" ht="15.75" thickBot="1">
      <c r="A76" s="490"/>
      <c r="B76" s="491"/>
      <c r="C76" s="492"/>
      <c r="D76" s="492"/>
      <c r="E76" s="492"/>
      <c r="F76" s="492"/>
      <c r="G76" s="492"/>
      <c r="H76" s="492"/>
      <c r="I76" s="492"/>
      <c r="J76" s="492"/>
      <c r="K76" s="492"/>
      <c r="L76" s="492"/>
      <c r="M76" s="493"/>
      <c r="N76" s="2949"/>
      <c r="O76" s="2949"/>
      <c r="P76" s="2973"/>
      <c r="Q76" s="2934"/>
      <c r="R76" s="2920"/>
      <c r="S76" s="2920"/>
      <c r="T76" s="2920"/>
      <c r="U76" s="2920"/>
      <c r="V76" s="2920"/>
      <c r="W76" s="2920"/>
      <c r="X76" s="2920"/>
      <c r="Y76" s="2920"/>
      <c r="Z76" s="2920"/>
      <c r="AA76" s="2920"/>
      <c r="AB76" s="2920"/>
      <c r="AC76" s="2920"/>
    </row>
    <row r="77" spans="1:29" ht="27.75" thickTop="1">
      <c r="A77" s="490"/>
      <c r="B77" s="494" t="s">
        <v>2318</v>
      </c>
      <c r="C77" s="495"/>
      <c r="D77" s="495"/>
      <c r="E77" s="495"/>
      <c r="F77" s="495"/>
      <c r="G77" s="495"/>
      <c r="H77" s="495"/>
      <c r="I77" s="495"/>
      <c r="J77" s="495"/>
      <c r="K77" s="496"/>
      <c r="L77" s="497"/>
      <c r="M77" s="498"/>
      <c r="N77" s="2948"/>
      <c r="O77" s="2948"/>
      <c r="P77" s="2973"/>
      <c r="Q77" s="2934"/>
      <c r="R77" s="2920"/>
      <c r="S77" s="2920"/>
      <c r="T77" s="2920"/>
      <c r="U77" s="2920"/>
      <c r="V77" s="2920"/>
      <c r="W77" s="2920"/>
      <c r="X77" s="2920"/>
      <c r="Y77" s="2920"/>
      <c r="Z77" s="2920"/>
      <c r="AA77" s="2920"/>
      <c r="AB77" s="2920"/>
      <c r="AC77" s="2920"/>
    </row>
    <row r="78" spans="1:29" ht="15.75" thickBot="1">
      <c r="A78" s="490"/>
      <c r="B78" s="499"/>
      <c r="C78" s="500"/>
      <c r="D78" s="500"/>
      <c r="E78" s="500"/>
      <c r="F78" s="500"/>
      <c r="G78" s="500"/>
      <c r="H78" s="500"/>
      <c r="I78" s="500"/>
      <c r="J78" s="500"/>
      <c r="K78" s="500"/>
      <c r="L78" s="500"/>
      <c r="M78" s="501"/>
      <c r="N78" s="2949"/>
      <c r="O78" s="2949"/>
      <c r="P78" s="2973"/>
      <c r="Q78" s="2934"/>
      <c r="R78" s="2920"/>
      <c r="S78" s="2920"/>
      <c r="T78" s="2920"/>
      <c r="U78" s="2920"/>
      <c r="V78" s="2920"/>
      <c r="W78" s="2920"/>
      <c r="X78" s="2920"/>
      <c r="Y78" s="2920"/>
      <c r="Z78" s="2920"/>
      <c r="AA78" s="2920"/>
      <c r="AB78" s="2920"/>
      <c r="AC78" s="2920"/>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0"/>
      <c r="B80" s="504"/>
      <c r="C80" s="505"/>
      <c r="D80" s="505"/>
      <c r="E80" s="505"/>
      <c r="F80" s="505"/>
      <c r="G80" s="505"/>
      <c r="H80" s="505"/>
      <c r="I80" s="505"/>
      <c r="J80" s="505"/>
      <c r="K80" s="506"/>
      <c r="L80" s="507"/>
      <c r="M80" s="508"/>
      <c r="N80" s="2948"/>
      <c r="O80" s="2948"/>
      <c r="P80" s="2973"/>
      <c r="Q80" s="2934"/>
      <c r="R80" s="2920"/>
      <c r="S80" s="2920"/>
      <c r="T80" s="2920"/>
      <c r="U80" s="2920"/>
      <c r="V80" s="2920"/>
      <c r="W80" s="2920"/>
      <c r="X80" s="2920"/>
      <c r="Y80" s="2920"/>
      <c r="Z80" s="2920"/>
      <c r="AA80" s="2920"/>
      <c r="AB80" s="2920"/>
      <c r="AC80" s="292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9"/>
      <c r="O81" s="2949"/>
      <c r="P81" s="2973"/>
      <c r="Q81" s="2934"/>
      <c r="R81" s="2920"/>
      <c r="S81" s="2920"/>
      <c r="T81" s="2920"/>
      <c r="U81" s="2920"/>
      <c r="V81" s="2920"/>
      <c r="W81" s="2920"/>
      <c r="X81" s="2920"/>
      <c r="Y81" s="2920"/>
      <c r="Z81" s="2920"/>
      <c r="AA81" s="2920"/>
      <c r="AB81" s="2920"/>
      <c r="AC81" s="2920"/>
    </row>
    <row r="82" spans="1:29" s="429" customFormat="1" ht="15.75" thickTop="1">
      <c r="A82" s="509"/>
      <c r="B82" s="494" t="str">
        <f>B12</f>
        <v>配建</v>
      </c>
      <c r="C82" s="510"/>
      <c r="D82" s="510"/>
      <c r="E82" s="510"/>
      <c r="F82" s="510"/>
      <c r="G82" s="510"/>
      <c r="H82" s="511"/>
      <c r="I82" s="511"/>
      <c r="J82" s="511"/>
      <c r="K82" s="511"/>
      <c r="L82" s="512"/>
      <c r="M82" s="513"/>
      <c r="N82" s="2950"/>
      <c r="O82" s="2950"/>
      <c r="P82" s="2974"/>
      <c r="Q82" s="2941"/>
      <c r="R82" s="2942"/>
      <c r="S82" s="2942"/>
      <c r="T82" s="2942"/>
      <c r="U82" s="2942"/>
      <c r="V82" s="2942"/>
      <c r="W82" s="2942"/>
      <c r="X82" s="2942"/>
      <c r="Y82" s="2942"/>
      <c r="Z82" s="2942"/>
      <c r="AA82" s="2942"/>
      <c r="AB82" s="2942"/>
      <c r="AC82" s="2942"/>
    </row>
    <row r="83" spans="1:29" s="429" customFormat="1" ht="15.75" thickBot="1">
      <c r="A83" s="509"/>
      <c r="B83" s="499"/>
      <c r="C83" s="516"/>
      <c r="D83" s="492"/>
      <c r="E83" s="492"/>
      <c r="F83" s="492"/>
      <c r="G83" s="492"/>
      <c r="H83" s="492"/>
      <c r="I83" s="492"/>
      <c r="J83" s="492"/>
      <c r="K83" s="492"/>
      <c r="L83" s="492"/>
      <c r="M83" s="493"/>
      <c r="N83" s="2949"/>
      <c r="O83" s="2949"/>
      <c r="P83" s="2974"/>
      <c r="Q83" s="2941"/>
      <c r="R83" s="2942"/>
      <c r="S83" s="2942"/>
      <c r="T83" s="2942"/>
      <c r="U83" s="2942"/>
      <c r="V83" s="2942"/>
      <c r="W83" s="2942"/>
      <c r="X83" s="2942"/>
      <c r="Y83" s="2942"/>
      <c r="Z83" s="2942"/>
      <c r="AA83" s="2942"/>
      <c r="AB83" s="2942"/>
      <c r="AC83" s="2942"/>
    </row>
    <row r="84" spans="1:29" s="429" customFormat="1" ht="15.75" thickTop="1">
      <c r="A84" s="509"/>
      <c r="B84" s="494">
        <f>B13</f>
        <v>111</v>
      </c>
      <c r="C84" s="510"/>
      <c r="D84" s="510"/>
      <c r="E84" s="510"/>
      <c r="F84" s="510"/>
      <c r="G84" s="510"/>
      <c r="H84" s="511"/>
      <c r="I84" s="511"/>
      <c r="J84" s="511"/>
      <c r="K84" s="511"/>
      <c r="L84" s="512"/>
      <c r="M84" s="513"/>
      <c r="N84" s="2950"/>
      <c r="O84" s="2950"/>
      <c r="P84" s="2918"/>
      <c r="Q84" s="2944"/>
      <c r="R84" s="2942"/>
      <c r="S84" s="2942"/>
      <c r="T84" s="2942"/>
      <c r="U84" s="2942"/>
      <c r="V84" s="2942"/>
      <c r="W84" s="2942"/>
      <c r="X84" s="2942"/>
      <c r="Y84" s="2942"/>
      <c r="Z84" s="2942"/>
      <c r="AA84" s="2942"/>
      <c r="AB84" s="2942"/>
      <c r="AC84" s="2942"/>
    </row>
    <row r="85" spans="1:29" s="429" customFormat="1" ht="15.75" thickBot="1">
      <c r="A85" s="509"/>
      <c r="B85" s="499"/>
      <c r="C85" s="516"/>
      <c r="D85" s="516"/>
      <c r="E85" s="516"/>
      <c r="F85" s="516"/>
      <c r="G85" s="516"/>
      <c r="H85" s="518"/>
      <c r="I85" s="518"/>
      <c r="J85" s="518"/>
      <c r="K85" s="518"/>
      <c r="L85" s="518"/>
      <c r="M85" s="519"/>
      <c r="N85" s="2950"/>
      <c r="O85" s="2950"/>
      <c r="P85" s="2974"/>
      <c r="Q85" s="2941"/>
      <c r="R85" s="2942"/>
      <c r="S85" s="2942"/>
      <c r="T85" s="2942"/>
      <c r="U85" s="2942"/>
      <c r="V85" s="2942"/>
      <c r="W85" s="2942"/>
      <c r="X85" s="2942"/>
      <c r="Y85" s="2942"/>
      <c r="Z85" s="2942"/>
      <c r="AA85" s="2942"/>
      <c r="AB85" s="2942"/>
      <c r="AC85" s="2942"/>
    </row>
    <row r="86" spans="1:29" s="429" customFormat="1" ht="15.75" thickTop="1">
      <c r="A86" s="509"/>
      <c r="B86" s="502">
        <f>B14</f>
        <v>111</v>
      </c>
      <c r="C86" s="479"/>
      <c r="D86" s="479"/>
      <c r="E86" s="479"/>
      <c r="F86" s="479"/>
      <c r="G86" s="479"/>
      <c r="H86" s="520"/>
      <c r="I86" s="520"/>
      <c r="J86" s="520"/>
      <c r="K86" s="520"/>
      <c r="L86" s="521"/>
      <c r="M86" s="522"/>
      <c r="N86" s="2950"/>
      <c r="O86" s="2950"/>
      <c r="P86" s="2979"/>
      <c r="Q86" s="2941"/>
      <c r="R86" s="2942"/>
      <c r="S86" s="2942"/>
      <c r="T86" s="2942"/>
      <c r="U86" s="2942"/>
      <c r="V86" s="2942"/>
      <c r="W86" s="2942"/>
      <c r="X86" s="2942"/>
      <c r="Y86" s="2942"/>
      <c r="Z86" s="2942"/>
      <c r="AA86" s="2942"/>
      <c r="AB86" s="2942"/>
      <c r="AC86" s="2942"/>
    </row>
    <row r="87" spans="1:29" s="429" customFormat="1" ht="15.75" thickBot="1">
      <c r="A87" s="524"/>
      <c r="B87" s="525"/>
      <c r="C87" s="526"/>
      <c r="D87" s="526"/>
      <c r="E87" s="526"/>
      <c r="F87" s="526"/>
      <c r="G87" s="526"/>
      <c r="H87" s="527"/>
      <c r="I87" s="527"/>
      <c r="J87" s="527"/>
      <c r="K87" s="527"/>
      <c r="L87" s="527"/>
      <c r="M87" s="528"/>
      <c r="N87" s="2950"/>
      <c r="O87" s="2950"/>
      <c r="P87" s="2974"/>
      <c r="Q87" s="2941"/>
      <c r="R87" s="2942"/>
      <c r="S87" s="2942"/>
      <c r="T87" s="2942"/>
      <c r="U87" s="2942"/>
      <c r="V87" s="2942"/>
      <c r="W87" s="2942"/>
      <c r="X87" s="2942"/>
      <c r="Y87" s="2942"/>
      <c r="Z87" s="2942"/>
      <c r="AA87" s="2942"/>
      <c r="AB87" s="2942"/>
      <c r="AC87" s="2942"/>
    </row>
    <row r="88" spans="1:29">
      <c r="A88" s="483" t="s">
        <v>2320</v>
      </c>
      <c r="B88" s="484" t="s">
        <v>2357</v>
      </c>
      <c r="C88" s="529" t="s">
        <v>2358</v>
      </c>
      <c r="D88" s="529" t="s">
        <v>2359</v>
      </c>
      <c r="E88" s="529" t="s">
        <v>2360</v>
      </c>
      <c r="F88" s="529" t="s">
        <v>2361</v>
      </c>
      <c r="G88" s="529" t="s">
        <v>2362</v>
      </c>
      <c r="H88" s="485"/>
      <c r="I88" s="485"/>
      <c r="J88" s="485"/>
      <c r="K88" s="530"/>
      <c r="L88" s="531"/>
      <c r="M88" s="532"/>
      <c r="N88" s="2948"/>
      <c r="O88" s="2948"/>
      <c r="P88" s="2975"/>
      <c r="Q88" s="2934"/>
      <c r="R88" s="2920"/>
      <c r="S88" s="2920"/>
      <c r="T88" s="2920"/>
      <c r="U88" s="2920"/>
      <c r="V88" s="2920"/>
      <c r="W88" s="2920"/>
      <c r="X88" s="2920"/>
      <c r="Y88" s="2920"/>
      <c r="Z88" s="2920"/>
      <c r="AA88" s="2920"/>
      <c r="AB88" s="2920"/>
      <c r="AC88" s="292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9"/>
      <c r="O89" s="2949"/>
      <c r="P89" s="2973"/>
      <c r="Q89" s="2934"/>
      <c r="R89" s="2920"/>
      <c r="S89" s="2920"/>
      <c r="T89" s="2920"/>
      <c r="U89" s="2920"/>
      <c r="V89" s="2920"/>
      <c r="W89" s="2920"/>
      <c r="X89" s="2920"/>
      <c r="Y89" s="2920"/>
      <c r="Z89" s="2920"/>
      <c r="AA89" s="2920"/>
      <c r="AB89" s="2920"/>
      <c r="AC89" s="2920"/>
    </row>
    <row r="90" spans="1:29" ht="15.75" thickTop="1">
      <c r="A90" s="490"/>
      <c r="B90" s="494" t="s">
        <v>2544</v>
      </c>
      <c r="C90" s="534" t="s">
        <v>2358</v>
      </c>
      <c r="D90" s="534" t="s">
        <v>2359</v>
      </c>
      <c r="E90" s="534" t="s">
        <v>2360</v>
      </c>
      <c r="F90" s="534" t="s">
        <v>2361</v>
      </c>
      <c r="G90" s="534" t="s">
        <v>2362</v>
      </c>
      <c r="H90" s="495"/>
      <c r="I90" s="495"/>
      <c r="J90" s="495"/>
      <c r="K90" s="496"/>
      <c r="L90" s="497"/>
      <c r="M90" s="498"/>
      <c r="N90" s="2948"/>
      <c r="O90" s="2948"/>
      <c r="P90" s="2973"/>
      <c r="Q90" s="2934"/>
      <c r="R90" s="2920"/>
      <c r="S90" s="2920"/>
      <c r="T90" s="2920"/>
      <c r="U90" s="2920"/>
      <c r="V90" s="2920"/>
      <c r="W90" s="2920"/>
      <c r="X90" s="2920"/>
      <c r="Y90" s="2920"/>
      <c r="Z90" s="2920"/>
      <c r="AA90" s="2920"/>
      <c r="AB90" s="2920"/>
      <c r="AC90" s="292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9"/>
      <c r="O91" s="2949"/>
      <c r="P91" s="2973"/>
      <c r="Q91" s="2934"/>
      <c r="R91" s="2920"/>
      <c r="S91" s="2920"/>
      <c r="T91" s="2920"/>
      <c r="U91" s="2920"/>
      <c r="V91" s="2920"/>
      <c r="W91" s="2920"/>
      <c r="X91" s="2920"/>
      <c r="Y91" s="2920"/>
      <c r="Z91" s="2920"/>
      <c r="AA91" s="2920"/>
      <c r="AB91" s="2920"/>
      <c r="AC91" s="2920"/>
    </row>
    <row r="92" spans="1:29" ht="15.75" thickTop="1">
      <c r="A92" s="490"/>
      <c r="B92" s="494" t="s">
        <v>2458</v>
      </c>
      <c r="C92" s="534" t="s">
        <v>2358</v>
      </c>
      <c r="D92" s="534" t="s">
        <v>2359</v>
      </c>
      <c r="E92" s="534" t="s">
        <v>2360</v>
      </c>
      <c r="F92" s="534" t="s">
        <v>2361</v>
      </c>
      <c r="G92" s="534" t="s">
        <v>2362</v>
      </c>
      <c r="H92" s="495"/>
      <c r="I92" s="495"/>
      <c r="J92" s="495"/>
      <c r="K92" s="496"/>
      <c r="L92" s="497"/>
      <c r="M92" s="498"/>
      <c r="N92" s="2948"/>
      <c r="O92" s="2948"/>
      <c r="P92" s="2973"/>
      <c r="Q92" s="2934"/>
      <c r="R92" s="2920"/>
      <c r="S92" s="2920"/>
      <c r="T92" s="2920"/>
      <c r="U92" s="2920"/>
      <c r="V92" s="2920"/>
      <c r="W92" s="2920"/>
      <c r="X92" s="2920"/>
      <c r="Y92" s="2920"/>
      <c r="Z92" s="2920"/>
      <c r="AA92" s="2920"/>
      <c r="AB92" s="2920"/>
      <c r="AC92" s="292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9"/>
      <c r="O93" s="2949"/>
      <c r="P93" s="2973"/>
      <c r="Q93" s="2934"/>
      <c r="R93" s="2920"/>
      <c r="S93" s="2920"/>
      <c r="T93" s="2920"/>
      <c r="U93" s="2920"/>
      <c r="V93" s="2920"/>
      <c r="W93" s="2920"/>
      <c r="X93" s="2920"/>
      <c r="Y93" s="2920"/>
      <c r="Z93" s="2920"/>
      <c r="AA93" s="2920"/>
      <c r="AB93" s="2920"/>
      <c r="AC93" s="2920"/>
    </row>
    <row r="94" spans="1:29" ht="15.75" thickTop="1">
      <c r="A94" s="490"/>
      <c r="B94" s="494" t="s">
        <v>2363</v>
      </c>
      <c r="C94" s="534" t="s">
        <v>2358</v>
      </c>
      <c r="D94" s="534" t="s">
        <v>2359</v>
      </c>
      <c r="E94" s="534" t="s">
        <v>2360</v>
      </c>
      <c r="F94" s="534" t="s">
        <v>2361</v>
      </c>
      <c r="G94" s="534" t="s">
        <v>2362</v>
      </c>
      <c r="H94" s="495"/>
      <c r="I94" s="495"/>
      <c r="J94" s="495"/>
      <c r="K94" s="496"/>
      <c r="L94" s="497"/>
      <c r="M94" s="498"/>
      <c r="N94" s="2948"/>
      <c r="O94" s="2948"/>
      <c r="P94" s="2973"/>
      <c r="Q94" s="2934"/>
      <c r="R94" s="2920"/>
      <c r="S94" s="2920"/>
      <c r="T94" s="2920"/>
      <c r="U94" s="2920"/>
      <c r="V94" s="2920"/>
      <c r="W94" s="2920"/>
      <c r="X94" s="2920"/>
      <c r="Y94" s="2920"/>
      <c r="Z94" s="2920"/>
      <c r="AA94" s="2920"/>
      <c r="AB94" s="2920"/>
      <c r="AC94" s="292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9"/>
      <c r="O95" s="2949"/>
      <c r="P95" s="2973"/>
      <c r="Q95" s="2934"/>
      <c r="R95" s="2920"/>
      <c r="S95" s="2920"/>
      <c r="T95" s="2920"/>
      <c r="U95" s="2920"/>
      <c r="V95" s="2920"/>
      <c r="W95" s="2920"/>
      <c r="X95" s="2920"/>
      <c r="Y95" s="2920"/>
      <c r="Z95" s="2920"/>
      <c r="AA95" s="2920"/>
      <c r="AB95" s="2920"/>
      <c r="AC95" s="2920"/>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47"/>
      <c r="O96" s="2947"/>
      <c r="P96" s="2973"/>
      <c r="Q96" s="2934"/>
      <c r="R96" s="2854"/>
      <c r="S96" s="2854"/>
      <c r="T96" s="2854"/>
      <c r="U96" s="2854"/>
      <c r="V96" s="2854"/>
      <c r="W96" s="2854"/>
      <c r="X96" s="2854"/>
      <c r="Y96" s="2854"/>
      <c r="Z96" s="2854"/>
      <c r="AA96" s="2854"/>
      <c r="AB96" s="2854"/>
      <c r="AC96" s="285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49"/>
      <c r="O97" s="2949"/>
      <c r="P97" s="2973"/>
      <c r="Q97" s="2934"/>
      <c r="R97" s="2854"/>
      <c r="S97" s="2854"/>
      <c r="T97" s="2854"/>
      <c r="U97" s="2854"/>
      <c r="V97" s="2854"/>
      <c r="W97" s="2854"/>
      <c r="X97" s="2854"/>
      <c r="Y97" s="2854"/>
      <c r="Z97" s="2854"/>
      <c r="AA97" s="2854"/>
      <c r="AB97" s="2854"/>
      <c r="AC97" s="2854"/>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47"/>
      <c r="O98" s="2947"/>
      <c r="P98" s="2973"/>
      <c r="Q98" s="2934"/>
      <c r="R98" s="2854"/>
      <c r="S98" s="2854"/>
      <c r="T98" s="2854"/>
      <c r="U98" s="2854"/>
      <c r="V98" s="2854"/>
      <c r="W98" s="2854"/>
      <c r="X98" s="2854"/>
      <c r="Y98" s="2854"/>
      <c r="Z98" s="2854"/>
      <c r="AA98" s="2854"/>
      <c r="AB98" s="2854"/>
      <c r="AC98" s="285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49"/>
      <c r="O99" s="2949"/>
      <c r="P99" s="2973"/>
      <c r="Q99" s="2934"/>
      <c r="R99" s="2854"/>
      <c r="S99" s="2854"/>
      <c r="T99" s="2854"/>
      <c r="U99" s="2854"/>
      <c r="V99" s="2854"/>
      <c r="W99" s="2854"/>
      <c r="X99" s="2854"/>
      <c r="Y99" s="2854"/>
      <c r="Z99" s="2854"/>
      <c r="AA99" s="2854"/>
      <c r="AB99" s="2854"/>
      <c r="AC99" s="2854"/>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0"/>
      <c r="O100" s="2950"/>
      <c r="P100" s="2974"/>
      <c r="Q100" s="2941"/>
      <c r="R100" s="2942"/>
      <c r="S100" s="2942"/>
      <c r="T100" s="2942"/>
      <c r="U100" s="2942"/>
      <c r="V100" s="2942"/>
      <c r="W100" s="2942"/>
      <c r="X100" s="2942"/>
      <c r="Y100" s="2942"/>
      <c r="Z100" s="2942"/>
      <c r="AA100" s="2942"/>
      <c r="AB100" s="2942"/>
      <c r="AC100" s="294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0"/>
      <c r="O101" s="2950"/>
      <c r="P101" s="2974"/>
      <c r="Q101" s="2941"/>
      <c r="R101" s="2942"/>
      <c r="S101" s="2942"/>
      <c r="T101" s="2942"/>
      <c r="U101" s="2942"/>
      <c r="V101" s="2942"/>
      <c r="W101" s="2942"/>
      <c r="X101" s="2942"/>
      <c r="Y101" s="2942"/>
      <c r="Z101" s="2942"/>
      <c r="AA101" s="2942"/>
      <c r="AB101" s="2942"/>
      <c r="AC101" s="2942"/>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3"/>
      <c r="N102" s="2950"/>
      <c r="O102" s="2950"/>
      <c r="P102" s="2974"/>
      <c r="Q102" s="2941"/>
      <c r="R102" s="2942"/>
      <c r="S102" s="2942"/>
      <c r="T102" s="2942"/>
      <c r="U102" s="2942"/>
      <c r="V102" s="2942"/>
      <c r="W102" s="2942"/>
      <c r="X102" s="2942"/>
      <c r="Y102" s="2942"/>
      <c r="Z102" s="2942"/>
      <c r="AA102" s="2942"/>
      <c r="AB102" s="2942"/>
      <c r="AC102" s="294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48"/>
      <c r="O104" s="2948"/>
      <c r="P104" s="2973"/>
      <c r="Q104" s="2934"/>
      <c r="R104" s="2920"/>
      <c r="S104" s="2920"/>
      <c r="T104" s="2920"/>
      <c r="U104" s="2920"/>
      <c r="V104" s="2920"/>
      <c r="W104" s="2920"/>
      <c r="X104" s="2920"/>
      <c r="Y104" s="2920"/>
      <c r="Z104" s="2920"/>
      <c r="AA104" s="2920"/>
      <c r="AB104" s="2920"/>
      <c r="AC104" s="292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0"/>
      <c r="B106" s="494" t="s">
        <v>2452</v>
      </c>
      <c r="C106" s="510"/>
      <c r="D106" s="510"/>
      <c r="E106" s="510"/>
      <c r="F106" s="510"/>
      <c r="G106" s="510"/>
      <c r="H106" s="539"/>
      <c r="I106" s="539"/>
      <c r="J106" s="539"/>
      <c r="K106" s="540"/>
      <c r="L106" s="541"/>
      <c r="M106" s="542"/>
      <c r="N106" s="2948"/>
      <c r="O106" s="2948"/>
      <c r="P106" s="2973"/>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0"/>
      <c r="B108" s="494" t="s">
        <v>2510</v>
      </c>
      <c r="C108" s="539"/>
      <c r="D108" s="539"/>
      <c r="E108" s="539"/>
      <c r="F108" s="539"/>
      <c r="G108" s="539"/>
      <c r="H108" s="539"/>
      <c r="I108" s="539"/>
      <c r="J108" s="539"/>
      <c r="K108" s="540"/>
      <c r="L108" s="541"/>
      <c r="M108" s="542"/>
      <c r="N108" s="2948"/>
      <c r="O108" s="2948"/>
      <c r="P108" s="2973"/>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0"/>
      <c r="B110" s="502">
        <f>B35</f>
        <v>111</v>
      </c>
      <c r="C110" s="510"/>
      <c r="D110" s="510"/>
      <c r="E110" s="510"/>
      <c r="F110" s="510"/>
      <c r="G110" s="543"/>
      <c r="H110" s="543"/>
      <c r="I110" s="543"/>
      <c r="J110" s="543"/>
      <c r="K110" s="544"/>
      <c r="L110" s="545"/>
      <c r="M110" s="546"/>
      <c r="N110" s="2948"/>
      <c r="O110" s="2948"/>
      <c r="P110" s="2973"/>
      <c r="Q110" s="2934"/>
      <c r="R110" s="2920"/>
      <c r="S110" s="2920"/>
      <c r="T110" s="2920"/>
      <c r="U110" s="2920"/>
      <c r="V110" s="2920"/>
      <c r="W110" s="2920"/>
      <c r="X110" s="2920"/>
      <c r="Y110" s="2920"/>
      <c r="Z110" s="2920"/>
      <c r="AA110" s="2920"/>
      <c r="AB110" s="2920"/>
      <c r="AC110" s="2920"/>
    </row>
    <row r="111" spans="1:29" ht="15.75" thickBot="1">
      <c r="A111" s="490"/>
      <c r="B111" s="525"/>
      <c r="C111" s="516"/>
      <c r="D111" s="516"/>
      <c r="E111" s="516"/>
      <c r="F111" s="516"/>
      <c r="G111" s="547"/>
      <c r="H111" s="547"/>
      <c r="I111" s="547"/>
      <c r="J111" s="547"/>
      <c r="K111" s="547"/>
      <c r="L111" s="547"/>
      <c r="M111" s="548"/>
      <c r="N111" s="2949"/>
      <c r="O111" s="2949"/>
      <c r="P111" s="2973"/>
      <c r="Q111" s="2934"/>
      <c r="R111" s="2920"/>
      <c r="S111" s="2920"/>
      <c r="T111" s="2920"/>
      <c r="U111" s="2920"/>
      <c r="V111" s="2920"/>
      <c r="W111" s="2920"/>
      <c r="X111" s="2920"/>
      <c r="Y111" s="2920"/>
      <c r="Z111" s="2920"/>
      <c r="AA111" s="2920"/>
      <c r="AB111" s="2920"/>
      <c r="AC111" s="2920"/>
    </row>
    <row r="112" spans="1:29" ht="15" thickTop="1">
      <c r="A112" s="630"/>
      <c r="B112" s="494">
        <f>B36</f>
        <v>111</v>
      </c>
      <c r="C112" s="479"/>
      <c r="D112" s="479"/>
      <c r="E112" s="479"/>
      <c r="F112" s="479"/>
      <c r="G112" s="539"/>
      <c r="H112" s="539"/>
      <c r="I112" s="539"/>
      <c r="J112" s="539"/>
      <c r="K112" s="540"/>
      <c r="L112" s="541"/>
      <c r="M112" s="542"/>
      <c r="N112" s="2948"/>
      <c r="O112" s="2948"/>
      <c r="P112" s="2973"/>
      <c r="Q112" s="2934"/>
      <c r="R112" s="2920"/>
      <c r="S112" s="2920"/>
      <c r="T112" s="2920"/>
      <c r="U112" s="2920"/>
      <c r="V112" s="2920"/>
      <c r="W112" s="2920"/>
      <c r="X112" s="2920"/>
      <c r="Y112" s="2920"/>
      <c r="Z112" s="2920"/>
      <c r="AA112" s="2920"/>
      <c r="AB112" s="2920"/>
      <c r="AC112" s="2920"/>
    </row>
    <row r="113" spans="1:29" ht="15.75" thickBot="1">
      <c r="A113" s="490"/>
      <c r="B113" s="499"/>
      <c r="C113" s="526"/>
      <c r="D113" s="526"/>
      <c r="E113" s="526"/>
      <c r="F113" s="526"/>
      <c r="G113" s="492"/>
      <c r="H113" s="492"/>
      <c r="I113" s="492"/>
      <c r="J113" s="492"/>
      <c r="K113" s="492"/>
      <c r="L113" s="492"/>
      <c r="M113" s="493"/>
      <c r="N113" s="2949"/>
      <c r="O113" s="2949"/>
      <c r="P113" s="2973"/>
      <c r="Q113" s="2934"/>
      <c r="R113" s="2920"/>
      <c r="S113" s="2920"/>
      <c r="T113" s="2920"/>
      <c r="U113" s="2920"/>
      <c r="V113" s="2920"/>
      <c r="W113" s="2920"/>
      <c r="X113" s="2920"/>
      <c r="Y113" s="2920"/>
      <c r="Z113" s="2920"/>
      <c r="AA113" s="2920"/>
      <c r="AB113" s="2920"/>
      <c r="AC113" s="2920"/>
    </row>
    <row r="114" spans="1:29" s="429" customFormat="1" ht="15" thickTop="1">
      <c r="A114" s="549"/>
      <c r="B114" s="550">
        <f>B37</f>
        <v>111</v>
      </c>
      <c r="C114" s="551"/>
      <c r="D114" s="551"/>
      <c r="E114" s="551"/>
      <c r="F114" s="551"/>
      <c r="G114" s="551"/>
      <c r="H114" s="551"/>
      <c r="I114" s="551"/>
      <c r="J114" s="552"/>
      <c r="K114" s="552"/>
      <c r="L114" s="553"/>
      <c r="M114" s="554"/>
      <c r="N114" s="2950"/>
      <c r="O114" s="2950"/>
      <c r="P114" s="2974"/>
      <c r="Q114" s="2941"/>
      <c r="R114" s="2942"/>
      <c r="S114" s="2942"/>
      <c r="T114" s="2942"/>
      <c r="U114" s="2942"/>
      <c r="V114" s="2942"/>
      <c r="W114" s="2942"/>
      <c r="X114" s="2942"/>
      <c r="Y114" s="2942"/>
      <c r="Z114" s="2942"/>
      <c r="AA114" s="2942"/>
      <c r="AB114" s="2942"/>
      <c r="AC114" s="2942"/>
    </row>
    <row r="115" spans="1:29" s="429" customFormat="1" ht="15.75" thickBot="1">
      <c r="A115" s="509"/>
      <c r="B115" s="502"/>
      <c r="C115" s="468"/>
      <c r="D115" s="632"/>
      <c r="E115" s="632"/>
      <c r="F115" s="632"/>
      <c r="G115" s="632"/>
      <c r="H115" s="632"/>
      <c r="I115" s="632"/>
      <c r="J115" s="632"/>
      <c r="K115" s="632"/>
      <c r="L115" s="632"/>
      <c r="M115" s="654"/>
      <c r="N115" s="2949"/>
      <c r="O115" s="2949"/>
      <c r="P115" s="2974"/>
      <c r="Q115" s="2941"/>
      <c r="R115" s="2942"/>
      <c r="S115" s="2942"/>
      <c r="T115" s="2942"/>
      <c r="U115" s="2942"/>
      <c r="V115" s="2942"/>
      <c r="W115" s="2942"/>
      <c r="X115" s="2942"/>
      <c r="Y115" s="2942"/>
      <c r="Z115" s="2942"/>
      <c r="AA115" s="2942"/>
      <c r="AB115" s="2942"/>
      <c r="AC115" s="2942"/>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0"/>
      <c r="B117" s="502"/>
      <c r="C117" s="551"/>
      <c r="D117" s="551"/>
      <c r="E117" s="551"/>
      <c r="F117" s="551"/>
      <c r="G117" s="551"/>
      <c r="H117" s="551"/>
      <c r="I117" s="551"/>
      <c r="J117" s="552"/>
      <c r="K117" s="552"/>
      <c r="L117" s="553"/>
      <c r="M117" s="554"/>
      <c r="N117" s="2948"/>
      <c r="O117" s="2948"/>
      <c r="P117" s="2973"/>
      <c r="Q117" s="2934"/>
      <c r="R117" s="2920"/>
      <c r="S117" s="2920"/>
      <c r="T117" s="2920"/>
      <c r="U117" s="2920"/>
      <c r="V117" s="2920"/>
      <c r="W117" s="2920"/>
      <c r="X117" s="2920"/>
      <c r="Y117" s="2920"/>
      <c r="Z117" s="2920"/>
      <c r="AA117" s="2920"/>
      <c r="AB117" s="2920"/>
      <c r="AC117" s="2920"/>
    </row>
    <row r="118" spans="1:29" ht="15.75" thickBot="1">
      <c r="A118" s="490"/>
      <c r="B118" s="499"/>
      <c r="C118" s="526"/>
      <c r="D118" s="547"/>
      <c r="E118" s="547"/>
      <c r="F118" s="547"/>
      <c r="G118" s="547"/>
      <c r="H118" s="547"/>
      <c r="I118" s="547"/>
      <c r="J118" s="547"/>
      <c r="K118" s="547"/>
      <c r="L118" s="547"/>
      <c r="M118" s="548"/>
      <c r="N118" s="2949"/>
      <c r="O118" s="2949"/>
      <c r="P118" s="2973"/>
      <c r="Q118" s="2934"/>
      <c r="R118" s="2920"/>
      <c r="S118" s="2920"/>
      <c r="T118" s="2920"/>
      <c r="U118" s="2920"/>
      <c r="V118" s="2920"/>
      <c r="W118" s="2920"/>
      <c r="X118" s="2920"/>
      <c r="Y118" s="2920"/>
      <c r="Z118" s="2920"/>
      <c r="AA118" s="2920"/>
      <c r="AB118" s="2920"/>
      <c r="AC118" s="2920"/>
    </row>
    <row r="119" spans="1:29" ht="15" thickTop="1">
      <c r="A119" s="555"/>
      <c r="B119" s="494" t="s">
        <v>2552</v>
      </c>
      <c r="C119" s="539"/>
      <c r="D119" s="539"/>
      <c r="E119" s="539"/>
      <c r="F119" s="539"/>
      <c r="G119" s="539"/>
      <c r="H119" s="539"/>
      <c r="I119" s="539"/>
      <c r="J119" s="539"/>
      <c r="K119" s="540"/>
      <c r="L119" s="541"/>
      <c r="M119" s="542"/>
      <c r="N119" s="2948"/>
      <c r="O119" s="2948"/>
      <c r="P119" s="2973"/>
      <c r="Q119" s="2934"/>
      <c r="R119" s="2920"/>
      <c r="S119" s="2920"/>
      <c r="T119" s="2920"/>
      <c r="U119" s="2920"/>
      <c r="V119" s="2920"/>
      <c r="W119" s="2920"/>
      <c r="X119" s="2920"/>
      <c r="Y119" s="2920"/>
      <c r="Z119" s="2920"/>
      <c r="AA119" s="2920"/>
      <c r="AB119" s="2920"/>
      <c r="AC119" s="292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5"/>
      <c r="B121" s="494" t="s">
        <v>2553</v>
      </c>
      <c r="C121" s="510"/>
      <c r="D121" s="510"/>
      <c r="E121" s="510"/>
      <c r="F121" s="539"/>
      <c r="G121" s="539"/>
      <c r="H121" s="539"/>
      <c r="I121" s="539"/>
      <c r="J121" s="539"/>
      <c r="K121" s="540"/>
      <c r="L121" s="541"/>
      <c r="M121" s="542"/>
      <c r="N121" s="2948"/>
      <c r="O121" s="2948"/>
      <c r="P121" s="2973"/>
      <c r="Q121" s="2934"/>
      <c r="R121" s="2920"/>
      <c r="S121" s="2920"/>
      <c r="T121" s="2920"/>
      <c r="U121" s="2920"/>
      <c r="V121" s="2920"/>
      <c r="W121" s="2920"/>
      <c r="X121" s="2920"/>
      <c r="Y121" s="2920"/>
      <c r="Z121" s="2920"/>
      <c r="AA121" s="2920"/>
      <c r="AB121" s="2920"/>
      <c r="AC121" s="292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9"/>
      <c r="O122" s="2949"/>
      <c r="P122" s="2973"/>
      <c r="Q122" s="2934"/>
      <c r="R122" s="2920"/>
      <c r="S122" s="2920"/>
      <c r="T122" s="2920"/>
      <c r="U122" s="2920"/>
      <c r="V122" s="2920"/>
      <c r="W122" s="2920"/>
      <c r="X122" s="2920"/>
      <c r="Y122" s="2920"/>
      <c r="Z122" s="2920"/>
      <c r="AA122" s="2920"/>
      <c r="AB122" s="2920"/>
      <c r="AC122" s="2920"/>
    </row>
    <row r="123" spans="1:29" s="429" customFormat="1" ht="15" thickTop="1">
      <c r="A123" s="549"/>
      <c r="B123" s="494" t="s">
        <v>2554</v>
      </c>
      <c r="C123" s="510"/>
      <c r="D123" s="510"/>
      <c r="E123" s="510"/>
      <c r="F123" s="510"/>
      <c r="G123" s="510"/>
      <c r="H123" s="539"/>
      <c r="I123" s="539"/>
      <c r="J123" s="539"/>
      <c r="K123" s="540"/>
      <c r="L123" s="541"/>
      <c r="M123" s="542"/>
      <c r="N123" s="2950"/>
      <c r="O123" s="2950"/>
      <c r="P123" s="2974"/>
      <c r="Q123" s="2941"/>
      <c r="R123" s="2942"/>
      <c r="S123" s="2942"/>
      <c r="T123" s="2942"/>
      <c r="U123" s="2942"/>
      <c r="V123" s="2942"/>
      <c r="W123" s="2942"/>
      <c r="X123" s="2942"/>
      <c r="Y123" s="2942"/>
      <c r="Z123" s="2942"/>
      <c r="AA123" s="2942"/>
      <c r="AB123" s="2942"/>
      <c r="AC123" s="294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5"/>
      <c r="B125" s="494" t="s">
        <v>2555</v>
      </c>
      <c r="C125" s="510"/>
      <c r="D125" s="510"/>
      <c r="E125" s="539"/>
      <c r="F125" s="539"/>
      <c r="G125" s="539"/>
      <c r="H125" s="539"/>
      <c r="I125" s="539"/>
      <c r="J125" s="539"/>
      <c r="K125" s="540"/>
      <c r="L125" s="541"/>
      <c r="M125" s="542"/>
      <c r="N125" s="2948"/>
      <c r="O125" s="2948"/>
      <c r="P125" s="2973"/>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5"/>
      <c r="B127" s="494">
        <f>B43</f>
        <v>111</v>
      </c>
      <c r="C127" s="510"/>
      <c r="D127" s="510"/>
      <c r="E127" s="510"/>
      <c r="F127" s="510"/>
      <c r="G127" s="510"/>
      <c r="H127" s="539"/>
      <c r="I127" s="539"/>
      <c r="J127" s="539"/>
      <c r="K127" s="540"/>
      <c r="L127" s="541"/>
      <c r="M127" s="542"/>
      <c r="N127" s="2948"/>
      <c r="O127" s="2948"/>
      <c r="P127" s="2973"/>
      <c r="Q127" s="2934"/>
      <c r="R127" s="2920"/>
      <c r="S127" s="2920"/>
      <c r="T127" s="2920"/>
      <c r="U127" s="2920"/>
      <c r="V127" s="2920"/>
      <c r="W127" s="2920"/>
      <c r="X127" s="2920"/>
      <c r="Y127" s="2920"/>
      <c r="Z127" s="2920"/>
      <c r="AA127" s="2920"/>
      <c r="AB127" s="2920"/>
      <c r="AC127" s="2920"/>
    </row>
    <row r="128" spans="1:29" ht="15.75" thickBot="1">
      <c r="A128" s="490"/>
      <c r="B128" s="499"/>
      <c r="C128" s="516"/>
      <c r="D128" s="516"/>
      <c r="E128" s="516"/>
      <c r="F128" s="516"/>
      <c r="G128" s="492"/>
      <c r="H128" s="492"/>
      <c r="I128" s="492"/>
      <c r="J128" s="492"/>
      <c r="K128" s="492"/>
      <c r="L128" s="492"/>
      <c r="M128" s="493"/>
      <c r="N128" s="2949"/>
      <c r="O128" s="2949"/>
      <c r="P128" s="2973"/>
      <c r="Q128" s="2934"/>
      <c r="R128" s="2920"/>
      <c r="S128" s="2920"/>
      <c r="T128" s="2920"/>
      <c r="U128" s="2920"/>
      <c r="V128" s="2920"/>
      <c r="W128" s="2920"/>
      <c r="X128" s="2920"/>
      <c r="Y128" s="2920"/>
      <c r="Z128" s="2920"/>
      <c r="AA128" s="2920"/>
      <c r="AB128" s="2920"/>
      <c r="AC128" s="2920"/>
    </row>
    <row r="129" spans="1:29" ht="15" thickTop="1">
      <c r="A129" s="555"/>
      <c r="B129" s="494">
        <f>B44</f>
        <v>111</v>
      </c>
      <c r="C129" s="479"/>
      <c r="D129" s="479"/>
      <c r="E129" s="479"/>
      <c r="F129" s="479"/>
      <c r="G129" s="539"/>
      <c r="H129" s="539"/>
      <c r="I129" s="539"/>
      <c r="J129" s="539"/>
      <c r="K129" s="540"/>
      <c r="L129" s="541"/>
      <c r="M129" s="542"/>
      <c r="N129" s="2948"/>
      <c r="O129" s="2948"/>
      <c r="P129" s="2973"/>
      <c r="Q129" s="2934"/>
      <c r="R129" s="2920"/>
      <c r="S129" s="2920"/>
      <c r="T129" s="2920"/>
      <c r="U129" s="2920"/>
      <c r="V129" s="2920"/>
      <c r="W129" s="2920"/>
      <c r="X129" s="2920"/>
      <c r="Y129" s="2920"/>
      <c r="Z129" s="2920"/>
      <c r="AA129" s="2920"/>
      <c r="AB129" s="2920"/>
      <c r="AC129" s="2920"/>
    </row>
    <row r="130" spans="1:29" ht="15.75" thickBot="1">
      <c r="A130" s="490"/>
      <c r="B130" s="499"/>
      <c r="C130" s="526"/>
      <c r="D130" s="526"/>
      <c r="E130" s="526"/>
      <c r="F130" s="526"/>
      <c r="G130" s="492"/>
      <c r="H130" s="492"/>
      <c r="I130" s="492"/>
      <c r="J130" s="492"/>
      <c r="K130" s="492"/>
      <c r="L130" s="492"/>
      <c r="M130" s="493"/>
      <c r="N130" s="2949"/>
      <c r="O130" s="2949"/>
      <c r="P130" s="2973"/>
      <c r="Q130" s="2934"/>
      <c r="R130" s="2920"/>
      <c r="S130" s="2920"/>
      <c r="T130" s="2920"/>
      <c r="U130" s="2920"/>
      <c r="V130" s="2920"/>
      <c r="W130" s="2920"/>
      <c r="X130" s="2920"/>
      <c r="Y130" s="2920"/>
      <c r="Z130" s="2920"/>
      <c r="AA130" s="2920"/>
      <c r="AB130" s="2920"/>
      <c r="AC130" s="2920"/>
    </row>
    <row r="131" spans="1:29" s="429" customFormat="1" ht="15" thickTop="1">
      <c r="A131" s="549"/>
      <c r="B131" s="494">
        <f>B45</f>
        <v>111</v>
      </c>
      <c r="C131" s="479"/>
      <c r="D131" s="479"/>
      <c r="E131" s="479"/>
      <c r="F131" s="479"/>
      <c r="G131" s="511"/>
      <c r="H131" s="511"/>
      <c r="I131" s="511"/>
      <c r="J131" s="511"/>
      <c r="K131" s="511"/>
      <c r="L131" s="512"/>
      <c r="M131" s="513"/>
      <c r="N131" s="2950"/>
      <c r="O131" s="2950"/>
      <c r="P131" s="2974"/>
      <c r="Q131" s="2941"/>
      <c r="R131" s="2942"/>
      <c r="S131" s="2942"/>
      <c r="T131" s="2942"/>
      <c r="U131" s="2942"/>
      <c r="V131" s="2942"/>
      <c r="W131" s="2942"/>
      <c r="X131" s="2942"/>
      <c r="Y131" s="2942"/>
      <c r="Z131" s="2942"/>
      <c r="AA131" s="2942"/>
      <c r="AB131" s="2942"/>
      <c r="AC131" s="2942"/>
    </row>
    <row r="132" spans="1:29" s="429" customFormat="1" ht="15.75" thickBot="1">
      <c r="A132" s="524"/>
      <c r="B132" s="655"/>
      <c r="C132" s="526"/>
      <c r="D132" s="526"/>
      <c r="E132" s="526"/>
      <c r="F132" s="526"/>
      <c r="G132" s="547"/>
      <c r="H132" s="547"/>
      <c r="I132" s="547"/>
      <c r="J132" s="547"/>
      <c r="K132" s="547"/>
      <c r="L132" s="547"/>
      <c r="M132" s="548"/>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357" customFormat="1" ht="28.5" customHeight="1">
      <c r="A1" s="353" t="s">
        <v>2504</v>
      </c>
      <c r="B1" s="354"/>
      <c r="C1" s="355" t="s">
        <v>2556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35" t="s">
        <v>2407</v>
      </c>
      <c r="D4" s="3636"/>
      <c r="E4" s="3637" t="s">
        <v>2408</v>
      </c>
      <c r="F4" s="3638"/>
      <c r="G4" s="3635" t="s">
        <v>2409</v>
      </c>
      <c r="H4" s="3636"/>
      <c r="I4" s="3635" t="s">
        <v>2410</v>
      </c>
      <c r="J4" s="3636"/>
      <c r="K4" s="566" t="s">
        <v>2411</v>
      </c>
      <c r="L4" s="2910"/>
      <c r="M4" s="2911"/>
      <c r="N4" s="2911"/>
      <c r="O4" s="2911"/>
      <c r="P4" s="3639" t="s">
        <v>2412</v>
      </c>
      <c r="Q4" s="3640"/>
      <c r="R4" s="3645" t="s">
        <v>2408</v>
      </c>
      <c r="S4" s="3646"/>
      <c r="T4" s="3645" t="s">
        <v>2409</v>
      </c>
      <c r="U4" s="3646"/>
      <c r="V4" s="3630" t="s">
        <v>2410</v>
      </c>
      <c r="W4" s="3630"/>
      <c r="X4" s="1506"/>
      <c r="Y4" s="3645" t="s">
        <v>2412</v>
      </c>
      <c r="Z4" s="3646"/>
      <c r="AA4" s="3632" t="s">
        <v>2408</v>
      </c>
      <c r="AB4" s="3633" t="s">
        <v>2409</v>
      </c>
      <c r="AC4" s="3632" t="s">
        <v>2410</v>
      </c>
    </row>
    <row r="5" spans="1:29" ht="15">
      <c r="A5" s="363"/>
      <c r="B5" s="364"/>
      <c r="C5" s="3750" t="s">
        <v>2303</v>
      </c>
      <c r="D5" s="3659"/>
      <c r="E5" s="3751" t="s">
        <v>2304</v>
      </c>
      <c r="F5" s="3654"/>
      <c r="G5" s="3750" t="s">
        <v>2305</v>
      </c>
      <c r="H5" s="3659"/>
      <c r="I5" s="3750" t="s">
        <v>2306</v>
      </c>
      <c r="J5" s="3659"/>
      <c r="K5" s="566"/>
      <c r="L5" s="2910"/>
      <c r="M5" s="2911"/>
      <c r="N5" s="2911"/>
      <c r="O5" s="2911"/>
      <c r="P5" s="3641"/>
      <c r="Q5" s="3642"/>
      <c r="R5" s="3647"/>
      <c r="S5" s="3648"/>
      <c r="T5" s="3647"/>
      <c r="U5" s="3648"/>
      <c r="V5" s="3630"/>
      <c r="W5" s="3630"/>
      <c r="X5" s="1506"/>
      <c r="Y5" s="3647"/>
      <c r="Z5" s="3648"/>
      <c r="AA5" s="3633"/>
      <c r="AB5" s="3633"/>
      <c r="AC5" s="3633"/>
    </row>
    <row r="6" spans="1:29" ht="15.75" thickBot="1">
      <c r="A6" s="365"/>
      <c r="B6" s="366"/>
      <c r="C6" s="3792" t="s">
        <v>2557</v>
      </c>
      <c r="D6" s="3793"/>
      <c r="E6" s="3794" t="s">
        <v>2557</v>
      </c>
      <c r="F6" s="3795"/>
      <c r="G6" s="3792" t="s">
        <v>2557</v>
      </c>
      <c r="H6" s="3793"/>
      <c r="I6" s="3792" t="s">
        <v>2557</v>
      </c>
      <c r="J6" s="3793"/>
      <c r="K6" s="566" t="s">
        <v>2308</v>
      </c>
      <c r="L6" s="2910"/>
      <c r="M6" s="2911"/>
      <c r="N6" s="2911"/>
      <c r="O6" s="2911"/>
      <c r="P6" s="3643"/>
      <c r="Q6" s="3644"/>
      <c r="R6" s="3647"/>
      <c r="S6" s="3648"/>
      <c r="T6" s="3649"/>
      <c r="U6" s="3650"/>
      <c r="V6" s="3630"/>
      <c r="W6" s="3630"/>
      <c r="X6" s="1506"/>
      <c r="Y6" s="3649"/>
      <c r="Z6" s="3650"/>
      <c r="AA6" s="3634"/>
      <c r="AB6" s="3634"/>
      <c r="AC6" s="3634"/>
    </row>
    <row r="7" spans="1:29" s="113" customFormat="1" ht="15.75" thickBot="1">
      <c r="A7" s="367" t="s">
        <v>2309</v>
      </c>
      <c r="B7" s="368"/>
      <c r="C7" s="369">
        <f>'数据-取费表'!B2</f>
        <v>44762</v>
      </c>
      <c r="D7" s="370">
        <v>100</v>
      </c>
      <c r="E7" s="371"/>
      <c r="F7" s="372">
        <f>SUMIF(65:65,YEAR(E7)&amp;"-"&amp;INT((MONTH(E7)+2)/3),66:66)</f>
        <v>0</v>
      </c>
      <c r="G7" s="2126"/>
      <c r="H7" s="370">
        <f>SUMIF(65:65,YEAR(G7)&amp;"-"&amp;INT((MONTH(G7)+2)/3),66:66)</f>
        <v>0</v>
      </c>
      <c r="I7" s="2126"/>
      <c r="J7" s="370">
        <f>SUMIF(65:65,YEAR(I7)&amp;"-"&amp;INT((MONTH(I7)+2)/3),66:66)</f>
        <v>0</v>
      </c>
      <c r="K7" s="567"/>
      <c r="L7" s="2912"/>
      <c r="M7" s="2913"/>
      <c r="N7" s="2913"/>
      <c r="O7" s="2913"/>
      <c r="P7" s="3655" t="s">
        <v>2310</v>
      </c>
      <c r="Q7" s="3657"/>
      <c r="R7" s="708" t="s">
        <v>17</v>
      </c>
      <c r="S7" s="709">
        <f t="shared" ref="S7:S15" si="0">F7</f>
        <v>0</v>
      </c>
      <c r="T7" s="708" t="s">
        <v>17</v>
      </c>
      <c r="U7" s="709">
        <f t="shared" ref="U7:U15" si="1">H7</f>
        <v>0</v>
      </c>
      <c r="V7" s="708" t="s">
        <v>17</v>
      </c>
      <c r="W7" s="709">
        <f t="shared" ref="W7:W15" si="2">J7</f>
        <v>0</v>
      </c>
      <c r="X7" s="710"/>
      <c r="Y7" s="3655" t="s">
        <v>2310</v>
      </c>
      <c r="Z7" s="3656"/>
      <c r="AA7" s="711" t="e">
        <f>D7/F7</f>
        <v>#DIV/0!</v>
      </c>
      <c r="AB7" s="711" t="e">
        <f>D7/H7</f>
        <v>#DIV/0!</v>
      </c>
      <c r="AC7" s="711"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2"/>
      <c r="M8" s="2913"/>
      <c r="N8" s="2913"/>
      <c r="O8" s="2913"/>
      <c r="P8" s="3655" t="s">
        <v>2313</v>
      </c>
      <c r="Q8" s="3656"/>
      <c r="R8" s="708" t="s">
        <v>17</v>
      </c>
      <c r="S8" s="709">
        <f t="shared" si="0"/>
        <v>0</v>
      </c>
      <c r="T8" s="708" t="s">
        <v>17</v>
      </c>
      <c r="U8" s="709">
        <f t="shared" si="1"/>
        <v>0</v>
      </c>
      <c r="V8" s="708" t="s">
        <v>17</v>
      </c>
      <c r="W8" s="709">
        <f t="shared" si="2"/>
        <v>0</v>
      </c>
      <c r="X8" s="710"/>
      <c r="Y8" s="3655" t="s">
        <v>2313</v>
      </c>
      <c r="Z8" s="3656"/>
      <c r="AA8" s="711" t="e">
        <f t="shared" ref="AA8:AA40" si="3">D8/F8</f>
        <v>#DIV/0!</v>
      </c>
      <c r="AB8" s="711" t="e">
        <f t="shared" ref="AB8:AB40" si="4">D8/H8</f>
        <v>#DIV/0!</v>
      </c>
      <c r="AC8" s="711" t="e">
        <f t="shared" ref="AC8:AC40" si="5">D8/J8</f>
        <v>#DIV/0!</v>
      </c>
    </row>
    <row r="9" spans="1:29" s="113" customFormat="1">
      <c r="A9" s="374" t="s">
        <v>2314</v>
      </c>
      <c r="B9" s="67" t="s">
        <v>2315</v>
      </c>
      <c r="C9" s="2129"/>
      <c r="D9" s="131">
        <v>100</v>
      </c>
      <c r="E9" s="2129"/>
      <c r="F9" s="131">
        <f>SUMIF(70:70,E9,71:71)-SUMIF(70:70,C9,71:71)+100</f>
        <v>100</v>
      </c>
      <c r="G9" s="2129"/>
      <c r="H9" s="131">
        <f>SUMIF(70:70,G9,71:71)-SUMIF(70:70,C9,71:71)+100</f>
        <v>100</v>
      </c>
      <c r="I9" s="2129"/>
      <c r="J9" s="131">
        <f>SUMIF(70:70,I9,71:71)-SUMIF(70:70,C9,71:71)+100</f>
        <v>100</v>
      </c>
      <c r="K9" s="567"/>
      <c r="L9" s="2912"/>
      <c r="M9" s="2913"/>
      <c r="N9" s="2913"/>
      <c r="O9" s="2967"/>
      <c r="P9" s="3616" t="s">
        <v>2316</v>
      </c>
      <c r="Q9" s="1494" t="str">
        <f t="shared" ref="Q9:Q15" si="6">B9</f>
        <v>用途</v>
      </c>
      <c r="R9" s="708" t="s">
        <v>17</v>
      </c>
      <c r="S9" s="709">
        <f t="shared" si="0"/>
        <v>100</v>
      </c>
      <c r="T9" s="708" t="s">
        <v>17</v>
      </c>
      <c r="U9" s="709">
        <f t="shared" si="1"/>
        <v>100</v>
      </c>
      <c r="V9" s="708" t="s">
        <v>17</v>
      </c>
      <c r="W9" s="709">
        <f t="shared" si="2"/>
        <v>100</v>
      </c>
      <c r="X9" s="710"/>
      <c r="Y9" s="3520" t="s">
        <v>2317</v>
      </c>
      <c r="Z9" s="55" t="str">
        <f t="shared" ref="Z9:Z15" si="7">Q9</f>
        <v>用途</v>
      </c>
      <c r="AA9" s="711">
        <f t="shared" si="3"/>
        <v>1</v>
      </c>
      <c r="AB9" s="711">
        <f t="shared" si="4"/>
        <v>1</v>
      </c>
      <c r="AC9" s="711">
        <f t="shared" si="5"/>
        <v>1</v>
      </c>
    </row>
    <row r="10" spans="1:29" s="385" customFormat="1" ht="27">
      <c r="A10" s="379"/>
      <c r="B10" s="380" t="s">
        <v>2318</v>
      </c>
      <c r="C10" s="390"/>
      <c r="D10" s="132">
        <v>100</v>
      </c>
      <c r="E10" s="390"/>
      <c r="F10" s="132">
        <f>ROUND(100/'数据-取费表'!G16,0)</f>
        <v>106</v>
      </c>
      <c r="G10" s="390"/>
      <c r="H10" s="132">
        <f>ROUND(100/'数据-取费表'!G16,0)</f>
        <v>106</v>
      </c>
      <c r="I10" s="390"/>
      <c r="J10" s="132">
        <f>ROUND(100/'数据-取费表'!G16,0)</f>
        <v>106</v>
      </c>
      <c r="K10" s="627"/>
      <c r="L10" s="2914"/>
      <c r="M10" s="2915"/>
      <c r="N10" s="2915"/>
      <c r="O10" s="2968"/>
      <c r="P10" s="3616"/>
      <c r="Q10" s="1494" t="str">
        <f t="shared" si="6"/>
        <v>土地使用年限（年）</v>
      </c>
      <c r="R10" s="708" t="s">
        <v>17</v>
      </c>
      <c r="S10" s="709">
        <f t="shared" si="0"/>
        <v>106</v>
      </c>
      <c r="T10" s="708" t="s">
        <v>17</v>
      </c>
      <c r="U10" s="709">
        <f t="shared" si="1"/>
        <v>106</v>
      </c>
      <c r="V10" s="708" t="s">
        <v>17</v>
      </c>
      <c r="W10" s="709">
        <f t="shared" si="2"/>
        <v>106</v>
      </c>
      <c r="X10" s="710"/>
      <c r="Y10" s="3520"/>
      <c r="Z10" s="55" t="str">
        <f t="shared" si="7"/>
        <v>土地使用年限（年）</v>
      </c>
      <c r="AA10" s="711">
        <f t="shared" si="3"/>
        <v>0.94339622641509435</v>
      </c>
      <c r="AB10" s="711">
        <f t="shared" si="4"/>
        <v>0.94339622641509435</v>
      </c>
      <c r="AC10" s="711">
        <f t="shared" si="5"/>
        <v>0.94339622641509435</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6"/>
      <c r="M11" s="2911"/>
      <c r="N11" s="2911"/>
      <c r="O11" s="2969"/>
      <c r="P11" s="3616"/>
      <c r="Q11" s="1494" t="str">
        <f t="shared" si="6"/>
        <v>容积率</v>
      </c>
      <c r="R11" s="708" t="s">
        <v>17</v>
      </c>
      <c r="S11" s="709" t="e">
        <f t="shared" si="0"/>
        <v>#N/A</v>
      </c>
      <c r="T11" s="708" t="s">
        <v>17</v>
      </c>
      <c r="U11" s="709" t="e">
        <f t="shared" si="1"/>
        <v>#N/A</v>
      </c>
      <c r="V11" s="708" t="s">
        <v>17</v>
      </c>
      <c r="W11" s="709" t="e">
        <f t="shared" si="2"/>
        <v>#N/A</v>
      </c>
      <c r="X11" s="710"/>
      <c r="Y11" s="3520"/>
      <c r="Z11" s="55" t="str">
        <f t="shared" si="7"/>
        <v>容积率</v>
      </c>
      <c r="AA11" s="711" t="e">
        <f t="shared" si="3"/>
        <v>#N/A</v>
      </c>
      <c r="AB11" s="711" t="e">
        <f t="shared" si="4"/>
        <v>#N/A</v>
      </c>
      <c r="AC11" s="711" t="e">
        <f t="shared" si="5"/>
        <v>#N/A</v>
      </c>
    </row>
    <row r="12" spans="1:29" s="113" customFormat="1" ht="15">
      <c r="A12" s="389"/>
      <c r="B12" s="2045">
        <v>111</v>
      </c>
      <c r="C12" s="390"/>
      <c r="D12" s="391">
        <v>100</v>
      </c>
      <c r="E12" s="505"/>
      <c r="F12" s="132">
        <f>SUMIF(77:77,E12,78:78)-SUMIF(77:77,C12,78:78)+100</f>
        <v>100</v>
      </c>
      <c r="G12" s="629"/>
      <c r="H12" s="132">
        <f>SUMIF(77:77,G12,78:78)-SUMIF(77:77,C12,78:78)+100</f>
        <v>100</v>
      </c>
      <c r="I12" s="505"/>
      <c r="J12" s="132">
        <f>SUMIF(77:77,I12,78:78)-SUMIF(77:77,C12,78:78)+100</f>
        <v>100</v>
      </c>
      <c r="K12" s="627"/>
      <c r="L12" s="2912"/>
      <c r="M12" s="2913"/>
      <c r="N12" s="2913"/>
      <c r="O12" s="2967"/>
      <c r="P12" s="3616"/>
      <c r="Q12" s="1494">
        <f t="shared" si="6"/>
        <v>111</v>
      </c>
      <c r="R12" s="708" t="s">
        <v>17</v>
      </c>
      <c r="S12" s="709">
        <f t="shared" si="0"/>
        <v>100</v>
      </c>
      <c r="T12" s="708" t="s">
        <v>17</v>
      </c>
      <c r="U12" s="709">
        <f t="shared" si="1"/>
        <v>100</v>
      </c>
      <c r="V12" s="708" t="s">
        <v>17</v>
      </c>
      <c r="W12" s="709">
        <f t="shared" si="2"/>
        <v>100</v>
      </c>
      <c r="X12" s="710"/>
      <c r="Y12" s="3520"/>
      <c r="Z12" s="55">
        <f t="shared" si="7"/>
        <v>111</v>
      </c>
      <c r="AA12" s="711">
        <f>D12/F12</f>
        <v>1</v>
      </c>
      <c r="AB12" s="711">
        <f>D12/H12</f>
        <v>1</v>
      </c>
      <c r="AC12" s="711">
        <f>D12/J12</f>
        <v>1</v>
      </c>
    </row>
    <row r="13" spans="1:29" ht="15">
      <c r="A13" s="386"/>
      <c r="B13" s="2045">
        <v>111</v>
      </c>
      <c r="C13" s="392"/>
      <c r="D13" s="393">
        <v>100</v>
      </c>
      <c r="E13" s="505"/>
      <c r="F13" s="132">
        <f>SUMIF(79:79,E13,80:80)-SUMIF(79:79,C13,80:80)+100</f>
        <v>100</v>
      </c>
      <c r="G13" s="629"/>
      <c r="H13" s="393">
        <f>SUMIF(79:79,G13,80:80)-SUMIF(79:79,C13,80:80)+100</f>
        <v>100</v>
      </c>
      <c r="I13" s="505"/>
      <c r="J13" s="393">
        <f>SUMIF(79:79,I13,80:80)-SUMIF(79:79,C13,80:80)+100</f>
        <v>100</v>
      </c>
      <c r="K13" s="627"/>
      <c r="L13" s="2917"/>
      <c r="M13" s="2911"/>
      <c r="N13" s="2911"/>
      <c r="O13" s="2969"/>
      <c r="P13" s="3616"/>
      <c r="Q13" s="1494">
        <f t="shared" si="6"/>
        <v>111</v>
      </c>
      <c r="R13" s="708" t="s">
        <v>17</v>
      </c>
      <c r="S13" s="709">
        <f t="shared" si="0"/>
        <v>100</v>
      </c>
      <c r="T13" s="708" t="s">
        <v>17</v>
      </c>
      <c r="U13" s="709">
        <f t="shared" si="1"/>
        <v>100</v>
      </c>
      <c r="V13" s="708" t="s">
        <v>17</v>
      </c>
      <c r="W13" s="709">
        <f t="shared" si="2"/>
        <v>100</v>
      </c>
      <c r="X13" s="710"/>
      <c r="Y13" s="3520"/>
      <c r="Z13" s="55">
        <f t="shared" si="7"/>
        <v>111</v>
      </c>
      <c r="AA13" s="711">
        <f t="shared" si="3"/>
        <v>1</v>
      </c>
      <c r="AB13" s="711">
        <f t="shared" si="4"/>
        <v>1</v>
      </c>
      <c r="AC13" s="711">
        <f t="shared" si="5"/>
        <v>1</v>
      </c>
    </row>
    <row r="14" spans="1:29" ht="15.75" thickBot="1">
      <c r="A14" s="394"/>
      <c r="B14" s="2047">
        <v>111</v>
      </c>
      <c r="C14" s="395"/>
      <c r="D14" s="396">
        <v>100</v>
      </c>
      <c r="E14" s="505"/>
      <c r="F14" s="396">
        <f>SUMIF(81:81,E14,82:82)-SUMIF(81:81,C14,82:82)+100</f>
        <v>100</v>
      </c>
      <c r="G14" s="629"/>
      <c r="H14" s="396">
        <f>SUMIF(81:81,G14,82:82)-SUMIF(81:81,C14,82:82)+100</f>
        <v>100</v>
      </c>
      <c r="I14" s="505"/>
      <c r="J14" s="396">
        <f>SUMIF(81:81,I14,82:82)-SUMIF(81:81,C14,82:82)+100</f>
        <v>100</v>
      </c>
      <c r="K14" s="627"/>
      <c r="L14" s="2917"/>
      <c r="M14" s="2911"/>
      <c r="N14" s="2911"/>
      <c r="O14" s="2969"/>
      <c r="P14" s="3616"/>
      <c r="Q14" s="1494">
        <f t="shared" si="6"/>
        <v>111</v>
      </c>
      <c r="R14" s="708" t="s">
        <v>17</v>
      </c>
      <c r="S14" s="709">
        <f t="shared" si="0"/>
        <v>100</v>
      </c>
      <c r="T14" s="708" t="s">
        <v>17</v>
      </c>
      <c r="U14" s="709">
        <f t="shared" si="1"/>
        <v>100</v>
      </c>
      <c r="V14" s="708" t="s">
        <v>17</v>
      </c>
      <c r="W14" s="709">
        <f t="shared" si="2"/>
        <v>100</v>
      </c>
      <c r="X14" s="710"/>
      <c r="Y14" s="3520"/>
      <c r="Z14" s="55">
        <f t="shared" si="7"/>
        <v>111</v>
      </c>
      <c r="AA14" s="711">
        <f t="shared" si="3"/>
        <v>1</v>
      </c>
      <c r="AB14" s="711">
        <f t="shared" si="4"/>
        <v>1</v>
      </c>
      <c r="AC14" s="711">
        <f t="shared" si="5"/>
        <v>1</v>
      </c>
    </row>
    <row r="15" spans="1:29" ht="57">
      <c r="A15" s="398" t="s">
        <v>2320</v>
      </c>
      <c r="B15" s="584" t="s">
        <v>2558</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7"/>
      <c r="M15" s="2911"/>
      <c r="N15" s="2911"/>
      <c r="O15" s="2969"/>
      <c r="P15" s="3623" t="s">
        <v>2321</v>
      </c>
      <c r="Q15" s="1503" t="str">
        <f t="shared" si="6"/>
        <v>产业集聚程度</v>
      </c>
      <c r="R15" s="712" t="s">
        <v>17</v>
      </c>
      <c r="S15" s="713">
        <f t="shared" si="0"/>
        <v>100</v>
      </c>
      <c r="T15" s="712" t="s">
        <v>17</v>
      </c>
      <c r="U15" s="713">
        <f t="shared" si="1"/>
        <v>100</v>
      </c>
      <c r="V15" s="712" t="s">
        <v>17</v>
      </c>
      <c r="W15" s="713">
        <f t="shared" si="2"/>
        <v>100</v>
      </c>
      <c r="X15" s="1506"/>
      <c r="Y15" s="3623" t="s">
        <v>2321</v>
      </c>
      <c r="Z15" s="1507" t="str">
        <f t="shared" si="7"/>
        <v>产业集聚程度</v>
      </c>
      <c r="AA15" s="1504">
        <f t="shared" si="3"/>
        <v>1</v>
      </c>
      <c r="AB15" s="1504">
        <f t="shared" si="4"/>
        <v>1</v>
      </c>
      <c r="AC15" s="1504">
        <f t="shared" si="5"/>
        <v>1</v>
      </c>
    </row>
    <row r="16" spans="1:29" ht="15">
      <c r="A16" s="386"/>
      <c r="B16" s="585"/>
      <c r="C16" s="405"/>
      <c r="D16" s="406"/>
      <c r="E16" s="2056"/>
      <c r="F16" s="406"/>
      <c r="G16" s="2056"/>
      <c r="H16" s="408"/>
      <c r="I16" s="2056"/>
      <c r="J16" s="406"/>
      <c r="K16" s="627"/>
      <c r="L16" s="2917"/>
      <c r="M16" s="2911"/>
      <c r="N16" s="2911"/>
      <c r="O16" s="2969"/>
      <c r="P16" s="3624"/>
      <c r="Q16" s="1503"/>
      <c r="R16" s="712"/>
      <c r="S16" s="713"/>
      <c r="T16" s="712"/>
      <c r="U16" s="713"/>
      <c r="V16" s="712"/>
      <c r="W16" s="713"/>
      <c r="X16" s="1506"/>
      <c r="Y16" s="3624"/>
      <c r="Z16" s="1507"/>
      <c r="AA16" s="1504">
        <v>1</v>
      </c>
      <c r="AB16" s="1504">
        <v>1</v>
      </c>
      <c r="AC16" s="1504">
        <v>1</v>
      </c>
    </row>
    <row r="17" spans="1:29" ht="85.5">
      <c r="A17" s="386"/>
      <c r="B17" s="586" t="s">
        <v>2470</v>
      </c>
      <c r="C17" s="205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7"/>
      <c r="M17" s="2911"/>
      <c r="N17" s="2911"/>
      <c r="O17" s="2969"/>
      <c r="P17" s="3624"/>
      <c r="Q17" s="1503" t="str">
        <f>B17</f>
        <v>交通便捷度</v>
      </c>
      <c r="R17" s="712" t="s">
        <v>17</v>
      </c>
      <c r="S17" s="713">
        <f>F17</f>
        <v>100</v>
      </c>
      <c r="T17" s="712" t="s">
        <v>17</v>
      </c>
      <c r="U17" s="713">
        <f>H17</f>
        <v>100</v>
      </c>
      <c r="V17" s="712" t="s">
        <v>17</v>
      </c>
      <c r="W17" s="713">
        <f>J17</f>
        <v>100</v>
      </c>
      <c r="X17" s="1506"/>
      <c r="Y17" s="3624"/>
      <c r="Z17" s="1507" t="str">
        <f>Q17</f>
        <v>交通便捷度</v>
      </c>
      <c r="AA17" s="1504">
        <f t="shared" si="3"/>
        <v>1</v>
      </c>
      <c r="AB17" s="1504">
        <f t="shared" si="4"/>
        <v>1</v>
      </c>
      <c r="AC17" s="1504">
        <f t="shared" si="5"/>
        <v>1</v>
      </c>
    </row>
    <row r="18" spans="1:29" ht="15">
      <c r="A18" s="386"/>
      <c r="B18" s="587"/>
      <c r="C18" s="405"/>
      <c r="D18" s="406"/>
      <c r="E18" s="2050"/>
      <c r="F18" s="406"/>
      <c r="G18" s="2050"/>
      <c r="H18" s="406"/>
      <c r="I18" s="2049"/>
      <c r="J18" s="406"/>
      <c r="K18" s="627"/>
      <c r="L18" s="2917"/>
      <c r="M18" s="2911"/>
      <c r="N18" s="2911"/>
      <c r="O18" s="2969"/>
      <c r="P18" s="3624"/>
      <c r="Q18" s="1503"/>
      <c r="R18" s="712"/>
      <c r="S18" s="713"/>
      <c r="T18" s="712"/>
      <c r="U18" s="713"/>
      <c r="V18" s="712"/>
      <c r="W18" s="713"/>
      <c r="X18" s="1506"/>
      <c r="Y18" s="3624"/>
      <c r="Z18" s="1507"/>
      <c r="AA18" s="1504">
        <v>1</v>
      </c>
      <c r="AB18" s="1504">
        <v>1</v>
      </c>
      <c r="AC18" s="1504">
        <v>1</v>
      </c>
    </row>
    <row r="19" spans="1:29" ht="15">
      <c r="A19" s="386"/>
      <c r="B19" s="586" t="s">
        <v>2508</v>
      </c>
      <c r="C19" s="205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7"/>
      <c r="M19" s="2911"/>
      <c r="N19" s="2911"/>
      <c r="O19" s="2969"/>
      <c r="P19" s="3624"/>
      <c r="Q19" s="1503" t="str">
        <f t="shared" ref="Q19:Q33" si="8">B19</f>
        <v>区域土地利用方向</v>
      </c>
      <c r="R19" s="712" t="s">
        <v>17</v>
      </c>
      <c r="S19" s="713">
        <f>F19</f>
        <v>100</v>
      </c>
      <c r="T19" s="712" t="s">
        <v>17</v>
      </c>
      <c r="U19" s="713">
        <f>H19</f>
        <v>100</v>
      </c>
      <c r="V19" s="712" t="s">
        <v>17</v>
      </c>
      <c r="W19" s="713">
        <f>J19</f>
        <v>100</v>
      </c>
      <c r="X19" s="1506"/>
      <c r="Y19" s="3624"/>
      <c r="Z19" s="1507" t="str">
        <f>Q19</f>
        <v>区域土地利用方向</v>
      </c>
      <c r="AA19" s="1504">
        <f t="shared" si="3"/>
        <v>1</v>
      </c>
      <c r="AB19" s="1504">
        <f t="shared" si="4"/>
        <v>1</v>
      </c>
      <c r="AC19" s="1504">
        <f t="shared" si="5"/>
        <v>1</v>
      </c>
    </row>
    <row r="20" spans="1:29" ht="15">
      <c r="A20" s="363"/>
      <c r="B20" s="587"/>
      <c r="C20" s="405"/>
      <c r="D20" s="406"/>
      <c r="E20" s="2050"/>
      <c r="F20" s="406"/>
      <c r="G20" s="2050"/>
      <c r="H20" s="406"/>
      <c r="I20" s="2050"/>
      <c r="J20" s="406"/>
      <c r="K20" s="749"/>
      <c r="L20" s="2917"/>
      <c r="M20" s="2911"/>
      <c r="N20" s="2911"/>
      <c r="O20" s="2969"/>
      <c r="P20" s="3624"/>
      <c r="Q20" s="1503"/>
      <c r="R20" s="712"/>
      <c r="S20" s="713"/>
      <c r="T20" s="712"/>
      <c r="U20" s="713"/>
      <c r="V20" s="712"/>
      <c r="W20" s="713"/>
      <c r="X20" s="1506"/>
      <c r="Y20" s="3624"/>
      <c r="Z20" s="1507"/>
      <c r="AA20" s="1504"/>
      <c r="AB20" s="1504"/>
      <c r="AC20" s="1504"/>
    </row>
    <row r="21" spans="1:29" ht="71.25">
      <c r="A21" s="363"/>
      <c r="B21" s="586" t="s">
        <v>2559</v>
      </c>
      <c r="C21" s="205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7"/>
      <c r="M21" s="2911"/>
      <c r="N21" s="2911"/>
      <c r="O21" s="2969"/>
      <c r="P21" s="3624"/>
      <c r="Q21" s="1503" t="str">
        <f t="shared" si="8"/>
        <v>环境状况</v>
      </c>
      <c r="R21" s="712" t="s">
        <v>17</v>
      </c>
      <c r="S21" s="713">
        <f>F21</f>
        <v>100</v>
      </c>
      <c r="T21" s="712" t="s">
        <v>17</v>
      </c>
      <c r="U21" s="713">
        <f>H21</f>
        <v>100</v>
      </c>
      <c r="V21" s="712" t="s">
        <v>17</v>
      </c>
      <c r="W21" s="713">
        <f>J21</f>
        <v>100</v>
      </c>
      <c r="X21" s="1506"/>
      <c r="Y21" s="3624"/>
      <c r="Z21" s="1507" t="str">
        <f>Q21</f>
        <v>环境状况</v>
      </c>
      <c r="AA21" s="1504">
        <f t="shared" si="3"/>
        <v>1</v>
      </c>
      <c r="AB21" s="1504">
        <f t="shared" si="4"/>
        <v>1</v>
      </c>
      <c r="AC21" s="1504">
        <f t="shared" si="5"/>
        <v>1</v>
      </c>
    </row>
    <row r="22" spans="1:29" ht="15">
      <c r="A22" s="363"/>
      <c r="B22" s="587"/>
      <c r="C22" s="405"/>
      <c r="D22" s="406"/>
      <c r="E22" s="2056"/>
      <c r="F22" s="406"/>
      <c r="G22" s="2056"/>
      <c r="H22" s="406"/>
      <c r="I22" s="405"/>
      <c r="J22" s="406"/>
      <c r="K22" s="627"/>
      <c r="L22" s="2917"/>
      <c r="M22" s="2911"/>
      <c r="N22" s="2911"/>
      <c r="O22" s="2969"/>
      <c r="P22" s="3624"/>
      <c r="Q22" s="1503"/>
      <c r="R22" s="712"/>
      <c r="S22" s="713"/>
      <c r="T22" s="712"/>
      <c r="U22" s="713"/>
      <c r="V22" s="712"/>
      <c r="W22" s="713"/>
      <c r="X22" s="1506"/>
      <c r="Y22" s="3624"/>
      <c r="Z22" s="1507"/>
      <c r="AA22" s="1504">
        <v>1</v>
      </c>
      <c r="AB22" s="1504">
        <v>1</v>
      </c>
      <c r="AC22" s="1504">
        <v>1</v>
      </c>
    </row>
    <row r="23" spans="1:29" s="113" customFormat="1" ht="42.75">
      <c r="A23" s="604"/>
      <c r="B23" s="588" t="s">
        <v>2415</v>
      </c>
      <c r="C23" s="205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2"/>
      <c r="M23" s="2913"/>
      <c r="N23" s="2913"/>
      <c r="O23" s="2967"/>
      <c r="P23" s="3624"/>
      <c r="Q23" s="1494" t="str">
        <f t="shared" si="8"/>
        <v>公共配套设施</v>
      </c>
      <c r="R23" s="708" t="s">
        <v>17</v>
      </c>
      <c r="S23" s="709">
        <f>F23</f>
        <v>100</v>
      </c>
      <c r="T23" s="708" t="s">
        <v>17</v>
      </c>
      <c r="U23" s="709">
        <f>H23</f>
        <v>100</v>
      </c>
      <c r="V23" s="708" t="s">
        <v>17</v>
      </c>
      <c r="W23" s="709">
        <f>J23</f>
        <v>100</v>
      </c>
      <c r="X23" s="710"/>
      <c r="Y23" s="3624"/>
      <c r="Z23" s="55" t="str">
        <f>Q23</f>
        <v>公共配套设施</v>
      </c>
      <c r="AA23" s="1504">
        <f>D23/F23</f>
        <v>1</v>
      </c>
      <c r="AB23" s="1504">
        <f>D23/H23</f>
        <v>1</v>
      </c>
      <c r="AC23" s="1504">
        <f>D23/J23</f>
        <v>1</v>
      </c>
    </row>
    <row r="24" spans="1:29" s="113" customFormat="1" ht="15">
      <c r="A24" s="604"/>
      <c r="B24" s="587"/>
      <c r="C24" s="2130"/>
      <c r="D24" s="406"/>
      <c r="E24" s="2056"/>
      <c r="F24" s="406"/>
      <c r="G24" s="2056"/>
      <c r="H24" s="406"/>
      <c r="I24" s="405"/>
      <c r="J24" s="406"/>
      <c r="K24" s="627"/>
      <c r="L24" s="2912"/>
      <c r="M24" s="2913"/>
      <c r="N24" s="2913"/>
      <c r="O24" s="2967"/>
      <c r="P24" s="3624"/>
      <c r="Q24" s="1494"/>
      <c r="R24" s="708"/>
      <c r="S24" s="709"/>
      <c r="T24" s="708"/>
      <c r="U24" s="709"/>
      <c r="V24" s="708"/>
      <c r="W24" s="709"/>
      <c r="X24" s="710"/>
      <c r="Y24" s="3624"/>
      <c r="Z24" s="55"/>
      <c r="AA24" s="711">
        <v>1</v>
      </c>
      <c r="AB24" s="711">
        <v>1</v>
      </c>
      <c r="AC24" s="711">
        <v>1</v>
      </c>
    </row>
    <row r="25" spans="1:29" s="113" customFormat="1" ht="28.5">
      <c r="A25" s="604"/>
      <c r="B25" s="588" t="s">
        <v>2416</v>
      </c>
      <c r="C25" s="205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2"/>
      <c r="M25" s="2913"/>
      <c r="N25" s="2913"/>
      <c r="O25" s="2967"/>
      <c r="P25" s="3624"/>
      <c r="Q25" s="1494" t="str">
        <f t="shared" ref="Q25" si="9">B25</f>
        <v>基础设施水平</v>
      </c>
      <c r="R25" s="708" t="s">
        <v>17</v>
      </c>
      <c r="S25" s="709">
        <f>F25</f>
        <v>100</v>
      </c>
      <c r="T25" s="708" t="s">
        <v>17</v>
      </c>
      <c r="U25" s="709">
        <f>H25</f>
        <v>100</v>
      </c>
      <c r="V25" s="708" t="s">
        <v>17</v>
      </c>
      <c r="W25" s="709">
        <f>J25</f>
        <v>100</v>
      </c>
      <c r="X25" s="710"/>
      <c r="Y25" s="3624"/>
      <c r="Z25" s="55" t="str">
        <f>Q25</f>
        <v>基础设施水平</v>
      </c>
      <c r="AA25" s="1504">
        <f>D25/F25</f>
        <v>1</v>
      </c>
      <c r="AB25" s="1504">
        <f>D25/H25</f>
        <v>1</v>
      </c>
      <c r="AC25" s="1504">
        <f>D25/J25</f>
        <v>1</v>
      </c>
    </row>
    <row r="26" spans="1:29" s="113" customFormat="1" ht="15">
      <c r="A26" s="604"/>
      <c r="B26" s="587"/>
      <c r="C26" s="2130"/>
      <c r="D26" s="406"/>
      <c r="E26" s="2131"/>
      <c r="F26" s="406"/>
      <c r="G26" s="2131"/>
      <c r="H26" s="406"/>
      <c r="I26" s="2131"/>
      <c r="J26" s="406"/>
      <c r="K26" s="627"/>
      <c r="L26" s="2912"/>
      <c r="M26" s="2913"/>
      <c r="N26" s="2913"/>
      <c r="O26" s="2967"/>
      <c r="P26" s="3624"/>
      <c r="Q26" s="1494"/>
      <c r="R26" s="708"/>
      <c r="S26" s="709"/>
      <c r="T26" s="708"/>
      <c r="U26" s="709"/>
      <c r="V26" s="708"/>
      <c r="W26" s="709"/>
      <c r="X26" s="710"/>
      <c r="Y26" s="3624"/>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7"/>
      <c r="M27" s="2911"/>
      <c r="N27" s="2911"/>
      <c r="O27" s="2969"/>
      <c r="P27" s="3624"/>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624"/>
      <c r="Z27" s="1507" t="str">
        <f t="shared" ref="Z27:Z40" si="13">Q27</f>
        <v>临街状况</v>
      </c>
      <c r="AA27" s="1504">
        <f t="shared" si="3"/>
        <v>1</v>
      </c>
      <c r="AB27" s="1504">
        <f t="shared" si="4"/>
        <v>1</v>
      </c>
      <c r="AC27" s="1504">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7"/>
      <c r="M28" s="2911"/>
      <c r="N28" s="2911"/>
      <c r="O28" s="2969"/>
      <c r="P28" s="3624"/>
      <c r="Q28" s="1503" t="str">
        <f t="shared" si="8"/>
        <v>毗邻道路的类型与等级</v>
      </c>
      <c r="R28" s="712" t="s">
        <v>17</v>
      </c>
      <c r="S28" s="713">
        <f t="shared" si="10"/>
        <v>100</v>
      </c>
      <c r="T28" s="712" t="s">
        <v>17</v>
      </c>
      <c r="U28" s="713">
        <f t="shared" si="11"/>
        <v>100</v>
      </c>
      <c r="V28" s="712" t="s">
        <v>17</v>
      </c>
      <c r="W28" s="713">
        <f t="shared" si="12"/>
        <v>100</v>
      </c>
      <c r="X28" s="1506"/>
      <c r="Y28" s="3624"/>
      <c r="Z28" s="1507" t="str">
        <f t="shared" si="13"/>
        <v>毗邻道路的类型与等级</v>
      </c>
      <c r="AA28" s="1504">
        <f t="shared" si="3"/>
        <v>1</v>
      </c>
      <c r="AB28" s="1504">
        <f t="shared" si="4"/>
        <v>1</v>
      </c>
      <c r="AC28" s="1504">
        <f t="shared" si="5"/>
        <v>1</v>
      </c>
    </row>
    <row r="29" spans="1:29" ht="15">
      <c r="A29" s="386"/>
      <c r="B29" s="587"/>
      <c r="C29" s="405"/>
      <c r="D29" s="406"/>
      <c r="E29" s="2056"/>
      <c r="F29" s="406"/>
      <c r="G29" s="2056"/>
      <c r="H29" s="406"/>
      <c r="I29" s="2056"/>
      <c r="J29" s="406"/>
      <c r="K29" s="569"/>
      <c r="L29" s="2917"/>
      <c r="M29" s="2911"/>
      <c r="N29" s="2911"/>
      <c r="O29" s="2969"/>
      <c r="P29" s="3624"/>
      <c r="Q29" s="1503"/>
      <c r="R29" s="712"/>
      <c r="S29" s="713"/>
      <c r="T29" s="712"/>
      <c r="U29" s="713"/>
      <c r="V29" s="712"/>
      <c r="W29" s="713"/>
      <c r="X29" s="1506"/>
      <c r="Y29" s="3624"/>
      <c r="Z29" s="1507"/>
      <c r="AA29" s="1504">
        <v>1</v>
      </c>
      <c r="AB29" s="1504">
        <v>1</v>
      </c>
      <c r="AC29" s="1504">
        <v>1</v>
      </c>
    </row>
    <row r="30" spans="1:29" ht="15">
      <c r="A30" s="386"/>
      <c r="B30" s="609" t="s">
        <v>2510</v>
      </c>
      <c r="C30" s="126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7"/>
      <c r="M30" s="2911"/>
      <c r="N30" s="2911"/>
      <c r="O30" s="2969"/>
      <c r="P30" s="3624"/>
      <c r="Q30" s="1503" t="str">
        <f t="shared" si="8"/>
        <v>土地级别</v>
      </c>
      <c r="R30" s="712" t="s">
        <v>17</v>
      </c>
      <c r="S30" s="713">
        <f t="shared" si="10"/>
        <v>100</v>
      </c>
      <c r="T30" s="712" t="s">
        <v>17</v>
      </c>
      <c r="U30" s="713">
        <f t="shared" si="11"/>
        <v>100</v>
      </c>
      <c r="V30" s="712" t="s">
        <v>17</v>
      </c>
      <c r="W30" s="713">
        <f t="shared" si="12"/>
        <v>100</v>
      </c>
      <c r="X30" s="1506"/>
      <c r="Y30" s="3624"/>
      <c r="Z30" s="1507" t="str">
        <f t="shared" si="13"/>
        <v>土地级别</v>
      </c>
      <c r="AA30" s="1504">
        <f t="shared" si="3"/>
        <v>1</v>
      </c>
      <c r="AB30" s="1504">
        <f t="shared" si="4"/>
        <v>1</v>
      </c>
      <c r="AC30" s="1504">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7"/>
      <c r="M31" s="2911"/>
      <c r="N31" s="2911"/>
      <c r="O31" s="2969"/>
      <c r="P31" s="3624"/>
      <c r="Q31" s="1503">
        <f t="shared" si="8"/>
        <v>111</v>
      </c>
      <c r="R31" s="712" t="s">
        <v>17</v>
      </c>
      <c r="S31" s="713">
        <f t="shared" si="10"/>
        <v>100</v>
      </c>
      <c r="T31" s="712" t="s">
        <v>17</v>
      </c>
      <c r="U31" s="713">
        <f t="shared" si="11"/>
        <v>100</v>
      </c>
      <c r="V31" s="712" t="s">
        <v>17</v>
      </c>
      <c r="W31" s="713">
        <f t="shared" si="12"/>
        <v>100</v>
      </c>
      <c r="X31" s="1506"/>
      <c r="Y31" s="3624"/>
      <c r="Z31" s="1507">
        <f t="shared" si="13"/>
        <v>111</v>
      </c>
      <c r="AA31" s="1504">
        <f t="shared" si="3"/>
        <v>1</v>
      </c>
      <c r="AB31" s="1504">
        <f t="shared" si="4"/>
        <v>1</v>
      </c>
      <c r="AC31" s="1504">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7"/>
      <c r="M32" s="2911"/>
      <c r="N32" s="2911"/>
      <c r="O32" s="2969"/>
      <c r="P32" s="3743" t="s">
        <v>2326</v>
      </c>
      <c r="Q32" s="1503">
        <f t="shared" si="8"/>
        <v>111</v>
      </c>
      <c r="R32" s="712" t="s">
        <v>17</v>
      </c>
      <c r="S32" s="713">
        <f t="shared" si="10"/>
        <v>100</v>
      </c>
      <c r="T32" s="712" t="s">
        <v>17</v>
      </c>
      <c r="U32" s="713">
        <f t="shared" si="11"/>
        <v>100</v>
      </c>
      <c r="V32" s="712" t="s">
        <v>17</v>
      </c>
      <c r="W32" s="713">
        <f t="shared" si="12"/>
        <v>100</v>
      </c>
      <c r="X32" s="1506"/>
      <c r="Y32" s="3628" t="s">
        <v>2326</v>
      </c>
      <c r="Z32" s="1507">
        <f t="shared" si="13"/>
        <v>111</v>
      </c>
      <c r="AA32" s="1504">
        <f t="shared" si="3"/>
        <v>1</v>
      </c>
      <c r="AB32" s="1504">
        <f t="shared" si="4"/>
        <v>1</v>
      </c>
      <c r="AC32" s="1504">
        <f t="shared" si="5"/>
        <v>1</v>
      </c>
    </row>
    <row r="33" spans="1:31" s="429" customFormat="1" ht="15.75" thickBot="1">
      <c r="A33" s="631"/>
      <c r="B33" s="2145">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6"/>
      <c r="M33" s="2918"/>
      <c r="N33" s="2918"/>
      <c r="O33" s="2970"/>
      <c r="P33" s="3628"/>
      <c r="Q33" s="1503">
        <f t="shared" si="8"/>
        <v>111</v>
      </c>
      <c r="R33" s="715" t="s">
        <v>17</v>
      </c>
      <c r="S33" s="716">
        <f t="shared" si="10"/>
        <v>100</v>
      </c>
      <c r="T33" s="715" t="s">
        <v>17</v>
      </c>
      <c r="U33" s="716">
        <f t="shared" si="11"/>
        <v>100</v>
      </c>
      <c r="V33" s="715" t="s">
        <v>17</v>
      </c>
      <c r="W33" s="716">
        <f t="shared" si="12"/>
        <v>100</v>
      </c>
      <c r="X33" s="717"/>
      <c r="Y33" s="3628"/>
      <c r="Z33" s="718">
        <f t="shared" si="13"/>
        <v>111</v>
      </c>
      <c r="AA33" s="1504">
        <f t="shared" si="3"/>
        <v>1</v>
      </c>
      <c r="AB33" s="1504">
        <f t="shared" si="4"/>
        <v>1</v>
      </c>
      <c r="AC33" s="1504">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7"/>
      <c r="M34" s="2911"/>
      <c r="N34" s="2911"/>
      <c r="O34" s="2969"/>
      <c r="P34" s="3628"/>
      <c r="Q34" s="1503" t="str">
        <f>B34</f>
        <v>宗地面积</v>
      </c>
      <c r="R34" s="712" t="s">
        <v>17</v>
      </c>
      <c r="S34" s="713" t="e">
        <f t="shared" si="10"/>
        <v>#N/A</v>
      </c>
      <c r="T34" s="712" t="s">
        <v>17</v>
      </c>
      <c r="U34" s="713" t="e">
        <f t="shared" si="11"/>
        <v>#N/A</v>
      </c>
      <c r="V34" s="712" t="s">
        <v>17</v>
      </c>
      <c r="W34" s="713" t="e">
        <f t="shared" si="12"/>
        <v>#N/A</v>
      </c>
      <c r="X34" s="1506"/>
      <c r="Y34" s="3628"/>
      <c r="Z34" s="1507" t="str">
        <f t="shared" si="13"/>
        <v>宗地面积</v>
      </c>
      <c r="AA34" s="1504" t="e">
        <f t="shared" si="3"/>
        <v>#N/A</v>
      </c>
      <c r="AB34" s="1504" t="e">
        <f t="shared" si="4"/>
        <v>#N/A</v>
      </c>
      <c r="AC34" s="1504" t="e">
        <f t="shared" si="5"/>
        <v>#N/A</v>
      </c>
    </row>
    <row r="35" spans="1:31" ht="15">
      <c r="A35" s="430"/>
      <c r="B35" s="380" t="s">
        <v>2512</v>
      </c>
      <c r="C35" s="2058"/>
      <c r="D35" s="393">
        <v>100</v>
      </c>
      <c r="E35" s="2058"/>
      <c r="F35" s="393">
        <f>SUMIF(110:110,E35,111:111)-SUMIF(110:110,C35,111:111)+100</f>
        <v>100</v>
      </c>
      <c r="G35" s="2058"/>
      <c r="H35" s="393">
        <f>SUMIF(110:110,G35,111:111)-SUMIF(110:110,C35,111:111)+100</f>
        <v>100</v>
      </c>
      <c r="I35" s="2058"/>
      <c r="J35" s="393">
        <f>SUMIF(110:110,I35,111:111)-SUMIF(110:110,C35,111:111)+100</f>
        <v>100</v>
      </c>
      <c r="K35" s="568"/>
      <c r="L35" s="2917"/>
      <c r="M35" s="2911"/>
      <c r="N35" s="2911"/>
      <c r="O35" s="2969"/>
      <c r="P35" s="3628"/>
      <c r="Q35" s="1503" t="str">
        <f t="shared" ref="Q35:Q40" si="14">B35</f>
        <v>宗地形状</v>
      </c>
      <c r="R35" s="712" t="s">
        <v>17</v>
      </c>
      <c r="S35" s="713">
        <f t="shared" si="10"/>
        <v>100</v>
      </c>
      <c r="T35" s="712" t="s">
        <v>17</v>
      </c>
      <c r="U35" s="713">
        <f t="shared" si="11"/>
        <v>100</v>
      </c>
      <c r="V35" s="712" t="s">
        <v>17</v>
      </c>
      <c r="W35" s="713">
        <f t="shared" si="12"/>
        <v>100</v>
      </c>
      <c r="X35" s="1506"/>
      <c r="Y35" s="3628"/>
      <c r="Z35" s="1507" t="str">
        <f t="shared" si="13"/>
        <v>宗地形状</v>
      </c>
      <c r="AA35" s="1504">
        <f t="shared" si="3"/>
        <v>1</v>
      </c>
      <c r="AB35" s="1504">
        <f t="shared" si="4"/>
        <v>1</v>
      </c>
      <c r="AC35" s="1504">
        <f t="shared" si="5"/>
        <v>1</v>
      </c>
    </row>
    <row r="36" spans="1:31" s="113" customFormat="1" ht="15">
      <c r="A36" s="431"/>
      <c r="B36" s="380" t="s">
        <v>2514</v>
      </c>
      <c r="C36" s="2132"/>
      <c r="D36" s="132">
        <v>100</v>
      </c>
      <c r="E36" s="2132"/>
      <c r="F36" s="393">
        <f>SUMIF(112:112,E36,113:113)-SUMIF(112:112,C36,113:113)+100</f>
        <v>100</v>
      </c>
      <c r="G36" s="2132"/>
      <c r="H36" s="393">
        <f>SUMIF(112:112,G36,113:113)-SUMIF(112:112,C36,113:113)+100</f>
        <v>100</v>
      </c>
      <c r="I36" s="2132"/>
      <c r="J36" s="393">
        <f>SUMIF(112:112,I36,113:113)-SUMIF(112:112,C36,113:113)+100</f>
        <v>100</v>
      </c>
      <c r="K36" s="568"/>
      <c r="L36" s="2912"/>
      <c r="M36" s="2913"/>
      <c r="N36" s="2913"/>
      <c r="O36" s="2967"/>
      <c r="P36" s="3628"/>
      <c r="Q36" s="1503" t="str">
        <f t="shared" si="14"/>
        <v>宗地开发程度</v>
      </c>
      <c r="R36" s="708" t="s">
        <v>17</v>
      </c>
      <c r="S36" s="709">
        <f t="shared" si="10"/>
        <v>100</v>
      </c>
      <c r="T36" s="708" t="s">
        <v>17</v>
      </c>
      <c r="U36" s="709">
        <f t="shared" si="11"/>
        <v>100</v>
      </c>
      <c r="V36" s="708" t="s">
        <v>17</v>
      </c>
      <c r="W36" s="709">
        <f t="shared" si="12"/>
        <v>100</v>
      </c>
      <c r="X36" s="710"/>
      <c r="Y36" s="3628"/>
      <c r="Z36" s="55" t="str">
        <f t="shared" si="13"/>
        <v>宗地开发程度</v>
      </c>
      <c r="AA36" s="711">
        <f t="shared" si="3"/>
        <v>1</v>
      </c>
      <c r="AB36" s="711">
        <f t="shared" si="4"/>
        <v>1</v>
      </c>
      <c r="AC36" s="711">
        <f t="shared" si="5"/>
        <v>1</v>
      </c>
    </row>
    <row r="37" spans="1:31" ht="15">
      <c r="A37" s="430"/>
      <c r="B37" s="380" t="s">
        <v>2515</v>
      </c>
      <c r="C37" s="2058"/>
      <c r="D37" s="393">
        <v>100</v>
      </c>
      <c r="E37" s="2058"/>
      <c r="F37" s="393">
        <f>SUMIF(114:114,E37,115:115)-SUMIF(114:114,C37,115:115)+100</f>
        <v>100</v>
      </c>
      <c r="G37" s="2058"/>
      <c r="H37" s="393">
        <f>SUMIF(114:114,G37,115:115)-SUMIF(114:114,C37,115:115)+100</f>
        <v>100</v>
      </c>
      <c r="I37" s="2058"/>
      <c r="J37" s="393">
        <f>SUMIF(114:114,I37,115:115)-SUMIF(114:114,C37,115:115)+100</f>
        <v>100</v>
      </c>
      <c r="K37" s="568"/>
      <c r="L37" s="2917"/>
      <c r="M37" s="2911"/>
      <c r="N37" s="2911"/>
      <c r="O37" s="2969"/>
      <c r="P37" s="3628" t="s">
        <v>2326</v>
      </c>
      <c r="Q37" s="1503" t="str">
        <f t="shared" si="14"/>
        <v>工程地质条件</v>
      </c>
      <c r="R37" s="712" t="s">
        <v>17</v>
      </c>
      <c r="S37" s="713">
        <f t="shared" si="10"/>
        <v>100</v>
      </c>
      <c r="T37" s="712" t="s">
        <v>17</v>
      </c>
      <c r="U37" s="713">
        <f t="shared" si="11"/>
        <v>100</v>
      </c>
      <c r="V37" s="712" t="s">
        <v>17</v>
      </c>
      <c r="W37" s="713">
        <f t="shared" si="12"/>
        <v>100</v>
      </c>
      <c r="X37" s="1506"/>
      <c r="Y37" s="3628" t="s">
        <v>2326</v>
      </c>
      <c r="Z37" s="1507" t="str">
        <f t="shared" si="13"/>
        <v>工程地质条件</v>
      </c>
      <c r="AA37" s="1504">
        <f t="shared" si="3"/>
        <v>1</v>
      </c>
      <c r="AB37" s="1504">
        <f t="shared" si="4"/>
        <v>1</v>
      </c>
      <c r="AC37" s="1504">
        <f t="shared" si="5"/>
        <v>1</v>
      </c>
    </row>
    <row r="38" spans="1:31" ht="15">
      <c r="A38" s="430"/>
      <c r="B38" s="126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7"/>
      <c r="M38" s="2911"/>
      <c r="N38" s="2911"/>
      <c r="O38" s="2969"/>
      <c r="P38" s="3628"/>
      <c r="Q38" s="1503">
        <f t="shared" si="14"/>
        <v>111</v>
      </c>
      <c r="R38" s="712" t="s">
        <v>17</v>
      </c>
      <c r="S38" s="713">
        <f t="shared" si="10"/>
        <v>100</v>
      </c>
      <c r="T38" s="712" t="s">
        <v>17</v>
      </c>
      <c r="U38" s="713">
        <f t="shared" si="11"/>
        <v>100</v>
      </c>
      <c r="V38" s="712" t="s">
        <v>17</v>
      </c>
      <c r="W38" s="713">
        <f t="shared" si="12"/>
        <v>100</v>
      </c>
      <c r="X38" s="1506"/>
      <c r="Y38" s="3628"/>
      <c r="Z38" s="1507">
        <f t="shared" si="13"/>
        <v>111</v>
      </c>
      <c r="AA38" s="1504">
        <f t="shared" si="3"/>
        <v>1</v>
      </c>
      <c r="AB38" s="1504">
        <f t="shared" si="4"/>
        <v>1</v>
      </c>
      <c r="AC38" s="1504">
        <f t="shared" si="5"/>
        <v>1</v>
      </c>
    </row>
    <row r="39" spans="1:31" ht="15">
      <c r="A39" s="430"/>
      <c r="B39" s="126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7"/>
      <c r="M39" s="2911"/>
      <c r="N39" s="2911"/>
      <c r="O39" s="2969"/>
      <c r="P39" s="3628"/>
      <c r="Q39" s="1503">
        <f t="shared" si="14"/>
        <v>111</v>
      </c>
      <c r="R39" s="712" t="s">
        <v>17</v>
      </c>
      <c r="S39" s="713">
        <f t="shared" si="10"/>
        <v>100</v>
      </c>
      <c r="T39" s="712" t="s">
        <v>17</v>
      </c>
      <c r="U39" s="713">
        <f t="shared" si="11"/>
        <v>100</v>
      </c>
      <c r="V39" s="712" t="s">
        <v>17</v>
      </c>
      <c r="W39" s="713">
        <f t="shared" si="12"/>
        <v>100</v>
      </c>
      <c r="X39" s="1506"/>
      <c r="Y39" s="3628"/>
      <c r="Z39" s="1507">
        <f t="shared" si="13"/>
        <v>111</v>
      </c>
      <c r="AA39" s="1504">
        <f t="shared" si="3"/>
        <v>1</v>
      </c>
      <c r="AB39" s="1504">
        <f t="shared" si="4"/>
        <v>1</v>
      </c>
      <c r="AC39" s="1504">
        <f t="shared" si="5"/>
        <v>1</v>
      </c>
    </row>
    <row r="40" spans="1:31" s="429" customFormat="1" ht="15.75" thickBot="1">
      <c r="A40" s="426"/>
      <c r="B40" s="1265">
        <v>111</v>
      </c>
      <c r="C40" s="2133"/>
      <c r="D40" s="133">
        <v>100</v>
      </c>
      <c r="E40" s="629"/>
      <c r="F40" s="396">
        <f>SUMIF(120:120,E40,121:121)-SUMIF(120:120,C40,121:121)+100</f>
        <v>100</v>
      </c>
      <c r="G40" s="629"/>
      <c r="H40" s="396">
        <f>SUMIF(120:120,G40,121:121)-SUMIF(120:120,C40,121:121)+100</f>
        <v>100</v>
      </c>
      <c r="I40" s="505"/>
      <c r="J40" s="396">
        <f>SUMIF(120:120,I40,121:121)-SUMIF(120:120,C40,121:121)+100</f>
        <v>100</v>
      </c>
      <c r="K40" s="636"/>
      <c r="L40" s="2916"/>
      <c r="M40" s="2918"/>
      <c r="N40" s="2918"/>
      <c r="O40" s="2970"/>
      <c r="P40" s="3628"/>
      <c r="Q40" s="1503">
        <f t="shared" si="14"/>
        <v>111</v>
      </c>
      <c r="R40" s="715" t="s">
        <v>17</v>
      </c>
      <c r="S40" s="716">
        <f t="shared" si="10"/>
        <v>100</v>
      </c>
      <c r="T40" s="715" t="s">
        <v>17</v>
      </c>
      <c r="U40" s="716">
        <f t="shared" si="11"/>
        <v>100</v>
      </c>
      <c r="V40" s="715" t="s">
        <v>17</v>
      </c>
      <c r="W40" s="716">
        <f t="shared" si="12"/>
        <v>100</v>
      </c>
      <c r="X40" s="717"/>
      <c r="Y40" s="3628"/>
      <c r="Z40" s="718">
        <f t="shared" si="13"/>
        <v>111</v>
      </c>
      <c r="AA40" s="1504">
        <f t="shared" si="3"/>
        <v>1</v>
      </c>
      <c r="AB40" s="1504">
        <f t="shared" si="4"/>
        <v>1</v>
      </c>
      <c r="AC40" s="1504">
        <f t="shared" si="5"/>
        <v>1</v>
      </c>
    </row>
    <row r="41" spans="1:31" ht="15">
      <c r="A41" s="437" t="s">
        <v>2481</v>
      </c>
      <c r="B41" s="2134" t="s">
        <v>2560</v>
      </c>
      <c r="C41" s="637" t="s">
        <v>1</v>
      </c>
      <c r="D41" s="439"/>
      <c r="E41" s="440"/>
      <c r="F41" s="441"/>
      <c r="G41" s="442"/>
      <c r="H41" s="443"/>
      <c r="I41" s="440"/>
      <c r="J41" s="443"/>
      <c r="K41" s="721"/>
      <c r="L41" s="2919"/>
      <c r="M41" s="2911"/>
      <c r="N41" s="2911"/>
      <c r="O41" s="2920"/>
      <c r="P41" s="3616" t="str">
        <f>A41</f>
        <v>成交单价</v>
      </c>
      <c r="Q41" s="3616"/>
      <c r="R41" s="3630">
        <f>E41</f>
        <v>0</v>
      </c>
      <c r="S41" s="3630"/>
      <c r="T41" s="3630">
        <f>G41</f>
        <v>0</v>
      </c>
      <c r="U41" s="3630"/>
      <c r="V41" s="3630">
        <f>I41</f>
        <v>0</v>
      </c>
      <c r="W41" s="3630"/>
      <c r="X41" s="697"/>
      <c r="Y41" s="719"/>
      <c r="Z41" s="697"/>
      <c r="AA41" s="697"/>
      <c r="AB41" s="697"/>
      <c r="AC41" s="697"/>
    </row>
    <row r="42" spans="1:31" ht="15.75" thickBot="1">
      <c r="A42" s="444" t="s">
        <v>2430</v>
      </c>
      <c r="B42" s="638"/>
      <c r="C42" s="447" t="e">
        <f>R43</f>
        <v>#DIV/0!</v>
      </c>
      <c r="D42" s="2504" t="s">
        <v>2816</v>
      </c>
      <c r="E42" s="447" t="e">
        <f>R42</f>
        <v>#DIV/0!</v>
      </c>
      <c r="F42" s="2505"/>
      <c r="G42" s="446" t="e">
        <f>T42</f>
        <v>#DIV/0!</v>
      </c>
      <c r="H42" s="2505"/>
      <c r="I42" s="447" t="e">
        <f>V42</f>
        <v>#DIV/0!</v>
      </c>
      <c r="J42" s="2505"/>
      <c r="K42" s="2507">
        <f>F42+H42+J42</f>
        <v>0</v>
      </c>
      <c r="L42" s="2919"/>
      <c r="M42" s="2911"/>
      <c r="N42" s="2911"/>
      <c r="O42" s="2920"/>
      <c r="P42" s="3616" t="str">
        <f>A42</f>
        <v>比较价值（元/平方米）</v>
      </c>
      <c r="Q42" s="3616"/>
      <c r="R42" s="3788" t="e">
        <f>ROUND(PRODUCT(R41,AA7:AA40),0)</f>
        <v>#DIV/0!</v>
      </c>
      <c r="S42" s="3788"/>
      <c r="T42" s="3788" t="e">
        <f>ROUND(PRODUCT(T41,AB7:AB40),0)</f>
        <v>#DIV/0!</v>
      </c>
      <c r="U42" s="3788"/>
      <c r="V42" s="3788" t="e">
        <f>ROUND(PRODUCT(V41,AC7:AC40),0)</f>
        <v>#DIV/0!</v>
      </c>
      <c r="W42" s="3788"/>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9"/>
      <c r="M43" s="2911"/>
      <c r="N43" s="2911"/>
      <c r="O43" s="2920"/>
      <c r="P43" s="3618" t="str">
        <f>A43</f>
        <v>估价对象XX用房的比较价值（楼面单价，元/平方米）</v>
      </c>
      <c r="Q43" s="3619"/>
      <c r="R43" s="3789" t="e">
        <f>ROUND(IF(D42="简单平均",AVERAGE(R42:W42),R42*F42+T42*H42+V42*J42),0)</f>
        <v>#DIV/0!</v>
      </c>
      <c r="S43" s="3789"/>
      <c r="T43" s="3789"/>
      <c r="U43" s="3789"/>
      <c r="V43" s="3789"/>
      <c r="W43" s="3789"/>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8"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9" t="s">
        <v>2518</v>
      </c>
      <c r="B50" s="640" t="s">
        <v>2519</v>
      </c>
      <c r="C50" s="2135" t="s">
        <v>2520</v>
      </c>
      <c r="D50" s="2136" t="s">
        <v>2521</v>
      </c>
      <c r="E50" s="641" t="s">
        <v>2522</v>
      </c>
      <c r="F50" s="642" t="s">
        <v>2523</v>
      </c>
      <c r="G50" s="3635" t="s">
        <v>2524</v>
      </c>
      <c r="H50" s="3790"/>
      <c r="I50" s="1507" t="s">
        <v>2561</v>
      </c>
      <c r="J50" s="1507">
        <f>项目基本情况!F35</f>
        <v>0</v>
      </c>
      <c r="K50" s="2138"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7" customFormat="1">
      <c r="A51" s="643" t="s">
        <v>2527</v>
      </c>
      <c r="B51" s="644" t="e">
        <f>C43</f>
        <v>#DIV/0!</v>
      </c>
      <c r="C51" s="645">
        <v>1</v>
      </c>
      <c r="D51" s="1073">
        <v>1</v>
      </c>
      <c r="E51" s="645">
        <f>'数据-汇总表'!E8+'数据-汇总表'!E9</f>
        <v>683.55</v>
      </c>
      <c r="F51" s="646" t="e">
        <f t="shared" ref="F51:F60" si="15">ROUND(B51*E51/10000,0)</f>
        <v>#DIV/0!</v>
      </c>
      <c r="G51" s="3631"/>
      <c r="H51" s="3616"/>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7" customFormat="1">
      <c r="A52" s="648" t="s">
        <v>2528</v>
      </c>
      <c r="B52" s="223" t="e">
        <f>ROUND($C$43*C52*D52,0)</f>
        <v>#DIV/0!</v>
      </c>
      <c r="C52" s="175">
        <f t="shared" ref="C52:C60" si="16">IF($C$50="北京市系数",I52,J52)</f>
        <v>0.7</v>
      </c>
      <c r="D52" s="1074">
        <v>0.25</v>
      </c>
      <c r="E52" s="649"/>
      <c r="F52" s="646" t="e">
        <f t="shared" si="15"/>
        <v>#DIV/0!</v>
      </c>
      <c r="G52" s="3791" t="s">
        <v>2529</v>
      </c>
      <c r="H52" s="1016" t="str">
        <f>项目基本情况!B37</f>
        <v>七级</v>
      </c>
      <c r="I52" s="877">
        <f>SUMIF(修正!A45:A56,H52,修正!B45:B56)</f>
        <v>0.7</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7" customFormat="1">
      <c r="A53" s="648" t="s">
        <v>2530</v>
      </c>
      <c r="B53" s="223" t="e">
        <f t="shared" ref="B53:B60" si="17">ROUND($C$43*C53*D53,0)</f>
        <v>#DIV/0!</v>
      </c>
      <c r="C53" s="175">
        <f t="shared" si="16"/>
        <v>0.4</v>
      </c>
      <c r="D53" s="1074">
        <v>0.25</v>
      </c>
      <c r="E53" s="649"/>
      <c r="F53" s="646" t="e">
        <f t="shared" si="15"/>
        <v>#DIV/0!</v>
      </c>
      <c r="G53" s="3791"/>
      <c r="H53" s="1016" t="str">
        <f>项目基本情况!B37</f>
        <v>七级</v>
      </c>
      <c r="I53" s="877">
        <f>SUMIF(修正!A45:A56,H53,修正!C45:C56)</f>
        <v>0.4</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7" customFormat="1">
      <c r="A54" s="648" t="s">
        <v>2531</v>
      </c>
      <c r="B54" s="223" t="e">
        <f t="shared" si="17"/>
        <v>#DIV/0!</v>
      </c>
      <c r="C54" s="175">
        <f t="shared" si="16"/>
        <v>0.28000000000000003</v>
      </c>
      <c r="D54" s="1074">
        <v>0.25</v>
      </c>
      <c r="E54" s="649"/>
      <c r="F54" s="646" t="e">
        <f t="shared" si="15"/>
        <v>#DIV/0!</v>
      </c>
      <c r="G54" s="3791"/>
      <c r="H54" s="1016" t="str">
        <f>项目基本情况!B37</f>
        <v>七级</v>
      </c>
      <c r="I54" s="877">
        <f>SUMIF(修正!A45:A56,H54,修正!D45:D56)</f>
        <v>0.28000000000000003</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7" customFormat="1">
      <c r="A55" s="648" t="s">
        <v>2532</v>
      </c>
      <c r="B55" s="223" t="e">
        <f t="shared" si="17"/>
        <v>#DIV/0!</v>
      </c>
      <c r="C55" s="175">
        <f t="shared" si="16"/>
        <v>0.25</v>
      </c>
      <c r="D55" s="1074">
        <v>0.25</v>
      </c>
      <c r="E55" s="649"/>
      <c r="F55" s="646" t="e">
        <f t="shared" si="15"/>
        <v>#DIV/0!</v>
      </c>
      <c r="G55" s="3791"/>
      <c r="H55" s="1016" t="str">
        <f>项目基本情况!B37</f>
        <v>七级</v>
      </c>
      <c r="I55" s="877">
        <f>SUMIF(修正!A45:A56,H55,修正!E45:E56)</f>
        <v>0.25</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7" customFormat="1">
      <c r="A56" s="648" t="s">
        <v>2533</v>
      </c>
      <c r="B56" s="223" t="e">
        <f t="shared" si="17"/>
        <v>#DIV/0!</v>
      </c>
      <c r="C56" s="175">
        <f t="shared" si="16"/>
        <v>0.25</v>
      </c>
      <c r="D56" s="1074">
        <v>0.25</v>
      </c>
      <c r="E56" s="222">
        <f>'数据-汇总表'!E11</f>
        <v>0</v>
      </c>
      <c r="F56" s="646" t="e">
        <f t="shared" si="15"/>
        <v>#DIV/0!</v>
      </c>
      <c r="G56" s="2139" t="s">
        <v>2534</v>
      </c>
      <c r="H56" s="1016" t="str">
        <f>项目基本情况!C37</f>
        <v>七级</v>
      </c>
      <c r="I56" s="877">
        <f>SUMIF(修正!A45:A56,H56,修正!F45:F56)</f>
        <v>0.25</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7" customFormat="1">
      <c r="A57" s="648" t="s">
        <v>2535</v>
      </c>
      <c r="B57" s="223" t="e">
        <f t="shared" si="17"/>
        <v>#DIV/0!</v>
      </c>
      <c r="C57" s="175">
        <f t="shared" si="16"/>
        <v>0.25</v>
      </c>
      <c r="D57" s="1074">
        <v>0.25</v>
      </c>
      <c r="E57" s="222">
        <f>'数据-汇总表'!E12</f>
        <v>0</v>
      </c>
      <c r="F57" s="646" t="e">
        <f t="shared" si="15"/>
        <v>#DIV/0!</v>
      </c>
      <c r="G57" s="1021" t="s">
        <v>2536</v>
      </c>
      <c r="H57" s="1016" t="str">
        <f>IF(G57="商业",项目基本情况!B37,IF(G57="办公",项目基本情况!C37,IF(G57="住宅",项目基本情况!D37,项目基本情况!E37)))</f>
        <v>七级</v>
      </c>
      <c r="I57" s="877">
        <f>SUMIF(修正!A45:A56,H57,修正!G45:G56)</f>
        <v>0.25</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7" customFormat="1">
      <c r="A58" s="648" t="s">
        <v>2537</v>
      </c>
      <c r="B58" s="223" t="e">
        <f t="shared" si="17"/>
        <v>#DIV/0!</v>
      </c>
      <c r="C58" s="175">
        <f t="shared" si="16"/>
        <v>0</v>
      </c>
      <c r="D58" s="1074">
        <v>0.25</v>
      </c>
      <c r="E58" s="222">
        <f>'数据-汇总表'!E13</f>
        <v>0</v>
      </c>
      <c r="F58" s="646" t="e">
        <f t="shared" si="15"/>
        <v>#DIV/0!</v>
      </c>
      <c r="G58" s="1021" t="s">
        <v>2538</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7" customFormat="1">
      <c r="A59" s="648" t="s">
        <v>2539</v>
      </c>
      <c r="B59" s="223" t="e">
        <f t="shared" si="17"/>
        <v>#DIV/0!</v>
      </c>
      <c r="C59" s="175">
        <f t="shared" si="16"/>
        <v>0.2</v>
      </c>
      <c r="D59" s="1074">
        <v>0.25</v>
      </c>
      <c r="E59" s="222">
        <f>'数据-汇总表'!E14</f>
        <v>0</v>
      </c>
      <c r="F59" s="646" t="e">
        <f t="shared" si="15"/>
        <v>#DIV/0!</v>
      </c>
      <c r="G59" s="2139" t="s">
        <v>2529</v>
      </c>
      <c r="H59" s="1016" t="str">
        <f>项目基本情况!B37</f>
        <v>七级</v>
      </c>
      <c r="I59" s="877">
        <f>SUMIF(修正!A45:A56,H59,修正!H45:H56)</f>
        <v>0.2</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7" customFormat="1" ht="15" thickBot="1">
      <c r="A60" s="648" t="s">
        <v>2540</v>
      </c>
      <c r="B60" s="223" t="e">
        <f t="shared" si="17"/>
        <v>#DIV/0!</v>
      </c>
      <c r="C60" s="175">
        <f t="shared" si="16"/>
        <v>0.2</v>
      </c>
      <c r="D60" s="1074">
        <v>0.25</v>
      </c>
      <c r="E60" s="222">
        <f>'数据-汇总表'!E15</f>
        <v>0</v>
      </c>
      <c r="F60" s="646" t="e">
        <f t="shared" si="15"/>
        <v>#DIV/0!</v>
      </c>
      <c r="G60" s="2140" t="s">
        <v>2534</v>
      </c>
      <c r="H60" s="1026" t="str">
        <f>项目基本情况!C37</f>
        <v>七级</v>
      </c>
      <c r="I60" s="877">
        <f>SUMIF(修正!A45:A56,H60,修正!H45:H56)</f>
        <v>0.2</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7" customFormat="1" ht="15" thickBot="1">
      <c r="A61" s="650" t="s">
        <v>2541</v>
      </c>
      <c r="B61" s="651" t="s">
        <v>28</v>
      </c>
      <c r="C61" s="651" t="s">
        <v>29</v>
      </c>
      <c r="D61" s="651" t="s">
        <v>997</v>
      </c>
      <c r="E61" s="651">
        <f>IF(B41="楼面地价",SUM(E51:E60),'数据-汇总表'!D3)</f>
        <v>273.42</v>
      </c>
      <c r="F61" s="652"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2022-7-1</v>
      </c>
      <c r="D63" s="699">
        <f>EDATE(C63,-3)</f>
        <v>44652</v>
      </c>
      <c r="E63" s="699">
        <f>EDATE(D63,-3)</f>
        <v>44562</v>
      </c>
      <c r="F63" s="699">
        <f t="shared" ref="F63:O63" si="18">EDATE(E63,-3)</f>
        <v>44470</v>
      </c>
      <c r="G63" s="699">
        <f t="shared" si="18"/>
        <v>44378</v>
      </c>
      <c r="H63" s="699">
        <f t="shared" si="18"/>
        <v>44287</v>
      </c>
      <c r="I63" s="699">
        <f t="shared" si="18"/>
        <v>44197</v>
      </c>
      <c r="J63" s="699">
        <f t="shared" si="18"/>
        <v>44105</v>
      </c>
      <c r="K63" s="699">
        <f t="shared" si="18"/>
        <v>44013</v>
      </c>
      <c r="L63" s="699">
        <f t="shared" si="18"/>
        <v>43922</v>
      </c>
      <c r="M63" s="699">
        <f t="shared" si="18"/>
        <v>43831</v>
      </c>
      <c r="N63" s="699">
        <f t="shared" si="18"/>
        <v>43739</v>
      </c>
      <c r="O63" s="699">
        <f t="shared" si="18"/>
        <v>43647</v>
      </c>
      <c r="P63" s="2920"/>
      <c r="Q63" s="2920"/>
      <c r="R63" s="2920"/>
      <c r="S63" s="2920"/>
      <c r="T63" s="2920"/>
      <c r="U63" s="2920"/>
      <c r="V63" s="2920"/>
      <c r="W63" s="2920"/>
      <c r="X63" s="2920"/>
      <c r="Y63" s="2920"/>
      <c r="Z63" s="2920"/>
      <c r="AA63" s="2920"/>
      <c r="AB63" s="2920"/>
      <c r="AC63" s="2920"/>
      <c r="AD63" s="2920"/>
      <c r="AE63" s="2920"/>
    </row>
    <row r="64" spans="1:31" ht="21.75" thickBot="1">
      <c r="A64" s="701" t="s">
        <v>2435</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4" customFormat="1" ht="15">
      <c r="A65" s="2141" t="s">
        <v>2542</v>
      </c>
      <c r="B65" s="1238"/>
      <c r="C65" s="1313" t="str">
        <f>YEAR(C63)&amp;"-"&amp;ROUNDUP(MONTH(C63)/3,0)</f>
        <v>2022-3</v>
      </c>
      <c r="D65" s="1313" t="str">
        <f t="shared" ref="D65:O65" si="19">YEAR(D63)&amp;"-"&amp;ROUNDUP(MONTH(D63)/3,0)</f>
        <v>2022-2</v>
      </c>
      <c r="E65" s="1313" t="str">
        <f t="shared" si="19"/>
        <v>2022-1</v>
      </c>
      <c r="F65" s="1313" t="str">
        <f t="shared" si="19"/>
        <v>2021-4</v>
      </c>
      <c r="G65" s="1313" t="str">
        <f t="shared" si="19"/>
        <v>2021-3</v>
      </c>
      <c r="H65" s="1313" t="str">
        <f t="shared" si="19"/>
        <v>2021-2</v>
      </c>
      <c r="I65" s="1313" t="str">
        <f t="shared" si="19"/>
        <v>2021-1</v>
      </c>
      <c r="J65" s="1313" t="str">
        <f t="shared" si="19"/>
        <v>2020-4</v>
      </c>
      <c r="K65" s="1313" t="str">
        <f t="shared" si="19"/>
        <v>2020-3</v>
      </c>
      <c r="L65" s="1313" t="str">
        <f t="shared" si="19"/>
        <v>2020-2</v>
      </c>
      <c r="M65" s="1313" t="str">
        <f t="shared" si="19"/>
        <v>2020-1</v>
      </c>
      <c r="N65" s="1313" t="str">
        <f t="shared" si="19"/>
        <v>2019-4</v>
      </c>
      <c r="O65" s="1313" t="str">
        <f t="shared" si="19"/>
        <v>2019-3</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3" t="str">
        <f>"北京市平均增长率"&amp;TEXT(基准地价修正!P24,"0.00%")</f>
        <v>北京市平均增长率0.00%</v>
      </c>
      <c r="C66" s="559">
        <v>100</v>
      </c>
      <c r="D66" s="551"/>
      <c r="E66" s="551"/>
      <c r="F66" s="551"/>
      <c r="G66" s="551"/>
      <c r="H66" s="551"/>
      <c r="I66" s="551"/>
      <c r="J66" s="551"/>
      <c r="K66" s="551"/>
      <c r="L66" s="551"/>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1" t="s">
        <v>2346</v>
      </c>
      <c r="B67" s="472"/>
      <c r="C67" s="473"/>
      <c r="D67" s="474"/>
      <c r="E67" s="474"/>
      <c r="F67" s="474"/>
      <c r="G67" s="474"/>
      <c r="H67" s="474"/>
      <c r="I67" s="474"/>
      <c r="J67" s="474"/>
      <c r="K67" s="474"/>
      <c r="L67" s="474"/>
      <c r="M67" s="475"/>
      <c r="N67" s="475"/>
      <c r="O67" s="476"/>
      <c r="P67" s="2934"/>
      <c r="Q67" s="2934"/>
      <c r="R67" s="2854"/>
      <c r="S67" s="2854"/>
      <c r="T67" s="2854"/>
      <c r="U67" s="2854"/>
      <c r="V67" s="2854"/>
      <c r="W67" s="2854"/>
      <c r="X67" s="2854"/>
      <c r="Y67" s="2854"/>
      <c r="Z67" s="2854"/>
      <c r="AA67" s="2854"/>
      <c r="AB67" s="2854"/>
      <c r="AC67" s="2854"/>
      <c r="AD67" s="2854"/>
      <c r="AE67" s="2854"/>
    </row>
    <row r="68" spans="1:31" s="113" customFormat="1" ht="15">
      <c r="A68" s="477" t="s">
        <v>2311</v>
      </c>
      <c r="B68" s="466"/>
      <c r="C68" s="478" t="s">
        <v>2413</v>
      </c>
      <c r="D68" s="479"/>
      <c r="E68" s="479"/>
      <c r="F68" s="479"/>
      <c r="G68" s="479"/>
      <c r="H68" s="479"/>
      <c r="I68" s="479"/>
      <c r="J68" s="479"/>
      <c r="K68" s="479"/>
      <c r="L68" s="480"/>
      <c r="M68" s="481"/>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7"/>
      <c r="B69" s="466"/>
      <c r="C69" s="594">
        <v>100</v>
      </c>
      <c r="D69" s="468"/>
      <c r="E69" s="468"/>
      <c r="F69" s="468"/>
      <c r="G69" s="468"/>
      <c r="H69" s="468"/>
      <c r="I69" s="468"/>
      <c r="J69" s="468"/>
      <c r="K69" s="468"/>
      <c r="L69" s="468"/>
      <c r="M69" s="470"/>
      <c r="N69" s="2947"/>
      <c r="O69" s="2947"/>
      <c r="P69" s="2934"/>
      <c r="Q69" s="2934"/>
      <c r="R69" s="2854"/>
      <c r="S69" s="2854"/>
      <c r="T69" s="2854"/>
      <c r="U69" s="2854"/>
      <c r="V69" s="2854"/>
      <c r="W69" s="2854"/>
      <c r="X69" s="2854"/>
      <c r="Y69" s="2854"/>
      <c r="Z69" s="2854"/>
      <c r="AA69" s="2854"/>
      <c r="AB69" s="2854"/>
      <c r="AC69" s="2854"/>
      <c r="AD69" s="2854"/>
      <c r="AE69" s="2854"/>
    </row>
    <row r="70" spans="1:31">
      <c r="A70" s="483" t="s">
        <v>2349</v>
      </c>
      <c r="B70" s="484" t="s">
        <v>2315</v>
      </c>
      <c r="C70" s="486"/>
      <c r="D70" s="486"/>
      <c r="E70" s="486"/>
      <c r="F70" s="486"/>
      <c r="G70" s="486"/>
      <c r="H70" s="486"/>
      <c r="I70" s="486"/>
      <c r="J70" s="486"/>
      <c r="K70" s="487"/>
      <c r="L70" s="488"/>
      <c r="M70" s="489"/>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0"/>
      <c r="B71" s="491"/>
      <c r="C71" s="492"/>
      <c r="D71" s="492"/>
      <c r="E71" s="492"/>
      <c r="F71" s="492"/>
      <c r="G71" s="492"/>
      <c r="H71" s="492"/>
      <c r="I71" s="492"/>
      <c r="J71" s="492"/>
      <c r="K71" s="492"/>
      <c r="L71" s="492"/>
      <c r="M71" s="493"/>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0"/>
      <c r="B72" s="494" t="s">
        <v>2318</v>
      </c>
      <c r="C72" s="495"/>
      <c r="D72" s="495"/>
      <c r="E72" s="495"/>
      <c r="F72" s="495"/>
      <c r="G72" s="495"/>
      <c r="H72" s="495"/>
      <c r="I72" s="495"/>
      <c r="J72" s="495"/>
      <c r="K72" s="496"/>
      <c r="L72" s="497"/>
      <c r="M72" s="498"/>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0"/>
      <c r="B73" s="499"/>
      <c r="C73" s="500"/>
      <c r="D73" s="500"/>
      <c r="E73" s="500"/>
      <c r="F73" s="500"/>
      <c r="G73" s="500"/>
      <c r="H73" s="500"/>
      <c r="I73" s="500"/>
      <c r="J73" s="500"/>
      <c r="K73" s="500"/>
      <c r="L73" s="500"/>
      <c r="M73" s="501"/>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0"/>
      <c r="B75" s="504"/>
      <c r="C75" s="505"/>
      <c r="D75" s="505"/>
      <c r="E75" s="505"/>
      <c r="F75" s="505"/>
      <c r="G75" s="505"/>
      <c r="H75" s="505"/>
      <c r="I75" s="505"/>
      <c r="J75" s="505"/>
      <c r="K75" s="506"/>
      <c r="L75" s="507"/>
      <c r="M75" s="508"/>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9" customFormat="1" ht="15.75" thickTop="1">
      <c r="A77" s="509"/>
      <c r="B77" s="494">
        <f>B12</f>
        <v>111</v>
      </c>
      <c r="C77" s="510"/>
      <c r="D77" s="510"/>
      <c r="E77" s="510"/>
      <c r="F77" s="510"/>
      <c r="G77" s="510"/>
      <c r="H77" s="511"/>
      <c r="I77" s="511"/>
      <c r="J77" s="511"/>
      <c r="K77" s="511"/>
      <c r="L77" s="512"/>
      <c r="M77" s="513"/>
      <c r="N77" s="2950"/>
      <c r="O77" s="2950"/>
      <c r="P77" s="2974"/>
      <c r="Q77" s="2941"/>
      <c r="R77" s="2942"/>
      <c r="S77" s="2942"/>
      <c r="T77" s="2942"/>
      <c r="U77" s="2942"/>
      <c r="V77" s="2942"/>
      <c r="W77" s="2942"/>
      <c r="X77" s="2942"/>
      <c r="Y77" s="2942"/>
      <c r="Z77" s="2942"/>
      <c r="AA77" s="2942"/>
      <c r="AB77" s="2942"/>
      <c r="AC77" s="2942"/>
      <c r="AD77" s="2942"/>
      <c r="AE77" s="2942"/>
    </row>
    <row r="78" spans="1:31" s="429" customFormat="1" ht="15.75" thickBot="1">
      <c r="A78" s="509"/>
      <c r="B78" s="499"/>
      <c r="C78" s="516"/>
      <c r="D78" s="492"/>
      <c r="E78" s="492"/>
      <c r="F78" s="492"/>
      <c r="G78" s="492"/>
      <c r="H78" s="492"/>
      <c r="I78" s="492"/>
      <c r="J78" s="492"/>
      <c r="K78" s="492"/>
      <c r="L78" s="492"/>
      <c r="M78" s="493"/>
      <c r="N78" s="2949"/>
      <c r="O78" s="2949"/>
      <c r="P78" s="2974"/>
      <c r="Q78" s="2941"/>
      <c r="R78" s="2942"/>
      <c r="S78" s="2942"/>
      <c r="T78" s="2942"/>
      <c r="U78" s="2942"/>
      <c r="V78" s="2942"/>
      <c r="W78" s="2942"/>
      <c r="X78" s="2942"/>
      <c r="Y78" s="2942"/>
      <c r="Z78" s="2942"/>
      <c r="AA78" s="2942"/>
      <c r="AB78" s="2942"/>
      <c r="AC78" s="2942"/>
      <c r="AD78" s="2942"/>
      <c r="AE78" s="2942"/>
    </row>
    <row r="79" spans="1:31" s="429" customFormat="1" ht="15.75" thickTop="1">
      <c r="A79" s="509"/>
      <c r="B79" s="494">
        <f>B13</f>
        <v>111</v>
      </c>
      <c r="C79" s="510"/>
      <c r="D79" s="510"/>
      <c r="E79" s="510"/>
      <c r="F79" s="510"/>
      <c r="G79" s="510"/>
      <c r="H79" s="511"/>
      <c r="I79" s="511"/>
      <c r="J79" s="511"/>
      <c r="K79" s="511"/>
      <c r="L79" s="512"/>
      <c r="M79" s="513"/>
      <c r="N79" s="2950"/>
      <c r="O79" s="2950"/>
      <c r="P79" s="2918"/>
      <c r="Q79" s="2944"/>
      <c r="R79" s="2942"/>
      <c r="S79" s="2942"/>
      <c r="T79" s="2942"/>
      <c r="U79" s="2942"/>
      <c r="V79" s="2942"/>
      <c r="W79" s="2942"/>
      <c r="X79" s="2942"/>
      <c r="Y79" s="2942"/>
      <c r="Z79" s="2942"/>
      <c r="AA79" s="2942"/>
      <c r="AB79" s="2942"/>
      <c r="AC79" s="2942"/>
      <c r="AD79" s="2942"/>
      <c r="AE79" s="2942"/>
    </row>
    <row r="80" spans="1:31" s="429" customFormat="1" ht="15.75" thickBot="1">
      <c r="A80" s="509"/>
      <c r="B80" s="499"/>
      <c r="C80" s="516"/>
      <c r="D80" s="516"/>
      <c r="E80" s="516"/>
      <c r="F80" s="516"/>
      <c r="G80" s="516"/>
      <c r="H80" s="518"/>
      <c r="I80" s="518"/>
      <c r="J80" s="518"/>
      <c r="K80" s="518"/>
      <c r="L80" s="518"/>
      <c r="M80" s="519"/>
      <c r="N80" s="2950"/>
      <c r="O80" s="2950"/>
      <c r="P80" s="2974"/>
      <c r="Q80" s="2941"/>
      <c r="R80" s="2942"/>
      <c r="S80" s="2942"/>
      <c r="T80" s="2942"/>
      <c r="U80" s="2942"/>
      <c r="V80" s="2942"/>
      <c r="W80" s="2942"/>
      <c r="X80" s="2942"/>
      <c r="Y80" s="2942"/>
      <c r="Z80" s="2942"/>
      <c r="AA80" s="2942"/>
      <c r="AB80" s="2942"/>
      <c r="AC80" s="2942"/>
      <c r="AD80" s="2942"/>
      <c r="AE80" s="2942"/>
    </row>
    <row r="81" spans="1:31" s="429" customFormat="1" ht="15.75" thickTop="1">
      <c r="A81" s="509"/>
      <c r="B81" s="502">
        <f>B14</f>
        <v>111</v>
      </c>
      <c r="C81" s="479"/>
      <c r="D81" s="479"/>
      <c r="E81" s="479"/>
      <c r="F81" s="479"/>
      <c r="G81" s="479"/>
      <c r="H81" s="520"/>
      <c r="I81" s="520"/>
      <c r="J81" s="520"/>
      <c r="K81" s="520"/>
      <c r="L81" s="521"/>
      <c r="M81" s="522"/>
      <c r="N81" s="2950"/>
      <c r="O81" s="2950"/>
      <c r="P81" s="2979"/>
      <c r="Q81" s="2941"/>
      <c r="R81" s="2942"/>
      <c r="S81" s="2942"/>
      <c r="T81" s="2942"/>
      <c r="U81" s="2942"/>
      <c r="V81" s="2942"/>
      <c r="W81" s="2942"/>
      <c r="X81" s="2942"/>
      <c r="Y81" s="2942"/>
      <c r="Z81" s="2942"/>
      <c r="AA81" s="2942"/>
      <c r="AB81" s="2942"/>
      <c r="AC81" s="2942"/>
      <c r="AD81" s="2942"/>
      <c r="AE81" s="2942"/>
    </row>
    <row r="82" spans="1:31" s="429" customFormat="1" ht="15.75" thickBot="1">
      <c r="A82" s="524"/>
      <c r="B82" s="525"/>
      <c r="C82" s="526"/>
      <c r="D82" s="526"/>
      <c r="E82" s="526"/>
      <c r="F82" s="526"/>
      <c r="G82" s="526"/>
      <c r="H82" s="527"/>
      <c r="I82" s="527"/>
      <c r="J82" s="527"/>
      <c r="K82" s="527"/>
      <c r="L82" s="527"/>
      <c r="M82" s="528"/>
      <c r="N82" s="2950"/>
      <c r="O82" s="2950"/>
      <c r="P82" s="2974"/>
      <c r="Q82" s="2941"/>
      <c r="R82" s="2942"/>
      <c r="S82" s="2942"/>
      <c r="T82" s="2942"/>
      <c r="U82" s="2942"/>
      <c r="V82" s="2942"/>
      <c r="W82" s="2942"/>
      <c r="X82" s="2942"/>
      <c r="Y82" s="2942"/>
      <c r="Z82" s="2942"/>
      <c r="AA82" s="2942"/>
      <c r="AB82" s="2942"/>
      <c r="AC82" s="2942"/>
      <c r="AD82" s="2942"/>
      <c r="AE82" s="2942"/>
    </row>
    <row r="83" spans="1:31">
      <c r="A83" s="483" t="s">
        <v>2320</v>
      </c>
      <c r="B83" s="484" t="s">
        <v>2466</v>
      </c>
      <c r="C83" s="529" t="s">
        <v>2358</v>
      </c>
      <c r="D83" s="529" t="s">
        <v>2359</v>
      </c>
      <c r="E83" s="529" t="s">
        <v>2360</v>
      </c>
      <c r="F83" s="529" t="s">
        <v>2361</v>
      </c>
      <c r="G83" s="529" t="s">
        <v>2362</v>
      </c>
      <c r="H83" s="485"/>
      <c r="I83" s="485"/>
      <c r="J83" s="485"/>
      <c r="K83" s="530"/>
      <c r="L83" s="531"/>
      <c r="M83" s="532"/>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0"/>
      <c r="B85" s="494" t="s">
        <v>2363</v>
      </c>
      <c r="C85" s="534" t="s">
        <v>2358</v>
      </c>
      <c r="D85" s="534" t="s">
        <v>2359</v>
      </c>
      <c r="E85" s="534" t="s">
        <v>2360</v>
      </c>
      <c r="F85" s="534" t="s">
        <v>2361</v>
      </c>
      <c r="G85" s="534" t="s">
        <v>2362</v>
      </c>
      <c r="H85" s="495"/>
      <c r="I85" s="495"/>
      <c r="J85" s="495"/>
      <c r="K85" s="496"/>
      <c r="L85" s="497"/>
      <c r="M85" s="498"/>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49"/>
      <c r="O90" s="2949"/>
      <c r="P90" s="2973"/>
      <c r="Q90" s="2934"/>
      <c r="R90" s="2854"/>
      <c r="S90" s="2854"/>
      <c r="T90" s="2854"/>
      <c r="U90" s="2854"/>
      <c r="V90" s="2854"/>
      <c r="W90" s="2854"/>
      <c r="X90" s="2854"/>
      <c r="Y90" s="2854"/>
      <c r="Z90" s="2854"/>
      <c r="AA90" s="2854"/>
      <c r="AB90" s="2854"/>
      <c r="AC90" s="2854"/>
      <c r="AD90" s="2854"/>
      <c r="AE90" s="2854"/>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0"/>
      <c r="O91" s="2950"/>
      <c r="P91" s="2974"/>
      <c r="Q91" s="2941"/>
      <c r="R91" s="2942"/>
      <c r="S91" s="2942"/>
      <c r="T91" s="2942"/>
      <c r="U91" s="2942"/>
      <c r="V91" s="2942"/>
      <c r="W91" s="2942"/>
      <c r="X91" s="2942"/>
      <c r="Y91" s="2942"/>
      <c r="Z91" s="2942"/>
      <c r="AA91" s="2942"/>
      <c r="AB91" s="2942"/>
      <c r="AC91" s="2942"/>
      <c r="AD91" s="2942"/>
      <c r="AE91" s="294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0"/>
      <c r="O92" s="2950"/>
      <c r="P92" s="2974"/>
      <c r="Q92" s="2941"/>
      <c r="R92" s="2942"/>
      <c r="S92" s="2942"/>
      <c r="T92" s="2942"/>
      <c r="U92" s="2942"/>
      <c r="V92" s="2942"/>
      <c r="W92" s="2942"/>
      <c r="X92" s="2942"/>
      <c r="Y92" s="2942"/>
      <c r="Z92" s="2942"/>
      <c r="AA92" s="2942"/>
      <c r="AB92" s="2942"/>
      <c r="AC92" s="2942"/>
      <c r="AD92" s="2942"/>
      <c r="AE92" s="2942"/>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0"/>
      <c r="O93" s="2950"/>
      <c r="P93" s="2974"/>
      <c r="Q93" s="2941"/>
      <c r="R93" s="2942"/>
      <c r="S93" s="2942"/>
      <c r="T93" s="2942"/>
      <c r="U93" s="2942"/>
      <c r="V93" s="2942"/>
      <c r="W93" s="2942"/>
      <c r="X93" s="2942"/>
      <c r="Y93" s="2942"/>
      <c r="Z93" s="2942"/>
      <c r="AA93" s="2942"/>
      <c r="AB93" s="2942"/>
      <c r="AC93" s="2942"/>
      <c r="AD93" s="2942"/>
      <c r="AE93" s="294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0"/>
      <c r="B97" s="494" t="s">
        <v>2452</v>
      </c>
      <c r="C97" s="510"/>
      <c r="D97" s="510"/>
      <c r="E97" s="510"/>
      <c r="F97" s="510"/>
      <c r="G97" s="510"/>
      <c r="H97" s="539"/>
      <c r="I97" s="539"/>
      <c r="J97" s="539"/>
      <c r="K97" s="540"/>
      <c r="L97" s="541"/>
      <c r="M97" s="542"/>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0"/>
      <c r="B99" s="494" t="s">
        <v>2510</v>
      </c>
      <c r="C99" s="539"/>
      <c r="D99" s="539"/>
      <c r="E99" s="539"/>
      <c r="F99" s="539"/>
      <c r="G99" s="539"/>
      <c r="H99" s="539"/>
      <c r="I99" s="539"/>
      <c r="J99" s="539"/>
      <c r="K99" s="540"/>
      <c r="L99" s="541"/>
      <c r="M99" s="542"/>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0"/>
      <c r="B101" s="502">
        <f>B31</f>
        <v>111</v>
      </c>
      <c r="C101" s="510"/>
      <c r="D101" s="510"/>
      <c r="E101" s="510"/>
      <c r="F101" s="510"/>
      <c r="G101" s="543"/>
      <c r="H101" s="543"/>
      <c r="I101" s="543"/>
      <c r="J101" s="543"/>
      <c r="K101" s="544"/>
      <c r="L101" s="545"/>
      <c r="M101" s="546"/>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0"/>
      <c r="B102" s="525"/>
      <c r="C102" s="516"/>
      <c r="D102" s="492"/>
      <c r="E102" s="492"/>
      <c r="F102" s="492"/>
      <c r="G102" s="547"/>
      <c r="H102" s="547"/>
      <c r="I102" s="547"/>
      <c r="J102" s="547"/>
      <c r="K102" s="547"/>
      <c r="L102" s="547"/>
      <c r="M102" s="548"/>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0"/>
      <c r="B103" s="494">
        <f>B32</f>
        <v>111</v>
      </c>
      <c r="C103" s="510"/>
      <c r="D103" s="510"/>
      <c r="E103" s="510"/>
      <c r="F103" s="510"/>
      <c r="G103" s="539"/>
      <c r="H103" s="539"/>
      <c r="I103" s="539"/>
      <c r="J103" s="539"/>
      <c r="K103" s="540"/>
      <c r="L103" s="541"/>
      <c r="M103" s="542"/>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0"/>
      <c r="B104" s="499"/>
      <c r="C104" s="516"/>
      <c r="D104" s="516"/>
      <c r="E104" s="516"/>
      <c r="F104" s="516"/>
      <c r="G104" s="492"/>
      <c r="H104" s="492"/>
      <c r="I104" s="492"/>
      <c r="J104" s="492"/>
      <c r="K104" s="492"/>
      <c r="L104" s="492"/>
      <c r="M104" s="493"/>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9" customFormat="1" ht="15" thickTop="1">
      <c r="A105" s="549"/>
      <c r="B105" s="550">
        <f>B33</f>
        <v>111</v>
      </c>
      <c r="C105" s="479"/>
      <c r="D105" s="479"/>
      <c r="E105" s="479"/>
      <c r="F105" s="479"/>
      <c r="G105" s="551"/>
      <c r="H105" s="551"/>
      <c r="I105" s="551"/>
      <c r="J105" s="552"/>
      <c r="K105" s="552"/>
      <c r="L105" s="553"/>
      <c r="M105" s="554"/>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9" customFormat="1" ht="15.75" thickBot="1">
      <c r="A106" s="509"/>
      <c r="B106" s="502"/>
      <c r="C106" s="526"/>
      <c r="D106" s="526"/>
      <c r="E106" s="526"/>
      <c r="F106" s="526"/>
      <c r="G106" s="632"/>
      <c r="H106" s="632"/>
      <c r="I106" s="632"/>
      <c r="J106" s="632"/>
      <c r="K106" s="632"/>
      <c r="L106" s="632"/>
      <c r="M106" s="654"/>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0"/>
      <c r="B108" s="502"/>
      <c r="C108" s="551"/>
      <c r="D108" s="551"/>
      <c r="E108" s="551"/>
      <c r="F108" s="551"/>
      <c r="G108" s="551"/>
      <c r="H108" s="551"/>
      <c r="I108" s="551"/>
      <c r="J108" s="552"/>
      <c r="K108" s="552"/>
      <c r="L108" s="553"/>
      <c r="M108" s="554"/>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0"/>
      <c r="B109" s="499"/>
      <c r="C109" s="526"/>
      <c r="D109" s="547"/>
      <c r="E109" s="547"/>
      <c r="F109" s="547"/>
      <c r="G109" s="547"/>
      <c r="H109" s="547"/>
      <c r="I109" s="547"/>
      <c r="J109" s="547"/>
      <c r="K109" s="547"/>
      <c r="L109" s="547"/>
      <c r="M109" s="548"/>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5"/>
      <c r="B110" s="494" t="s">
        <v>2552</v>
      </c>
      <c r="C110" s="539"/>
      <c r="D110" s="539"/>
      <c r="E110" s="539"/>
      <c r="F110" s="539"/>
      <c r="G110" s="539"/>
      <c r="H110" s="539"/>
      <c r="I110" s="539"/>
      <c r="J110" s="539"/>
      <c r="K110" s="540"/>
      <c r="L110" s="541"/>
      <c r="M110" s="542"/>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9" customFormat="1" ht="15" thickTop="1">
      <c r="A112" s="549"/>
      <c r="B112" s="494" t="s">
        <v>2554</v>
      </c>
      <c r="C112" s="510"/>
      <c r="D112" s="510"/>
      <c r="E112" s="510"/>
      <c r="F112" s="510"/>
      <c r="G112" s="510"/>
      <c r="H112" s="539"/>
      <c r="I112" s="539"/>
      <c r="J112" s="539"/>
      <c r="K112" s="540"/>
      <c r="L112" s="541"/>
      <c r="M112" s="542"/>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5"/>
      <c r="B114" s="494" t="s">
        <v>2555</v>
      </c>
      <c r="C114" s="510"/>
      <c r="D114" s="510"/>
      <c r="E114" s="539"/>
      <c r="F114" s="539"/>
      <c r="G114" s="539"/>
      <c r="H114" s="539"/>
      <c r="I114" s="539"/>
      <c r="J114" s="539"/>
      <c r="K114" s="540"/>
      <c r="L114" s="541"/>
      <c r="M114" s="542"/>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5"/>
      <c r="B116" s="494">
        <f>B38</f>
        <v>111</v>
      </c>
      <c r="C116" s="510"/>
      <c r="D116" s="510"/>
      <c r="E116" s="510"/>
      <c r="F116" s="510"/>
      <c r="G116" s="510"/>
      <c r="H116" s="539"/>
      <c r="I116" s="539"/>
      <c r="J116" s="539"/>
      <c r="K116" s="540"/>
      <c r="L116" s="541"/>
      <c r="M116" s="542"/>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0"/>
      <c r="B117" s="499"/>
      <c r="C117" s="516"/>
      <c r="D117" s="492"/>
      <c r="E117" s="492"/>
      <c r="F117" s="492"/>
      <c r="G117" s="492"/>
      <c r="H117" s="492"/>
      <c r="I117" s="492"/>
      <c r="J117" s="492"/>
      <c r="K117" s="492"/>
      <c r="L117" s="492"/>
      <c r="M117" s="493"/>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5"/>
      <c r="B118" s="494">
        <f>B39</f>
        <v>111</v>
      </c>
      <c r="C118" s="510"/>
      <c r="D118" s="510"/>
      <c r="E118" s="510"/>
      <c r="F118" s="510"/>
      <c r="G118" s="539"/>
      <c r="H118" s="539"/>
      <c r="I118" s="539"/>
      <c r="J118" s="539"/>
      <c r="K118" s="540"/>
      <c r="L118" s="541"/>
      <c r="M118" s="542"/>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0"/>
      <c r="B119" s="499"/>
      <c r="C119" s="516"/>
      <c r="D119" s="516"/>
      <c r="E119" s="516"/>
      <c r="F119" s="516"/>
      <c r="G119" s="492"/>
      <c r="H119" s="492"/>
      <c r="I119" s="492"/>
      <c r="J119" s="492"/>
      <c r="K119" s="492"/>
      <c r="L119" s="492"/>
      <c r="M119" s="493"/>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9" customFormat="1" ht="15" thickTop="1">
      <c r="A120" s="549"/>
      <c r="B120" s="494">
        <f>B40</f>
        <v>111</v>
      </c>
      <c r="C120" s="479"/>
      <c r="D120" s="479"/>
      <c r="E120" s="479"/>
      <c r="F120" s="479"/>
      <c r="G120" s="511"/>
      <c r="H120" s="511"/>
      <c r="I120" s="511"/>
      <c r="J120" s="511"/>
      <c r="K120" s="511"/>
      <c r="L120" s="512"/>
      <c r="M120" s="513"/>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9" customFormat="1" ht="15.75" thickBot="1">
      <c r="A121" s="524"/>
      <c r="B121" s="655"/>
      <c r="C121" s="526"/>
      <c r="D121" s="526"/>
      <c r="E121" s="526"/>
      <c r="F121" s="526"/>
      <c r="G121" s="547"/>
      <c r="H121" s="547"/>
      <c r="I121" s="547"/>
      <c r="J121" s="547"/>
      <c r="K121" s="547"/>
      <c r="L121" s="547"/>
      <c r="M121" s="548"/>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410" t="str">
        <f>IF(项目基本情况!B9="房地产市场价值","估价结果一览表","结果表-2")</f>
        <v>估价结果一览表</v>
      </c>
      <c r="B1" s="3410"/>
      <c r="C1" s="3410"/>
      <c r="D1" s="3410"/>
      <c r="E1" s="3410"/>
      <c r="F1" s="3410"/>
      <c r="G1" s="3410"/>
      <c r="H1" s="3410"/>
      <c r="I1" s="3410"/>
    </row>
    <row r="2" spans="1:9" ht="30" customHeight="1" thickTop="1">
      <c r="A2" s="3411" t="s">
        <v>1546</v>
      </c>
      <c r="B2" s="3411" t="s">
        <v>1547</v>
      </c>
      <c r="C2" s="3411" t="s">
        <v>1548</v>
      </c>
      <c r="D2" s="3411" t="str">
        <f>结果表1层商业!D116</f>
        <v>出让国有建设用地使用权价值</v>
      </c>
      <c r="E2" s="3411"/>
      <c r="F2" s="3411" t="str">
        <f>结果表1层商业!F116</f>
        <v>在建建筑物价值</v>
      </c>
      <c r="G2" s="3411"/>
      <c r="H2" s="3411" t="str">
        <f>IF(项目基本情况!B9="房地产市场价值","房地产市场价值","房地产价值")</f>
        <v>房地产市场价值</v>
      </c>
      <c r="I2" s="3411"/>
    </row>
    <row r="3" spans="1:9" ht="15">
      <c r="A3" s="3405"/>
      <c r="B3" s="3405"/>
      <c r="C3" s="3405"/>
      <c r="D3" s="961" t="s">
        <v>1543</v>
      </c>
      <c r="E3" s="961" t="s">
        <v>1549</v>
      </c>
      <c r="F3" s="961" t="s">
        <v>1543</v>
      </c>
      <c r="G3" s="961" t="s">
        <v>1544</v>
      </c>
      <c r="H3" s="961" t="s">
        <v>1543</v>
      </c>
      <c r="I3" s="961" t="s">
        <v>1544</v>
      </c>
    </row>
    <row r="4" spans="1:9" ht="15">
      <c r="A4" s="1657" t="str">
        <f>项目基本情况!S2</f>
        <v>北京市房地产</v>
      </c>
      <c r="B4" s="961">
        <f>项目基本情况!C17</f>
        <v>683.55</v>
      </c>
      <c r="C4" s="961">
        <f>项目基本情况!C18</f>
        <v>273.42</v>
      </c>
      <c r="D4" s="961" t="e">
        <f ca="1">结果表1层商业!D118</f>
        <v>#REF!</v>
      </c>
      <c r="E4" s="961" t="e">
        <f ca="1">结果表1层商业!E118</f>
        <v>#REF!</v>
      </c>
      <c r="F4" s="961" t="e">
        <f ca="1">结果表1层商业!F118</f>
        <v>#REF!</v>
      </c>
      <c r="G4" s="961" t="e">
        <f ca="1">结果表1层商业!G118</f>
        <v>#REF!</v>
      </c>
      <c r="H4" s="961" t="e">
        <f ca="1">结果表1层商业!H118</f>
        <v>#REF!</v>
      </c>
      <c r="I4" s="961" t="e">
        <f ca="1">结果表1层商业!I118</f>
        <v>#REF!</v>
      </c>
    </row>
    <row r="5" spans="1:9" ht="30" customHeight="1">
      <c r="A5" s="3405" t="s">
        <v>1545</v>
      </c>
      <c r="B5" s="3405"/>
      <c r="C5" s="3405"/>
      <c r="D5" s="3406" t="e">
        <f ca="1">结果表1层商业!D119</f>
        <v>#REF!</v>
      </c>
      <c r="E5" s="3406"/>
      <c r="F5" s="3406" t="e">
        <f ca="1">结果表1层商业!F119</f>
        <v>#REF!</v>
      </c>
      <c r="G5" s="3406"/>
      <c r="H5" s="3406" t="e">
        <f ca="1">结果表1层商业!H119</f>
        <v>#REF!</v>
      </c>
      <c r="I5" s="3406"/>
    </row>
    <row r="6" spans="1:9" ht="15.75">
      <c r="A6" s="3404" t="str">
        <f>结果表1层商业!A120</f>
        <v/>
      </c>
      <c r="B6" s="3404"/>
      <c r="C6" s="3404"/>
      <c r="D6" s="3404">
        <f>结果表1层商业!D120</f>
        <v>0</v>
      </c>
      <c r="E6" s="3404"/>
      <c r="F6" s="3404"/>
      <c r="G6" s="3404"/>
      <c r="H6" s="3404"/>
      <c r="I6" s="3404"/>
    </row>
    <row r="7" spans="1:9" ht="15">
      <c r="A7" s="3405" t="s">
        <v>1545</v>
      </c>
      <c r="B7" s="3405"/>
      <c r="C7" s="3405"/>
      <c r="D7" s="3407" t="str">
        <f>结果表1层商业!D121</f>
        <v>零元整</v>
      </c>
      <c r="E7" s="3408"/>
      <c r="F7" s="3408"/>
      <c r="G7" s="3408"/>
      <c r="H7" s="3408"/>
      <c r="I7" s="3409"/>
    </row>
    <row r="8" spans="1:9" ht="15.75">
      <c r="A8" s="3404" t="str">
        <f>结果表1层商业!A122</f>
        <v/>
      </c>
      <c r="B8" s="3404"/>
      <c r="C8" s="3404"/>
      <c r="D8" s="3404" t="e">
        <f ca="1">结果表1层商业!D122</f>
        <v>#REF!</v>
      </c>
      <c r="E8" s="3404"/>
      <c r="F8" s="3404"/>
      <c r="G8" s="3404"/>
      <c r="H8" s="3404"/>
      <c r="I8" s="3404"/>
    </row>
    <row r="9" spans="1:9" ht="15">
      <c r="A9" s="3405" t="s">
        <v>1545</v>
      </c>
      <c r="B9" s="3405"/>
      <c r="C9" s="3405"/>
      <c r="D9" s="3406" t="e">
        <f ca="1">结果表1层商业!D123</f>
        <v>#REF!</v>
      </c>
      <c r="E9" s="3406"/>
      <c r="F9" s="3406"/>
      <c r="G9" s="3406"/>
      <c r="H9" s="3406"/>
      <c r="I9" s="3406"/>
    </row>
    <row r="10" spans="1:9" ht="15.75">
      <c r="A10" s="3404" t="str">
        <f>结果表1层商业!A124</f>
        <v/>
      </c>
      <c r="B10" s="3404"/>
      <c r="C10" s="3404"/>
      <c r="D10" s="3404" t="str">
        <f>结果表1层商业!D124</f>
        <v>——</v>
      </c>
      <c r="E10" s="3404"/>
      <c r="F10" s="3404"/>
      <c r="G10" s="3404"/>
      <c r="H10" s="3404"/>
      <c r="I10" s="3404"/>
    </row>
    <row r="11" spans="1:9" ht="15">
      <c r="A11" s="3405" t="s">
        <v>1545</v>
      </c>
      <c r="B11" s="3405"/>
      <c r="C11" s="3405"/>
      <c r="D11" s="3406" t="e">
        <f>结果表1层商业!D125</f>
        <v>#VALUE!</v>
      </c>
      <c r="E11" s="3406"/>
      <c r="F11" s="3406"/>
      <c r="G11" s="3406"/>
      <c r="H11" s="3406"/>
      <c r="I11" s="3406"/>
    </row>
    <row r="12" spans="1:9" ht="15.75">
      <c r="A12" s="3404" t="str">
        <f>结果表1层商业!A126</f>
        <v/>
      </c>
      <c r="B12" s="3404"/>
      <c r="C12" s="3404"/>
      <c r="D12" s="3404" t="str">
        <f>结果表1层商业!D126</f>
        <v>——</v>
      </c>
      <c r="E12" s="3404"/>
      <c r="F12" s="3404"/>
      <c r="G12" s="3404"/>
      <c r="H12" s="3404"/>
      <c r="I12" s="3404"/>
    </row>
    <row r="13" spans="1:9" ht="15.75" thickBot="1">
      <c r="A13" s="3401" t="s">
        <v>1545</v>
      </c>
      <c r="B13" s="3401"/>
      <c r="C13" s="3401"/>
      <c r="D13" s="3402" t="e">
        <f>结果表1层商业!D127</f>
        <v>#VALUE!</v>
      </c>
      <c r="E13" s="3402"/>
      <c r="F13" s="3402"/>
      <c r="G13" s="3402"/>
      <c r="H13" s="3402"/>
      <c r="I13" s="3402"/>
    </row>
    <row r="14" spans="1:9" ht="15" thickTop="1">
      <c r="A14" s="3403" t="s">
        <v>1550</v>
      </c>
      <c r="B14" s="3403"/>
      <c r="C14" s="3403"/>
      <c r="D14" s="3403"/>
      <c r="E14" s="3403"/>
      <c r="F14" s="3403"/>
      <c r="G14" s="3403"/>
      <c r="H14" s="3403"/>
      <c r="I14" s="3403"/>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125" defaultRowHeight="19.5" customHeight="1"/>
  <cols>
    <col min="1" max="1" width="13.625" style="753" customWidth="1"/>
    <col min="2" max="9" width="8.125" style="815" customWidth="1"/>
    <col min="10" max="13" width="8.125" style="753"/>
    <col min="14" max="14" width="10" style="753" customWidth="1"/>
    <col min="15" max="16" width="8.125" style="753"/>
    <col min="17" max="17" width="34.125" style="753" customWidth="1"/>
    <col min="18" max="18" width="8.125" style="753" customWidth="1"/>
    <col min="19" max="19" width="8.125" style="753"/>
    <col min="20" max="20" width="11.625" style="753" customWidth="1"/>
    <col min="21" max="16384" width="8.1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796" t="s">
        <v>183</v>
      </c>
      <c r="B18" s="819" t="s">
        <v>560</v>
      </c>
      <c r="C18" s="820" t="s">
        <v>561</v>
      </c>
      <c r="D18" s="821"/>
      <c r="E18" s="819">
        <v>1</v>
      </c>
      <c r="F18" s="822" t="s">
        <v>562</v>
      </c>
      <c r="G18" s="823"/>
      <c r="H18" s="815"/>
      <c r="I18" s="815"/>
    </row>
    <row r="19" spans="1:9" s="824" customFormat="1" ht="19.5" customHeight="1">
      <c r="A19" s="3796"/>
      <c r="B19" s="3796" t="s">
        <v>563</v>
      </c>
      <c r="C19" s="820" t="s">
        <v>564</v>
      </c>
      <c r="D19" s="821"/>
      <c r="E19" s="819">
        <v>0.9</v>
      </c>
      <c r="F19" s="822" t="s">
        <v>565</v>
      </c>
      <c r="G19" s="823"/>
      <c r="H19" s="815"/>
      <c r="I19" s="815"/>
    </row>
    <row r="20" spans="1:9" s="824" customFormat="1" ht="19.5" customHeight="1">
      <c r="A20" s="3796"/>
      <c r="B20" s="3796"/>
      <c r="C20" s="820" t="s">
        <v>566</v>
      </c>
      <c r="D20" s="821"/>
      <c r="E20" s="819">
        <v>1.1000000000000001</v>
      </c>
      <c r="F20" s="822" t="s">
        <v>567</v>
      </c>
      <c r="G20" s="823"/>
      <c r="H20" s="815"/>
      <c r="I20" s="815"/>
    </row>
    <row r="21" spans="1:9" s="824" customFormat="1" ht="19.5" customHeight="1">
      <c r="A21" s="3796"/>
      <c r="B21" s="3796"/>
      <c r="C21" s="820" t="s">
        <v>568</v>
      </c>
      <c r="D21" s="821"/>
      <c r="E21" s="819">
        <v>0.8</v>
      </c>
      <c r="F21" s="822" t="s">
        <v>569</v>
      </c>
      <c r="G21" s="823"/>
      <c r="H21" s="815"/>
      <c r="I21" s="815"/>
    </row>
    <row r="22" spans="1:9" s="824" customFormat="1" ht="19.5" customHeight="1">
      <c r="A22" s="3796"/>
      <c r="B22" s="3796"/>
      <c r="C22" s="820" t="s">
        <v>570</v>
      </c>
      <c r="D22" s="821"/>
      <c r="E22" s="819">
        <v>0.5</v>
      </c>
      <c r="F22" s="822"/>
      <c r="G22" s="823"/>
      <c r="H22" s="815"/>
      <c r="I22" s="815"/>
    </row>
    <row r="23" spans="1:9" s="824" customFormat="1" ht="19.5" customHeight="1">
      <c r="A23" s="3796" t="s">
        <v>184</v>
      </c>
      <c r="B23" s="819" t="s">
        <v>560</v>
      </c>
      <c r="C23" s="820" t="s">
        <v>571</v>
      </c>
      <c r="D23" s="821"/>
      <c r="E23" s="819">
        <v>1</v>
      </c>
      <c r="F23" s="822" t="s">
        <v>572</v>
      </c>
      <c r="G23" s="823"/>
      <c r="H23" s="815"/>
      <c r="I23" s="815"/>
    </row>
    <row r="24" spans="1:9" s="824" customFormat="1" ht="19.5" customHeight="1">
      <c r="A24" s="3796"/>
      <c r="B24" s="3796" t="s">
        <v>563</v>
      </c>
      <c r="C24" s="820" t="s">
        <v>573</v>
      </c>
      <c r="D24" s="821"/>
      <c r="E24" s="819">
        <v>0.5</v>
      </c>
      <c r="F24" s="822"/>
      <c r="G24" s="823"/>
      <c r="H24" s="815"/>
      <c r="I24" s="815"/>
    </row>
    <row r="25" spans="1:9" s="824" customFormat="1" ht="19.5" customHeight="1">
      <c r="A25" s="3796"/>
      <c r="B25" s="3796"/>
      <c r="C25" s="820" t="s">
        <v>574</v>
      </c>
      <c r="D25" s="821"/>
      <c r="E25" s="819">
        <v>1.1000000000000001</v>
      </c>
      <c r="F25" s="822"/>
      <c r="G25" s="823"/>
      <c r="H25" s="815"/>
      <c r="I25" s="815"/>
    </row>
    <row r="26" spans="1:9" s="824" customFormat="1" ht="19.5" customHeight="1">
      <c r="A26" s="3796"/>
      <c r="B26" s="3796"/>
      <c r="C26" s="820" t="s">
        <v>575</v>
      </c>
      <c r="D26" s="821"/>
      <c r="E26" s="819">
        <v>1.1000000000000001</v>
      </c>
      <c r="F26" s="822"/>
      <c r="G26" s="823"/>
      <c r="H26" s="815"/>
      <c r="I26" s="815"/>
    </row>
    <row r="27" spans="1:9" s="824" customFormat="1" ht="19.5" customHeight="1">
      <c r="A27" s="3796"/>
      <c r="B27" s="3796"/>
      <c r="C27" s="820" t="s">
        <v>576</v>
      </c>
      <c r="D27" s="821"/>
      <c r="E27" s="819">
        <v>0.9</v>
      </c>
      <c r="F27" s="822" t="s">
        <v>577</v>
      </c>
      <c r="G27" s="823"/>
      <c r="H27" s="815"/>
      <c r="I27" s="815"/>
    </row>
    <row r="28" spans="1:9" s="824" customFormat="1" ht="19.5" customHeight="1">
      <c r="A28" s="3796"/>
      <c r="B28" s="3796"/>
      <c r="C28" s="820" t="s">
        <v>578</v>
      </c>
      <c r="D28" s="821"/>
      <c r="E28" s="819">
        <v>0.9</v>
      </c>
      <c r="F28" s="822" t="s">
        <v>579</v>
      </c>
      <c r="G28" s="823"/>
      <c r="H28" s="815"/>
      <c r="I28" s="815"/>
    </row>
    <row r="29" spans="1:9" s="824" customFormat="1" ht="19.5" customHeight="1">
      <c r="A29" s="3796"/>
      <c r="B29" s="3796"/>
      <c r="C29" s="820" t="s">
        <v>580</v>
      </c>
      <c r="D29" s="821"/>
      <c r="E29" s="819">
        <v>0.9</v>
      </c>
      <c r="F29" s="822" t="s">
        <v>581</v>
      </c>
      <c r="G29" s="823"/>
      <c r="H29" s="815"/>
      <c r="I29" s="815"/>
    </row>
    <row r="30" spans="1:9" s="824" customFormat="1" ht="19.5" customHeight="1">
      <c r="A30" s="3796"/>
      <c r="B30" s="3796"/>
      <c r="C30" s="820" t="s">
        <v>582</v>
      </c>
      <c r="D30" s="821"/>
      <c r="E30" s="819">
        <v>0.9</v>
      </c>
      <c r="F30" s="822" t="s">
        <v>583</v>
      </c>
      <c r="G30" s="823"/>
      <c r="H30" s="815"/>
      <c r="I30" s="815"/>
    </row>
    <row r="31" spans="1:9" s="824" customFormat="1" ht="19.5" customHeight="1">
      <c r="A31" s="3796"/>
      <c r="B31" s="3796"/>
      <c r="C31" s="820" t="s">
        <v>584</v>
      </c>
      <c r="D31" s="821"/>
      <c r="E31" s="819">
        <v>0.8</v>
      </c>
      <c r="F31" s="822" t="s">
        <v>585</v>
      </c>
      <c r="G31" s="823"/>
      <c r="H31" s="815"/>
      <c r="I31" s="815"/>
    </row>
    <row r="32" spans="1:9" s="824" customFormat="1" ht="19.5" customHeight="1">
      <c r="A32" s="3796"/>
      <c r="B32" s="3796"/>
      <c r="C32" s="820" t="s">
        <v>586</v>
      </c>
      <c r="D32" s="821"/>
      <c r="E32" s="819">
        <v>0.8</v>
      </c>
      <c r="F32" s="822" t="s">
        <v>587</v>
      </c>
      <c r="G32" s="823"/>
      <c r="H32" s="815"/>
      <c r="I32" s="815"/>
    </row>
    <row r="33" spans="1:9" s="824" customFormat="1" ht="19.5" customHeight="1">
      <c r="A33" s="3796" t="s">
        <v>185</v>
      </c>
      <c r="B33" s="819" t="s">
        <v>560</v>
      </c>
      <c r="C33" s="820" t="s">
        <v>588</v>
      </c>
      <c r="D33" s="821"/>
      <c r="E33" s="819">
        <v>1</v>
      </c>
      <c r="F33" s="822" t="s">
        <v>589</v>
      </c>
      <c r="G33" s="823"/>
      <c r="H33" s="815"/>
      <c r="I33" s="815"/>
    </row>
    <row r="34" spans="1:9" s="824" customFormat="1" ht="19.5" customHeight="1">
      <c r="A34" s="3796"/>
      <c r="B34" s="819" t="s">
        <v>563</v>
      </c>
      <c r="C34" s="820" t="s">
        <v>590</v>
      </c>
      <c r="D34" s="821"/>
      <c r="E34" s="819">
        <v>1.5</v>
      </c>
      <c r="F34" s="822" t="s">
        <v>591</v>
      </c>
      <c r="G34" s="823"/>
      <c r="H34" s="815"/>
      <c r="I34" s="815"/>
    </row>
    <row r="35" spans="1:9" s="824" customFormat="1" ht="19.5" customHeight="1">
      <c r="A35" s="3796" t="s">
        <v>186</v>
      </c>
      <c r="B35" s="819" t="s">
        <v>560</v>
      </c>
      <c r="C35" s="820" t="s">
        <v>592</v>
      </c>
      <c r="D35" s="821"/>
      <c r="E35" s="819">
        <v>1</v>
      </c>
      <c r="F35" s="822" t="s">
        <v>593</v>
      </c>
      <c r="G35" s="823"/>
      <c r="H35" s="815"/>
      <c r="I35" s="815"/>
    </row>
    <row r="36" spans="1:9" s="824" customFormat="1" ht="19.5" customHeight="1">
      <c r="A36" s="3796"/>
      <c r="B36" s="3796" t="s">
        <v>563</v>
      </c>
      <c r="C36" s="820" t="s">
        <v>594</v>
      </c>
      <c r="D36" s="821"/>
      <c r="E36" s="819">
        <v>1</v>
      </c>
      <c r="F36" s="822" t="s">
        <v>595</v>
      </c>
      <c r="G36" s="823"/>
      <c r="H36" s="815"/>
      <c r="I36" s="815"/>
    </row>
    <row r="37" spans="1:9" s="824" customFormat="1" ht="19.5" customHeight="1">
      <c r="A37" s="3796"/>
      <c r="B37" s="3796"/>
      <c r="C37" s="820" t="s">
        <v>596</v>
      </c>
      <c r="D37" s="821"/>
      <c r="E37" s="819">
        <v>1.5</v>
      </c>
      <c r="F37" s="822" t="s">
        <v>597</v>
      </c>
      <c r="G37" s="823"/>
      <c r="H37" s="815"/>
      <c r="I37" s="815"/>
    </row>
    <row r="38" spans="1:9" s="824" customFormat="1" ht="19.5" customHeight="1">
      <c r="A38" s="3796"/>
      <c r="B38" s="3796"/>
      <c r="C38" s="820" t="s">
        <v>598</v>
      </c>
      <c r="D38" s="821"/>
      <c r="E38" s="819">
        <v>1</v>
      </c>
      <c r="F38" s="822" t="s">
        <v>599</v>
      </c>
      <c r="G38" s="823"/>
      <c r="H38" s="815"/>
      <c r="I38" s="815"/>
    </row>
    <row r="39" spans="1:9" s="824" customFormat="1" ht="19.5" customHeight="1">
      <c r="A39" s="3796"/>
      <c r="B39" s="379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25">
      <c r="A60" s="876"/>
      <c r="B60" s="876"/>
      <c r="C60" s="876" t="s">
        <v>745</v>
      </c>
      <c r="D60" s="876"/>
      <c r="E60" s="832" t="s">
        <v>1</v>
      </c>
      <c r="F60" s="876" t="s">
        <v>1</v>
      </c>
    </row>
    <row r="61" spans="1:8" s="815" customFormat="1" ht="25.5">
      <c r="A61" s="819">
        <v>1</v>
      </c>
      <c r="B61" s="3796" t="s">
        <v>614</v>
      </c>
      <c r="C61" s="755" t="s">
        <v>615</v>
      </c>
      <c r="D61" s="755" t="s">
        <v>616</v>
      </c>
      <c r="E61" s="832">
        <v>0.5</v>
      </c>
      <c r="F61" s="819">
        <v>80</v>
      </c>
    </row>
    <row r="62" spans="1:8" s="815" customFormat="1" ht="25.5">
      <c r="A62" s="819">
        <v>2</v>
      </c>
      <c r="B62" s="3796"/>
      <c r="C62" s="755" t="s">
        <v>617</v>
      </c>
      <c r="D62" s="755" t="s">
        <v>618</v>
      </c>
      <c r="E62" s="832">
        <v>0.5</v>
      </c>
      <c r="F62" s="819">
        <v>80</v>
      </c>
    </row>
    <row r="63" spans="1:8" s="815" customFormat="1" ht="38.25">
      <c r="A63" s="819">
        <v>3</v>
      </c>
      <c r="B63" s="3796"/>
      <c r="C63" s="755" t="s">
        <v>619</v>
      </c>
      <c r="D63" s="755" t="s">
        <v>620</v>
      </c>
      <c r="E63" s="832">
        <v>0.5</v>
      </c>
      <c r="F63" s="819">
        <v>80</v>
      </c>
    </row>
    <row r="64" spans="1:8" s="815" customFormat="1" ht="38.25">
      <c r="A64" s="819">
        <v>4</v>
      </c>
      <c r="B64" s="3796"/>
      <c r="C64" s="755" t="s">
        <v>621</v>
      </c>
      <c r="D64" s="755" t="s">
        <v>622</v>
      </c>
      <c r="E64" s="832">
        <v>0.4</v>
      </c>
      <c r="F64" s="819">
        <v>60</v>
      </c>
    </row>
    <row r="65" spans="1:6" s="815" customFormat="1" ht="38.25">
      <c r="A65" s="819">
        <v>5</v>
      </c>
      <c r="B65" s="3796"/>
      <c r="C65" s="755" t="s">
        <v>623</v>
      </c>
      <c r="D65" s="755" t="s">
        <v>624</v>
      </c>
      <c r="E65" s="832">
        <v>0.2</v>
      </c>
      <c r="F65" s="819">
        <v>30</v>
      </c>
    </row>
    <row r="66" spans="1:6" s="815" customFormat="1" ht="38.25">
      <c r="A66" s="819">
        <v>6</v>
      </c>
      <c r="B66" s="3796"/>
      <c r="C66" s="755" t="s">
        <v>625</v>
      </c>
      <c r="D66" s="755" t="s">
        <v>626</v>
      </c>
      <c r="E66" s="832">
        <v>0.3</v>
      </c>
      <c r="F66" s="819">
        <v>50</v>
      </c>
    </row>
    <row r="67" spans="1:6" s="815" customFormat="1" ht="38.25">
      <c r="A67" s="819">
        <v>7</v>
      </c>
      <c r="B67" s="3796"/>
      <c r="C67" s="755" t="s">
        <v>627</v>
      </c>
      <c r="D67" s="755" t="s">
        <v>628</v>
      </c>
      <c r="E67" s="832">
        <v>0.2</v>
      </c>
      <c r="F67" s="819">
        <v>30</v>
      </c>
    </row>
    <row r="68" spans="1:6" s="815" customFormat="1" ht="38.25">
      <c r="A68" s="819">
        <v>8</v>
      </c>
      <c r="B68" s="3796"/>
      <c r="C68" s="755" t="s">
        <v>629</v>
      </c>
      <c r="D68" s="755" t="s">
        <v>630</v>
      </c>
      <c r="E68" s="832">
        <v>0.2</v>
      </c>
      <c r="F68" s="819">
        <v>30</v>
      </c>
    </row>
    <row r="69" spans="1:6" s="815" customFormat="1" ht="38.25">
      <c r="A69" s="819">
        <v>9</v>
      </c>
      <c r="B69" s="3796"/>
      <c r="C69" s="755" t="s">
        <v>631</v>
      </c>
      <c r="D69" s="755" t="s">
        <v>632</v>
      </c>
      <c r="E69" s="832">
        <v>0.2</v>
      </c>
      <c r="F69" s="819">
        <v>30</v>
      </c>
    </row>
    <row r="70" spans="1:6" s="815" customFormat="1" ht="51">
      <c r="A70" s="819">
        <v>10</v>
      </c>
      <c r="B70" s="3796"/>
      <c r="C70" s="755" t="s">
        <v>633</v>
      </c>
      <c r="D70" s="755" t="s">
        <v>634</v>
      </c>
      <c r="E70" s="832">
        <v>0.2</v>
      </c>
      <c r="F70" s="819">
        <v>30</v>
      </c>
    </row>
    <row r="71" spans="1:6" s="815" customFormat="1" ht="51">
      <c r="A71" s="819">
        <v>11</v>
      </c>
      <c r="B71" s="3796"/>
      <c r="C71" s="755" t="s">
        <v>635</v>
      </c>
      <c r="D71" s="755" t="s">
        <v>636</v>
      </c>
      <c r="E71" s="832">
        <v>0.2</v>
      </c>
      <c r="F71" s="819">
        <v>30</v>
      </c>
    </row>
    <row r="72" spans="1:6" s="815" customFormat="1" ht="38.25">
      <c r="A72" s="819">
        <v>12</v>
      </c>
      <c r="B72" s="3796"/>
      <c r="C72" s="755" t="s">
        <v>637</v>
      </c>
      <c r="D72" s="755" t="s">
        <v>638</v>
      </c>
      <c r="E72" s="832">
        <v>0.5</v>
      </c>
      <c r="F72" s="819">
        <v>80</v>
      </c>
    </row>
    <row r="73" spans="1:6" s="815" customFormat="1" ht="25.5">
      <c r="A73" s="819">
        <v>13</v>
      </c>
      <c r="B73" s="3796"/>
      <c r="C73" s="755" t="s">
        <v>639</v>
      </c>
      <c r="D73" s="755" t="s">
        <v>640</v>
      </c>
      <c r="E73" s="832">
        <v>0.4</v>
      </c>
      <c r="F73" s="819">
        <v>60</v>
      </c>
    </row>
    <row r="74" spans="1:6" s="815" customFormat="1" ht="25.5">
      <c r="A74" s="819">
        <v>14</v>
      </c>
      <c r="B74" s="3796"/>
      <c r="C74" s="755" t="s">
        <v>641</v>
      </c>
      <c r="D74" s="755" t="s">
        <v>642</v>
      </c>
      <c r="E74" s="832">
        <v>0.2</v>
      </c>
      <c r="F74" s="819">
        <v>30</v>
      </c>
    </row>
    <row r="75" spans="1:6" s="815" customFormat="1" ht="25.5">
      <c r="A75" s="819">
        <v>15</v>
      </c>
      <c r="B75" s="3796"/>
      <c r="C75" s="755" t="s">
        <v>643</v>
      </c>
      <c r="D75" s="755" t="s">
        <v>644</v>
      </c>
      <c r="E75" s="832">
        <v>0.2</v>
      </c>
      <c r="F75" s="819">
        <v>30</v>
      </c>
    </row>
    <row r="76" spans="1:6" s="815" customFormat="1" ht="25.5">
      <c r="A76" s="819">
        <v>16</v>
      </c>
      <c r="B76" s="3796" t="s">
        <v>645</v>
      </c>
      <c r="C76" s="755" t="s">
        <v>646</v>
      </c>
      <c r="D76" s="755" t="s">
        <v>647</v>
      </c>
      <c r="E76" s="832">
        <v>0.5</v>
      </c>
      <c r="F76" s="819">
        <v>80</v>
      </c>
    </row>
    <row r="77" spans="1:6" s="815" customFormat="1" ht="25.5">
      <c r="A77" s="819">
        <v>17</v>
      </c>
      <c r="B77" s="3796"/>
      <c r="C77" s="755" t="s">
        <v>648</v>
      </c>
      <c r="D77" s="755" t="s">
        <v>649</v>
      </c>
      <c r="E77" s="832">
        <v>0.5</v>
      </c>
      <c r="F77" s="819">
        <v>80</v>
      </c>
    </row>
    <row r="78" spans="1:6" s="815" customFormat="1" ht="25.5">
      <c r="A78" s="819">
        <v>18</v>
      </c>
      <c r="B78" s="3796"/>
      <c r="C78" s="755" t="s">
        <v>650</v>
      </c>
      <c r="D78" s="755" t="s">
        <v>651</v>
      </c>
      <c r="E78" s="832">
        <v>0.2</v>
      </c>
      <c r="F78" s="819">
        <v>30</v>
      </c>
    </row>
    <row r="79" spans="1:6" s="815" customFormat="1" ht="25.5">
      <c r="A79" s="819">
        <v>19</v>
      </c>
      <c r="B79" s="3796"/>
      <c r="C79" s="755" t="s">
        <v>652</v>
      </c>
      <c r="D79" s="755" t="s">
        <v>653</v>
      </c>
      <c r="E79" s="832">
        <v>0.5</v>
      </c>
      <c r="F79" s="819">
        <v>80</v>
      </c>
    </row>
    <row r="80" spans="1:6" s="815" customFormat="1" ht="38.25">
      <c r="A80" s="819">
        <v>20</v>
      </c>
      <c r="B80" s="3796"/>
      <c r="C80" s="755" t="s">
        <v>654</v>
      </c>
      <c r="D80" s="755" t="s">
        <v>655</v>
      </c>
      <c r="E80" s="832">
        <v>0.2</v>
      </c>
      <c r="F80" s="819">
        <v>30</v>
      </c>
    </row>
    <row r="81" spans="1:6" s="815" customFormat="1" ht="38.25">
      <c r="A81" s="819">
        <v>21</v>
      </c>
      <c r="B81" s="3796"/>
      <c r="C81" s="755" t="s">
        <v>656</v>
      </c>
      <c r="D81" s="755" t="s">
        <v>657</v>
      </c>
      <c r="E81" s="832">
        <v>0.2</v>
      </c>
      <c r="F81" s="819">
        <v>30</v>
      </c>
    </row>
    <row r="82" spans="1:6" s="815" customFormat="1" ht="51">
      <c r="A82" s="819">
        <v>22</v>
      </c>
      <c r="B82" s="3796"/>
      <c r="C82" s="755" t="s">
        <v>658</v>
      </c>
      <c r="D82" s="755" t="s">
        <v>659</v>
      </c>
      <c r="E82" s="832">
        <v>0.2</v>
      </c>
      <c r="F82" s="819">
        <v>30</v>
      </c>
    </row>
    <row r="83" spans="1:6" s="815" customFormat="1" ht="51">
      <c r="A83" s="819">
        <v>23</v>
      </c>
      <c r="B83" s="3796"/>
      <c r="C83" s="755" t="s">
        <v>660</v>
      </c>
      <c r="D83" s="755" t="s">
        <v>661</v>
      </c>
      <c r="E83" s="832">
        <v>0.2</v>
      </c>
      <c r="F83" s="819">
        <v>30</v>
      </c>
    </row>
    <row r="84" spans="1:6" s="815" customFormat="1" ht="38.25">
      <c r="A84" s="819">
        <v>24</v>
      </c>
      <c r="B84" s="3796"/>
      <c r="C84" s="755" t="s">
        <v>662</v>
      </c>
      <c r="D84" s="755" t="s">
        <v>663</v>
      </c>
      <c r="E84" s="832">
        <v>0.2</v>
      </c>
      <c r="F84" s="819">
        <v>30</v>
      </c>
    </row>
    <row r="85" spans="1:6" s="815" customFormat="1" ht="38.25">
      <c r="A85" s="819">
        <v>25</v>
      </c>
      <c r="B85" s="3796"/>
      <c r="C85" s="755" t="s">
        <v>664</v>
      </c>
      <c r="D85" s="755" t="s">
        <v>665</v>
      </c>
      <c r="E85" s="832">
        <v>0.5</v>
      </c>
      <c r="F85" s="819">
        <v>80</v>
      </c>
    </row>
    <row r="86" spans="1:6" s="815" customFormat="1" ht="38.25">
      <c r="A86" s="819">
        <v>26</v>
      </c>
      <c r="B86" s="3796"/>
      <c r="C86" s="755" t="s">
        <v>666</v>
      </c>
      <c r="D86" s="755" t="s">
        <v>667</v>
      </c>
      <c r="E86" s="832">
        <v>0.2</v>
      </c>
      <c r="F86" s="819">
        <v>30</v>
      </c>
    </row>
    <row r="87" spans="1:6" s="815" customFormat="1" ht="38.25">
      <c r="A87" s="819">
        <v>27</v>
      </c>
      <c r="B87" s="3796"/>
      <c r="C87" s="755" t="s">
        <v>668</v>
      </c>
      <c r="D87" s="755" t="s">
        <v>669</v>
      </c>
      <c r="E87" s="832">
        <v>0.2</v>
      </c>
      <c r="F87" s="819">
        <v>30</v>
      </c>
    </row>
    <row r="88" spans="1:6" s="815" customFormat="1" ht="38.25">
      <c r="A88" s="819">
        <v>28</v>
      </c>
      <c r="B88" s="3796"/>
      <c r="C88" s="755" t="s">
        <v>670</v>
      </c>
      <c r="D88" s="755" t="s">
        <v>671</v>
      </c>
      <c r="E88" s="832">
        <v>0.2</v>
      </c>
      <c r="F88" s="819">
        <v>30</v>
      </c>
    </row>
    <row r="89" spans="1:6" s="815" customFormat="1" ht="25.5">
      <c r="A89" s="819">
        <v>29</v>
      </c>
      <c r="B89" s="3796"/>
      <c r="C89" s="755" t="s">
        <v>672</v>
      </c>
      <c r="D89" s="755" t="s">
        <v>673</v>
      </c>
      <c r="E89" s="832">
        <v>0.2</v>
      </c>
      <c r="F89" s="819">
        <v>30</v>
      </c>
    </row>
    <row r="90" spans="1:6" s="815" customFormat="1" ht="25.5">
      <c r="A90" s="819">
        <v>30</v>
      </c>
      <c r="B90" s="3796"/>
      <c r="C90" s="755" t="s">
        <v>674</v>
      </c>
      <c r="D90" s="755" t="s">
        <v>675</v>
      </c>
      <c r="E90" s="832">
        <v>0.2</v>
      </c>
      <c r="F90" s="819">
        <v>30</v>
      </c>
    </row>
    <row r="91" spans="1:6" s="815" customFormat="1" ht="38.25">
      <c r="A91" s="819">
        <v>31</v>
      </c>
      <c r="B91" s="3796"/>
      <c r="C91" s="755" t="s">
        <v>676</v>
      </c>
      <c r="D91" s="755" t="s">
        <v>677</v>
      </c>
      <c r="E91" s="832">
        <v>0.2</v>
      </c>
      <c r="F91" s="819">
        <v>30</v>
      </c>
    </row>
    <row r="92" spans="1:6" s="815" customFormat="1" ht="25.5">
      <c r="A92" s="819">
        <v>32</v>
      </c>
      <c r="B92" s="3796" t="s">
        <v>678</v>
      </c>
      <c r="C92" s="819" t="s">
        <v>679</v>
      </c>
      <c r="D92" s="755" t="s">
        <v>680</v>
      </c>
      <c r="E92" s="832">
        <v>0.2</v>
      </c>
      <c r="F92" s="819">
        <v>30</v>
      </c>
    </row>
    <row r="93" spans="1:6" s="815" customFormat="1" ht="38.25">
      <c r="A93" s="819">
        <v>33</v>
      </c>
      <c r="B93" s="3796"/>
      <c r="C93" s="819" t="s">
        <v>681</v>
      </c>
      <c r="D93" s="755" t="s">
        <v>682</v>
      </c>
      <c r="E93" s="832">
        <v>0.2</v>
      </c>
      <c r="F93" s="819">
        <v>30</v>
      </c>
    </row>
    <row r="94" spans="1:6" s="815" customFormat="1" ht="51">
      <c r="A94" s="819">
        <v>34</v>
      </c>
      <c r="B94" s="3796"/>
      <c r="C94" s="819" t="s">
        <v>683</v>
      </c>
      <c r="D94" s="755" t="s">
        <v>684</v>
      </c>
      <c r="E94" s="832">
        <v>0.2</v>
      </c>
      <c r="F94" s="819">
        <v>30</v>
      </c>
    </row>
    <row r="95" spans="1:6" s="815" customFormat="1" ht="38.25">
      <c r="A95" s="819">
        <v>35</v>
      </c>
      <c r="B95" s="3796"/>
      <c r="C95" s="819" t="s">
        <v>685</v>
      </c>
      <c r="D95" s="755" t="s">
        <v>686</v>
      </c>
      <c r="E95" s="832">
        <v>0.2</v>
      </c>
      <c r="F95" s="819">
        <v>30</v>
      </c>
    </row>
    <row r="96" spans="1:6" s="815" customFormat="1" ht="51">
      <c r="A96" s="819">
        <v>36</v>
      </c>
      <c r="B96" s="3796"/>
      <c r="C96" s="755" t="s">
        <v>687</v>
      </c>
      <c r="D96" s="755" t="s">
        <v>688</v>
      </c>
      <c r="E96" s="832">
        <v>0.2</v>
      </c>
      <c r="F96" s="819">
        <v>30</v>
      </c>
    </row>
    <row r="97" spans="1:6" s="815" customFormat="1" ht="38.25">
      <c r="A97" s="819">
        <v>37</v>
      </c>
      <c r="B97" s="3796"/>
      <c r="C97" s="819" t="s">
        <v>689</v>
      </c>
      <c r="D97" s="755" t="s">
        <v>690</v>
      </c>
      <c r="E97" s="832">
        <v>0.2</v>
      </c>
      <c r="F97" s="819">
        <v>30</v>
      </c>
    </row>
    <row r="98" spans="1:6" s="815" customFormat="1" ht="38.25">
      <c r="A98" s="819">
        <v>38</v>
      </c>
      <c r="B98" s="3796"/>
      <c r="C98" s="819" t="s">
        <v>691</v>
      </c>
      <c r="D98" s="755" t="s">
        <v>692</v>
      </c>
      <c r="E98" s="832">
        <v>0.2</v>
      </c>
      <c r="F98" s="819">
        <v>30</v>
      </c>
    </row>
    <row r="99" spans="1:6" s="815" customFormat="1" ht="38.25">
      <c r="A99" s="819">
        <v>39</v>
      </c>
      <c r="B99" s="3796" t="s">
        <v>693</v>
      </c>
      <c r="C99" s="819" t="s">
        <v>694</v>
      </c>
      <c r="D99" s="755" t="s">
        <v>695</v>
      </c>
      <c r="E99" s="832">
        <v>0.3</v>
      </c>
      <c r="F99" s="819">
        <v>50</v>
      </c>
    </row>
    <row r="100" spans="1:6" s="815" customFormat="1" ht="25.5">
      <c r="A100" s="819">
        <v>40</v>
      </c>
      <c r="B100" s="3796"/>
      <c r="C100" s="819" t="s">
        <v>696</v>
      </c>
      <c r="D100" s="755" t="s">
        <v>697</v>
      </c>
      <c r="E100" s="832">
        <v>0.2</v>
      </c>
      <c r="F100" s="819">
        <v>30</v>
      </c>
    </row>
    <row r="101" spans="1:6" s="815" customFormat="1" ht="38.25">
      <c r="A101" s="819">
        <v>41</v>
      </c>
      <c r="B101" s="3796"/>
      <c r="C101" s="819" t="s">
        <v>698</v>
      </c>
      <c r="D101" s="755" t="s">
        <v>695</v>
      </c>
      <c r="E101" s="832">
        <v>0.2</v>
      </c>
      <c r="F101" s="819">
        <v>30</v>
      </c>
    </row>
    <row r="102" spans="1:6" s="815" customFormat="1" ht="51">
      <c r="A102" s="819">
        <v>42</v>
      </c>
      <c r="B102" s="819" t="s">
        <v>699</v>
      </c>
      <c r="C102" s="755" t="s">
        <v>700</v>
      </c>
      <c r="D102" s="755" t="s">
        <v>701</v>
      </c>
      <c r="E102" s="832">
        <v>0.2</v>
      </c>
      <c r="F102" s="819">
        <v>30</v>
      </c>
    </row>
    <row r="103" spans="1:6" s="815" customFormat="1" ht="25.5">
      <c r="A103" s="819">
        <v>43</v>
      </c>
      <c r="B103" s="819" t="s">
        <v>702</v>
      </c>
      <c r="C103" s="819" t="s">
        <v>703</v>
      </c>
      <c r="D103" s="755" t="s">
        <v>704</v>
      </c>
      <c r="E103" s="832">
        <v>0.2</v>
      </c>
      <c r="F103" s="819">
        <v>30</v>
      </c>
    </row>
    <row r="104" spans="1:6" s="815" customFormat="1" ht="38.25">
      <c r="A104" s="819">
        <v>44</v>
      </c>
      <c r="B104" s="819" t="s">
        <v>705</v>
      </c>
      <c r="C104" s="819" t="s">
        <v>706</v>
      </c>
      <c r="D104" s="755" t="s">
        <v>707</v>
      </c>
      <c r="E104" s="832">
        <v>0.2</v>
      </c>
      <c r="F104" s="819">
        <v>30</v>
      </c>
    </row>
    <row r="105" spans="1:6" s="815" customFormat="1" ht="38.25">
      <c r="A105" s="819">
        <v>45</v>
      </c>
      <c r="B105" s="3796" t="s">
        <v>708</v>
      </c>
      <c r="C105" s="819" t="s">
        <v>709</v>
      </c>
      <c r="D105" s="755" t="s">
        <v>710</v>
      </c>
      <c r="E105" s="832">
        <v>0.2</v>
      </c>
      <c r="F105" s="819">
        <v>30</v>
      </c>
    </row>
    <row r="106" spans="1:6" s="815" customFormat="1" ht="38.25">
      <c r="A106" s="819">
        <v>46</v>
      </c>
      <c r="B106" s="3796"/>
      <c r="C106" s="819" t="s">
        <v>711</v>
      </c>
      <c r="D106" s="755" t="s">
        <v>712</v>
      </c>
      <c r="E106" s="832">
        <v>0.2</v>
      </c>
      <c r="F106" s="819">
        <v>30</v>
      </c>
    </row>
    <row r="107" spans="1:6" s="815" customFormat="1" ht="38.25">
      <c r="A107" s="819">
        <v>47</v>
      </c>
      <c r="B107" s="3796" t="s">
        <v>713</v>
      </c>
      <c r="C107" s="819" t="s">
        <v>714</v>
      </c>
      <c r="D107" s="755" t="s">
        <v>715</v>
      </c>
      <c r="E107" s="832">
        <v>0.3</v>
      </c>
      <c r="F107" s="819">
        <v>50</v>
      </c>
    </row>
    <row r="108" spans="1:6" s="815" customFormat="1" ht="38.25">
      <c r="A108" s="819">
        <v>48</v>
      </c>
      <c r="B108" s="3796"/>
      <c r="C108" s="819" t="s">
        <v>716</v>
      </c>
      <c r="D108" s="755" t="s">
        <v>717</v>
      </c>
      <c r="E108" s="832">
        <v>0.2</v>
      </c>
      <c r="F108" s="819">
        <v>30</v>
      </c>
    </row>
    <row r="109" spans="1:6" s="815" customFormat="1" ht="38.25">
      <c r="A109" s="819">
        <v>49</v>
      </c>
      <c r="B109" s="819" t="s">
        <v>718</v>
      </c>
      <c r="C109" s="819" t="s">
        <v>719</v>
      </c>
      <c r="D109" s="755" t="s">
        <v>720</v>
      </c>
      <c r="E109" s="832">
        <v>0.2</v>
      </c>
      <c r="F109" s="819">
        <v>30</v>
      </c>
    </row>
    <row r="110" spans="1:6" s="815" customFormat="1" ht="38.25">
      <c r="A110" s="819">
        <v>50</v>
      </c>
      <c r="B110" s="819" t="s">
        <v>721</v>
      </c>
      <c r="C110" s="819" t="s">
        <v>722</v>
      </c>
      <c r="D110" s="755" t="s">
        <v>723</v>
      </c>
      <c r="E110" s="832">
        <v>0.2</v>
      </c>
      <c r="F110" s="819">
        <v>30</v>
      </c>
    </row>
    <row r="111" spans="1:6" s="815" customFormat="1" ht="38.25">
      <c r="A111" s="819">
        <v>51</v>
      </c>
      <c r="B111" s="3796" t="s">
        <v>724</v>
      </c>
      <c r="C111" s="819" t="s">
        <v>725</v>
      </c>
      <c r="D111" s="755" t="s">
        <v>726</v>
      </c>
      <c r="E111" s="832">
        <v>0.2</v>
      </c>
      <c r="F111" s="819">
        <v>30</v>
      </c>
    </row>
    <row r="112" spans="1:6" s="815" customFormat="1" ht="25.5">
      <c r="A112" s="819">
        <v>52</v>
      </c>
      <c r="B112" s="3796"/>
      <c r="C112" s="819" t="s">
        <v>727</v>
      </c>
      <c r="D112" s="755" t="s">
        <v>728</v>
      </c>
      <c r="E112" s="832">
        <v>0.2</v>
      </c>
      <c r="F112" s="819">
        <v>30</v>
      </c>
    </row>
    <row r="113" spans="1:6" s="815" customFormat="1" ht="25.5">
      <c r="A113" s="819">
        <v>53</v>
      </c>
      <c r="B113" s="3796"/>
      <c r="C113" s="819" t="s">
        <v>729</v>
      </c>
      <c r="D113" s="755" t="s">
        <v>730</v>
      </c>
      <c r="E113" s="832">
        <v>0.2</v>
      </c>
      <c r="F113" s="819">
        <v>30</v>
      </c>
    </row>
    <row r="114" spans="1:6" ht="38.25">
      <c r="A114" s="819">
        <v>54</v>
      </c>
      <c r="B114" s="819" t="s">
        <v>731</v>
      </c>
      <c r="C114" s="819" t="s">
        <v>732</v>
      </c>
      <c r="D114" s="755" t="s">
        <v>733</v>
      </c>
      <c r="E114" s="832">
        <v>0.2</v>
      </c>
      <c r="F114" s="819">
        <v>30</v>
      </c>
    </row>
    <row r="115" spans="1:6" ht="25.5">
      <c r="A115" s="819">
        <v>55</v>
      </c>
      <c r="B115" s="819" t="s">
        <v>734</v>
      </c>
      <c r="C115" s="819" t="s">
        <v>735</v>
      </c>
      <c r="D115" s="755" t="s">
        <v>736</v>
      </c>
      <c r="E115" s="832">
        <v>0.2</v>
      </c>
      <c r="F115" s="819">
        <v>30</v>
      </c>
    </row>
    <row r="116" spans="1:6" ht="25.5">
      <c r="A116" s="819">
        <v>56</v>
      </c>
      <c r="B116" s="3796" t="s">
        <v>737</v>
      </c>
      <c r="C116" s="819" t="s">
        <v>738</v>
      </c>
      <c r="D116" s="755" t="s">
        <v>739</v>
      </c>
      <c r="E116" s="832">
        <v>0.2</v>
      </c>
      <c r="F116" s="819">
        <v>30</v>
      </c>
    </row>
    <row r="117" spans="1:6" ht="38.25">
      <c r="A117" s="819">
        <v>57</v>
      </c>
      <c r="B117" s="3796"/>
      <c r="C117" s="819" t="s">
        <v>740</v>
      </c>
      <c r="D117" s="755" t="s">
        <v>741</v>
      </c>
      <c r="E117" s="832">
        <v>0.2</v>
      </c>
      <c r="F117" s="819">
        <v>30</v>
      </c>
    </row>
    <row r="118" spans="1:6" ht="38.25">
      <c r="A118" s="819">
        <v>58</v>
      </c>
      <c r="B118" s="819" t="s">
        <v>742</v>
      </c>
      <c r="C118" s="819" t="s">
        <v>743</v>
      </c>
      <c r="D118" s="755" t="s">
        <v>744</v>
      </c>
      <c r="E118" s="832">
        <v>0.2</v>
      </c>
      <c r="F118" s="819">
        <v>30</v>
      </c>
    </row>
    <row r="119" spans="1:6" ht="14.2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4.25"/>
  <cols>
    <col min="1" max="1" width="9" style="852"/>
    <col min="2" max="16384" width="9" style="835"/>
  </cols>
  <sheetData>
    <row r="1" spans="1:14">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c r="A103" s="833" t="s">
        <v>748</v>
      </c>
      <c r="B103" s="834"/>
      <c r="C103" s="834"/>
      <c r="D103" s="834"/>
      <c r="E103" s="834"/>
      <c r="F103" s="834"/>
      <c r="G103" s="834"/>
      <c r="H103" s="834"/>
      <c r="I103" s="834"/>
      <c r="J103" s="834"/>
      <c r="K103" s="834"/>
      <c r="L103" s="834"/>
      <c r="M103" s="834"/>
      <c r="N103" s="834"/>
    </row>
    <row r="104" spans="1:14">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2760</v>
      </c>
      <c r="B1" s="2329"/>
      <c r="C1" s="2329"/>
      <c r="D1" s="2329"/>
      <c r="E1" s="2329"/>
      <c r="F1" s="2990"/>
      <c r="G1" s="2990"/>
      <c r="H1" s="2990"/>
      <c r="I1" s="2990"/>
      <c r="J1" s="2990"/>
      <c r="K1" s="2990"/>
      <c r="L1" s="2990"/>
      <c r="M1" s="2990"/>
      <c r="N1" s="2990"/>
      <c r="O1" s="2990"/>
      <c r="P1" s="2990"/>
    </row>
    <row r="2" spans="1:16" ht="15.75">
      <c r="A2" s="2327" t="s">
        <v>2752</v>
      </c>
      <c r="B2" s="2794">
        <f ca="1">SUMIF(B6:B13,"&lt;&gt;#ref!",B6:B13)</f>
        <v>0</v>
      </c>
      <c r="C2" s="2327" t="s">
        <v>2753</v>
      </c>
      <c r="D2" s="2327" t="s">
        <v>2754</v>
      </c>
      <c r="E2" s="2804">
        <f ca="1">SUMIF(E6:E13,"&lt;&gt;#ref!",E6:E13)</f>
        <v>0</v>
      </c>
      <c r="F2" s="2990"/>
      <c r="G2" s="2990"/>
      <c r="H2" s="2990"/>
      <c r="I2" s="2990"/>
      <c r="J2" s="2990"/>
      <c r="K2" s="2990"/>
      <c r="L2" s="2990"/>
      <c r="M2" s="2990"/>
      <c r="N2" s="2990"/>
      <c r="O2" s="2990"/>
      <c r="P2" s="2990"/>
    </row>
    <row r="3" spans="1:16" ht="15.75">
      <c r="A3" s="2327" t="s">
        <v>2755</v>
      </c>
      <c r="B3" s="2794" t="e">
        <f ca="1">ROUND(B2*10000/E2,0)</f>
        <v>#DIV/0!</v>
      </c>
      <c r="C3" s="2327" t="s">
        <v>2761</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2756</v>
      </c>
      <c r="B5" s="2802" t="s">
        <v>2757</v>
      </c>
      <c r="C5" s="2328"/>
      <c r="D5" s="2990"/>
      <c r="E5" s="2803" t="s">
        <v>2758</v>
      </c>
      <c r="F5" s="2990"/>
      <c r="G5" s="2990"/>
      <c r="H5" s="2990"/>
      <c r="I5" s="2990"/>
      <c r="J5" s="2990"/>
      <c r="K5" s="2990"/>
      <c r="L5" s="2990"/>
      <c r="M5" s="2990"/>
      <c r="N5" s="2990"/>
      <c r="O5" s="2990"/>
      <c r="P5" s="2990"/>
    </row>
    <row r="6" spans="1:16" ht="15.75">
      <c r="A6" s="2801" t="s">
        <v>2759</v>
      </c>
      <c r="B6" s="2794">
        <f ca="1">SUMIF(INDIRECT("'"&amp;A6&amp;"'"&amp;"!A:A"),"总价",INDIRECT("'"&amp;A6&amp;"'"&amp;"!B:B"))</f>
        <v>0</v>
      </c>
      <c r="C6" s="2327" t="s">
        <v>2753</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2753</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2753</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2753</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2753</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2753</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2753</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2753</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1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1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802" t="s">
        <v>1058</v>
      </c>
      <c r="C1" s="3802"/>
      <c r="D1" s="3802"/>
      <c r="E1" s="3802"/>
      <c r="F1" s="3802"/>
      <c r="G1" s="3801" t="s">
        <v>1059</v>
      </c>
      <c r="H1" s="3801"/>
      <c r="I1" s="3801"/>
      <c r="J1" s="3801"/>
      <c r="K1" s="3801"/>
      <c r="L1" s="3801"/>
      <c r="N1" s="3801" t="s">
        <v>1060</v>
      </c>
      <c r="O1" s="3801"/>
      <c r="P1" s="3801"/>
      <c r="Q1" s="3801"/>
      <c r="S1" s="3801" t="s">
        <v>1061</v>
      </c>
      <c r="T1" s="3801"/>
      <c r="U1" s="3801"/>
      <c r="V1" s="3801"/>
      <c r="X1" s="3800" t="s">
        <v>1062</v>
      </c>
      <c r="Y1" s="3801"/>
      <c r="Z1" s="3801"/>
      <c r="AA1" s="3801"/>
      <c r="AB1" s="3801"/>
      <c r="AD1" s="3800" t="s">
        <v>1063</v>
      </c>
      <c r="AE1" s="3801"/>
      <c r="AF1" s="3801"/>
      <c r="AG1" s="3801"/>
      <c r="AH1" s="3801"/>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2791</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3124</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2792</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3123</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3000</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2999</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2998</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2995</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2994</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2808</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2806</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2805</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2804</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2802</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2800</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2803</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798">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2798</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798"/>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2797</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798"/>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2790</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80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2788</v>
      </c>
      <c r="B22" s="2404">
        <v>439</v>
      </c>
      <c r="C22" s="2404">
        <v>327</v>
      </c>
      <c r="D22" s="2404">
        <f>C22</f>
        <v>327</v>
      </c>
      <c r="E22" s="2404">
        <v>627</v>
      </c>
      <c r="F22" s="2405">
        <v>283</v>
      </c>
      <c r="G22" s="380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2789</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798"/>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798"/>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80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80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798"/>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798"/>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799"/>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797">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798"/>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798"/>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799"/>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797">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798"/>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798"/>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799"/>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80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80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80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80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797">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798"/>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798"/>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799"/>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797">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798">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798">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799">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797">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798">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798">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799">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797">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798">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798">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799">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797">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798">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798">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799">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797">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798">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798">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799">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797">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798">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798">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799">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797">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798">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798">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799">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797">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798">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798">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799">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797">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798">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798">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799">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797">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798">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798">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799">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30660</v>
      </c>
      <c r="C2" s="2" t="s">
        <v>133</v>
      </c>
      <c r="D2" s="204"/>
      <c r="E2" s="204"/>
      <c r="F2" s="204"/>
      <c r="G2" s="204"/>
    </row>
    <row r="3" spans="1:7" s="205" customFormat="1" ht="18" customHeight="1" thickBot="1">
      <c r="A3" s="208" t="s">
        <v>85</v>
      </c>
      <c r="B3" s="209">
        <f>ROUND(B2*10000/'数据-汇总表'!E3,0)</f>
        <v>448541</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14</v>
      </c>
      <c r="D10" s="952">
        <f>'数据-汇总表'!E6</f>
        <v>683.55</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14</v>
      </c>
      <c r="D19" s="956">
        <f>'数据-汇总表'!E3</f>
        <v>683.55</v>
      </c>
      <c r="E19" s="216">
        <f>'数据-取费表'!B31</f>
        <v>200</v>
      </c>
      <c r="F19" s="236"/>
      <c r="G19" s="1" t="s">
        <v>1042</v>
      </c>
    </row>
    <row r="20" spans="1:7" s="219" customFormat="1" ht="13.5" customHeight="1">
      <c r="A20" s="883" t="s">
        <v>1025</v>
      </c>
      <c r="B20" s="215" t="s">
        <v>104</v>
      </c>
      <c r="C20" s="237">
        <f>ROUND((C5+C19)*F20,0)</f>
        <v>309</v>
      </c>
      <c r="D20" s="237"/>
      <c r="E20" s="237"/>
      <c r="F20" s="238">
        <f>'数据-取费表'!B37</f>
        <v>1.4999999999999999E-2</v>
      </c>
      <c r="G20" s="1197" t="s">
        <v>1036</v>
      </c>
    </row>
    <row r="21" spans="1:7" s="219" customFormat="1" ht="13.5" customHeight="1">
      <c r="A21" s="883" t="s">
        <v>1027</v>
      </c>
      <c r="B21" s="215" t="s">
        <v>105</v>
      </c>
      <c r="C21" s="240">
        <f>F21</f>
        <v>1.4999999999999999E-2</v>
      </c>
      <c r="D21" s="241" t="s">
        <v>126</v>
      </c>
      <c r="E21" s="237"/>
      <c r="F21" s="238">
        <f>'数据-取费表'!B38</f>
        <v>1.4999999999999999E-2</v>
      </c>
      <c r="G21" s="239" t="s">
        <v>106</v>
      </c>
    </row>
    <row r="22" spans="1:7" s="219" customFormat="1" ht="13.5" customHeight="1">
      <c r="A22" s="883" t="s">
        <v>786</v>
      </c>
      <c r="B22" s="215" t="s">
        <v>107</v>
      </c>
      <c r="C22" s="1233">
        <f>ROUND(SUM(C23:C25),0)</f>
        <v>2020</v>
      </c>
      <c r="D22" s="240">
        <f>C26</f>
        <v>6.9999999999999999E-4</v>
      </c>
      <c r="E22" s="241" t="s">
        <v>126</v>
      </c>
      <c r="F22" s="242">
        <f>'数据-取费表'!B40</f>
        <v>4.7500000000000001E-2</v>
      </c>
      <c r="G22" s="1197" t="str">
        <f>IF('数据-取费表'!B22&lt;=1,"单利计息","复利计息")</f>
        <v>复利计息</v>
      </c>
    </row>
    <row r="23" spans="1:7" s="219" customFormat="1" ht="13.5" customHeight="1">
      <c r="A23" s="886" t="s">
        <v>794</v>
      </c>
      <c r="B23" s="220" t="s">
        <v>1029</v>
      </c>
      <c r="C23" s="1234">
        <f>ROUND(IF('数据-取费表'!B22&lt;=1,C5*F22*'数据-取费表'!B23,C5*(POWER((1+F22),'数据-取费表'!B23)-1)),0)</f>
        <v>2004</v>
      </c>
      <c r="D23" s="243"/>
      <c r="E23" s="243"/>
      <c r="F23" s="244"/>
      <c r="G23" s="245" t="s">
        <v>108</v>
      </c>
    </row>
    <row r="24" spans="1:7" s="219" customFormat="1" ht="13.5" customHeight="1">
      <c r="A24" s="886" t="s">
        <v>792</v>
      </c>
      <c r="B24" s="220" t="s">
        <v>1024</v>
      </c>
      <c r="C24" s="1234">
        <f>ROUND(IF('数据-取费表'!B22&lt;=1,C19*F22*('数据-取费表'!B19/2+'数据-取费表'!B21),C19*(POWER((1+F22),('数据-取费表'!B19/2+'数据-取费表'!B21))-1)),0)</f>
        <v>1</v>
      </c>
      <c r="D24" s="243"/>
      <c r="E24" s="243"/>
      <c r="F24" s="244"/>
      <c r="G24" s="245" t="s">
        <v>109</v>
      </c>
    </row>
    <row r="25" spans="1:7" s="219" customFormat="1" ht="24">
      <c r="A25" s="886" t="s">
        <v>793</v>
      </c>
      <c r="B25" s="220" t="s">
        <v>1026</v>
      </c>
      <c r="C25" s="1234">
        <f>ROUND(IF('数据-取费表'!B22&lt;=1,C20*F22*'数据-取费表'!B23/2,C20*(POWER((1+F22),'数据-取费表'!B23/2)-1)),0)</f>
        <v>15</v>
      </c>
      <c r="D25" s="243"/>
      <c r="E25" s="246"/>
      <c r="F25" s="244"/>
      <c r="G25" s="247" t="s">
        <v>110</v>
      </c>
    </row>
    <row r="26" spans="1:7" s="219" customFormat="1">
      <c r="A26" s="886" t="s">
        <v>795</v>
      </c>
      <c r="B26" s="220" t="s">
        <v>1028</v>
      </c>
      <c r="C26" s="243">
        <f>ROUND(IF('数据-取费表'!B22&lt;=1,F21*F22*'数据-取费表'!B23/2,F21*(POWER((1+F22),'数据-取费表'!B23/2)-1)),4)</f>
        <v>6.9999999999999999E-4</v>
      </c>
      <c r="D26" s="243"/>
      <c r="E26" s="246"/>
      <c r="F26" s="244"/>
      <c r="G26" s="248"/>
    </row>
    <row r="27" spans="1:7" s="219" customFormat="1" ht="24.75">
      <c r="A27" s="883" t="s">
        <v>787</v>
      </c>
      <c r="B27" s="249" t="s">
        <v>112</v>
      </c>
      <c r="C27" s="250">
        <f>C28</f>
        <v>5233</v>
      </c>
      <c r="D27" s="240">
        <f>C29</f>
        <v>3.8E-3</v>
      </c>
      <c r="E27" s="241" t="s">
        <v>126</v>
      </c>
      <c r="F27" s="251">
        <f>'数据-取费表'!Q16</f>
        <v>0.25</v>
      </c>
      <c r="G27" s="252" t="s">
        <v>1037</v>
      </c>
    </row>
    <row r="28" spans="1:7" s="219" customFormat="1" ht="13.5" customHeight="1">
      <c r="A28" s="886" t="s">
        <v>794</v>
      </c>
      <c r="B28" s="253" t="s">
        <v>1030</v>
      </c>
      <c r="C28" s="254">
        <f>ROUND((C5+C19+C20)*F27*'数据-取费表'!B21/'数据-取费表'!B20,0)</f>
        <v>5233</v>
      </c>
      <c r="D28" s="240"/>
      <c r="E28" s="241"/>
      <c r="F28" s="251"/>
      <c r="G28" s="252"/>
    </row>
    <row r="29" spans="1:7" s="219" customFormat="1" ht="13.5" customHeight="1">
      <c r="A29" s="886" t="s">
        <v>792</v>
      </c>
      <c r="B29" s="253" t="s">
        <v>1031</v>
      </c>
      <c r="C29" s="243">
        <f>ROUND(C21*F27*'数据-取费表'!B21/'数据-取费表'!B20,4)</f>
        <v>3.8E-3</v>
      </c>
      <c r="D29" s="240"/>
      <c r="E29" s="241"/>
      <c r="F29" s="251"/>
      <c r="G29" s="252"/>
    </row>
    <row r="30" spans="1:7" s="219" customFormat="1" ht="13.5" customHeight="1">
      <c r="A30" s="883"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30369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228</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205</v>
      </c>
      <c r="D34" s="222"/>
      <c r="E34" s="225"/>
      <c r="F34" s="262">
        <f>IF('数据-取费表'!B24=0,1,'数据-取费表'!N16)</f>
        <v>1</v>
      </c>
      <c r="G34" s="224" t="s">
        <v>116</v>
      </c>
    </row>
    <row r="35" spans="1:7" ht="13.5" customHeight="1">
      <c r="A35" s="886" t="s">
        <v>796</v>
      </c>
      <c r="B35" s="220" t="s">
        <v>60</v>
      </c>
      <c r="C35" s="225">
        <f>ROUND(C34*F35,0)</f>
        <v>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14</v>
      </c>
      <c r="D37" s="222">
        <f>'数据-汇总表'!E3</f>
        <v>683.55</v>
      </c>
      <c r="E37" s="254">
        <f>'数据-取费表'!B35</f>
        <v>200</v>
      </c>
      <c r="F37" s="264"/>
      <c r="G37" s="266" t="s">
        <v>119</v>
      </c>
    </row>
    <row r="38" spans="1:7" ht="13.5" customHeight="1">
      <c r="A38" s="886" t="s">
        <v>799</v>
      </c>
      <c r="B38" s="220" t="s">
        <v>63</v>
      </c>
      <c r="C38" s="225">
        <f>ROUND(C34*F38,0)</f>
        <v>3</v>
      </c>
      <c r="D38" s="225"/>
      <c r="E38" s="225"/>
      <c r="F38" s="264">
        <f>'数据-取费表'!B36</f>
        <v>1.4999999999999999E-2</v>
      </c>
      <c r="G38" s="224" t="s">
        <v>117</v>
      </c>
    </row>
    <row r="39" spans="1:7" s="219" customFormat="1" ht="13.5" customHeight="1">
      <c r="A39" s="883" t="s">
        <v>783</v>
      </c>
      <c r="B39" s="215" t="s">
        <v>104</v>
      </c>
      <c r="C39" s="237">
        <f>ROUND(C33*F20,0)</f>
        <v>3</v>
      </c>
      <c r="D39" s="237"/>
      <c r="E39" s="237"/>
      <c r="F39" s="238"/>
      <c r="G39" s="1197" t="s">
        <v>1039</v>
      </c>
    </row>
    <row r="40" spans="1:7" s="219" customFormat="1" ht="13.5" customHeight="1">
      <c r="A40" s="883" t="s">
        <v>784</v>
      </c>
      <c r="B40" s="215" t="s">
        <v>105</v>
      </c>
      <c r="C40" s="267">
        <f>F21</f>
        <v>1.4999999999999999E-2</v>
      </c>
      <c r="D40" s="241" t="s">
        <v>129</v>
      </c>
      <c r="E40" s="237"/>
      <c r="F40" s="238"/>
      <c r="G40" s="239" t="s">
        <v>120</v>
      </c>
    </row>
    <row r="41" spans="1:7" s="219" customFormat="1" ht="13.5" customHeight="1">
      <c r="A41" s="883" t="s">
        <v>785</v>
      </c>
      <c r="B41" s="215" t="s">
        <v>107</v>
      </c>
      <c r="C41" s="237">
        <f>ROUND(SUM(C42:C43),0)</f>
        <v>11</v>
      </c>
      <c r="D41" s="240">
        <f>C44</f>
        <v>6.9999999999999999E-4</v>
      </c>
      <c r="E41" s="241" t="s">
        <v>129</v>
      </c>
      <c r="F41" s="242"/>
      <c r="G41" s="1197" t="str">
        <f>IF('数据-取费表'!B22&lt;=1,"单利计息","复利计息")</f>
        <v>复利计息</v>
      </c>
    </row>
    <row r="42" spans="1:7" ht="13.5" customHeight="1">
      <c r="A42" s="886" t="s">
        <v>794</v>
      </c>
      <c r="B42" s="220" t="s">
        <v>1029</v>
      </c>
      <c r="C42" s="243">
        <f>ROUND(IF('数据-取费表'!B22&lt;=1,C33*F22*'数据-取费表'!B21/2,C33*(POWER((1+F22),'数据-取费表'!B21/2)-1)),0)</f>
        <v>11</v>
      </c>
      <c r="D42" s="243"/>
      <c r="E42" s="243"/>
      <c r="F42" s="244"/>
      <c r="G42" s="3713" t="s">
        <v>121</v>
      </c>
    </row>
    <row r="43" spans="1:7" ht="13.5" customHeight="1">
      <c r="A43" s="886" t="s">
        <v>792</v>
      </c>
      <c r="B43" s="220" t="s">
        <v>1032</v>
      </c>
      <c r="C43" s="243">
        <f>ROUND(IF('数据-取费表'!B22&lt;=1,C39*F22*'数据-取费表'!B21/2,C39*(POWER((1+F22),'数据-取费表'!B21/2)-1)),0)</f>
        <v>0</v>
      </c>
      <c r="D43" s="243"/>
      <c r="E43" s="243"/>
      <c r="F43" s="244"/>
      <c r="G43" s="3714"/>
    </row>
    <row r="44" spans="1:7" ht="13.5" customHeight="1">
      <c r="A44" s="886" t="s">
        <v>793</v>
      </c>
      <c r="B44" s="220" t="s">
        <v>1034</v>
      </c>
      <c r="C44" s="243">
        <f>ROUND(IF('数据-取费表'!B22&lt;=1,C40*F22*'数据-取费表'!B21/2,C40*(POWER((1+F22),'数据-取费表'!B21/2)-1)),4)</f>
        <v>6.9999999999999999E-4</v>
      </c>
      <c r="D44" s="243"/>
      <c r="E44" s="243"/>
      <c r="F44" s="244"/>
      <c r="G44" s="3715"/>
    </row>
    <row r="45" spans="1:7" s="219" customFormat="1" ht="13.5" customHeight="1">
      <c r="A45" s="883" t="s">
        <v>786</v>
      </c>
      <c r="B45" s="249" t="s">
        <v>112</v>
      </c>
      <c r="C45" s="250">
        <f>C46</f>
        <v>58</v>
      </c>
      <c r="D45" s="240">
        <f>C47</f>
        <v>3.8E-3</v>
      </c>
      <c r="E45" s="241" t="s">
        <v>129</v>
      </c>
      <c r="F45" s="251"/>
      <c r="G45" s="252" t="s">
        <v>1040</v>
      </c>
    </row>
    <row r="46" spans="1:7" s="219" customFormat="1" ht="13.5" customHeight="1">
      <c r="A46" s="886" t="s">
        <v>794</v>
      </c>
      <c r="B46" s="253" t="s">
        <v>1033</v>
      </c>
      <c r="C46" s="254">
        <f>ROUND((C33+C39)*F27,0)</f>
        <v>58</v>
      </c>
      <c r="D46" s="268"/>
      <c r="E46" s="241"/>
      <c r="F46" s="251"/>
      <c r="G46" s="252"/>
    </row>
    <row r="47" spans="1:7" s="219" customFormat="1" ht="13.5" customHeight="1">
      <c r="A47" s="886" t="s">
        <v>792</v>
      </c>
      <c r="B47" s="253" t="s">
        <v>1035</v>
      </c>
      <c r="C47" s="243">
        <f>ROUND(C40*F27,4)</f>
        <v>3.8E-3</v>
      </c>
      <c r="D47" s="268"/>
      <c r="E47" s="241"/>
      <c r="F47" s="251"/>
      <c r="G47" s="252"/>
    </row>
    <row r="48" spans="1:7" s="219" customFormat="1" ht="13.5" customHeight="1">
      <c r="A48" s="883" t="s">
        <v>787</v>
      </c>
      <c r="B48" s="215" t="s">
        <v>122</v>
      </c>
      <c r="C48" s="267">
        <f>F30</f>
        <v>5.5000000000000007E-2</v>
      </c>
      <c r="D48" s="241" t="s">
        <v>130</v>
      </c>
      <c r="E48" s="237"/>
      <c r="F48" s="242"/>
      <c r="G48" s="239" t="s">
        <v>123</v>
      </c>
    </row>
    <row r="49" spans="1:7" ht="16.5" customHeight="1">
      <c r="A49" s="883" t="s">
        <v>788</v>
      </c>
      <c r="B49" s="215" t="s">
        <v>131</v>
      </c>
      <c r="C49" s="237">
        <f>ROUND((C33+C39+C41+C45)/(1-C40-D41-D45-C48/(1+'数据-取费表'!B42)),0)</f>
        <v>323</v>
      </c>
      <c r="D49" s="237"/>
      <c r="E49" s="237"/>
      <c r="F49" s="269"/>
      <c r="G49" s="239" t="s">
        <v>1041</v>
      </c>
    </row>
    <row r="50" spans="1:7" s="263" customFormat="1" ht="24">
      <c r="A50" s="883" t="s">
        <v>789</v>
      </c>
      <c r="B50" s="215" t="s">
        <v>124</v>
      </c>
      <c r="C50" s="237"/>
      <c r="D50" s="237"/>
      <c r="E50" s="237"/>
      <c r="F50" s="269">
        <f>IF('数据-取费表'!B24=0,'数据-取费表'!N16,1)</f>
        <v>0.9</v>
      </c>
      <c r="G50" s="252" t="s">
        <v>125</v>
      </c>
    </row>
    <row r="51" spans="1:7" ht="16.5" customHeight="1">
      <c r="A51" s="883" t="s">
        <v>790</v>
      </c>
      <c r="B51" s="215" t="s">
        <v>132</v>
      </c>
      <c r="C51" s="237">
        <f>ROUND(C49*F50,0)</f>
        <v>291</v>
      </c>
      <c r="D51" s="237"/>
      <c r="E51" s="237"/>
      <c r="F51" s="269"/>
      <c r="G51" s="239" t="s">
        <v>64</v>
      </c>
    </row>
    <row r="52" spans="1:7" s="213" customFormat="1" ht="16.5" thickBot="1">
      <c r="A52" s="270" t="s">
        <v>65</v>
      </c>
      <c r="B52" s="271"/>
      <c r="C52" s="272">
        <f>C31+C51</f>
        <v>30660</v>
      </c>
      <c r="D52" s="271"/>
      <c r="E52" s="271"/>
      <c r="F52" s="271"/>
      <c r="G52" s="273"/>
    </row>
    <row r="55" spans="1:7" ht="15">
      <c r="B55" s="275" t="s">
        <v>66</v>
      </c>
      <c r="C55" s="276"/>
    </row>
    <row r="56" spans="1:7">
      <c r="B56" s="278" t="s">
        <v>67</v>
      </c>
      <c r="C56" s="279">
        <f>ROUND(C51/C52,3)</f>
        <v>8.9999999999999993E-3</v>
      </c>
    </row>
    <row r="57" spans="1:7">
      <c r="B57" s="278" t="s">
        <v>68</v>
      </c>
      <c r="C57" s="280">
        <f>1-C56</f>
        <v>0.99099999999999999</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25"/>
  <cols>
    <col min="1" max="1" width="12.625" style="792" customWidth="1"/>
    <col min="2" max="5" width="10.125" style="750" customWidth="1"/>
    <col min="6" max="6" width="9" style="750"/>
    <col min="7" max="8" width="9" style="765"/>
    <col min="9" max="16384" width="9" style="750"/>
  </cols>
  <sheetData>
    <row r="1" spans="1:19">
      <c r="A1" s="3808" t="s">
        <v>156</v>
      </c>
      <c r="B1" s="3808"/>
      <c r="C1" s="3808"/>
      <c r="D1" s="3808"/>
      <c r="E1" s="3808"/>
      <c r="F1" s="3808"/>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809" t="s">
        <v>169</v>
      </c>
      <c r="B2" s="3809"/>
      <c r="C2" s="3809"/>
      <c r="D2" s="3809"/>
      <c r="E2" s="3809"/>
      <c r="F2" s="3809"/>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810"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811"/>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ColWidth="8.875" defaultRowHeight="14.25"/>
  <cols>
    <col min="1" max="1" width="12.625" style="792" customWidth="1"/>
    <col min="2" max="2" width="10.125" style="750" customWidth="1"/>
  </cols>
  <sheetData>
    <row r="1" spans="1:6">
      <c r="A1" s="3808" t="s">
        <v>839</v>
      </c>
      <c r="B1" s="3808"/>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75" thickBot="1">
      <c r="A72" s="777" t="s">
        <v>137</v>
      </c>
      <c r="B72" s="771" t="s">
        <v>853</v>
      </c>
      <c r="C72" s="989"/>
      <c r="D72" s="989"/>
      <c r="E72" s="989"/>
      <c r="F72" s="977">
        <v>0.05</v>
      </c>
    </row>
    <row r="73" spans="1:6" ht="24.75" thickBot="1">
      <c r="A73" s="777" t="s">
        <v>137</v>
      </c>
      <c r="B73" s="771" t="s">
        <v>854</v>
      </c>
      <c r="C73" s="989"/>
      <c r="D73" s="989"/>
      <c r="E73" s="989"/>
      <c r="F73" s="977">
        <v>0.05</v>
      </c>
    </row>
    <row r="74" spans="1:6" ht="24.75" thickBot="1">
      <c r="A74" s="777" t="s">
        <v>137</v>
      </c>
      <c r="B74" s="771" t="s">
        <v>855</v>
      </c>
      <c r="C74" s="989"/>
      <c r="D74" s="989"/>
      <c r="E74" s="989"/>
      <c r="F74" s="977">
        <v>0.05</v>
      </c>
    </row>
    <row r="75" spans="1:6" ht="24.75"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7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15" thickBot="1">
      <c r="A105" s="777" t="s">
        <v>523</v>
      </c>
      <c r="B105" s="771" t="s">
        <v>861</v>
      </c>
      <c r="C105" s="989"/>
      <c r="D105" s="989"/>
      <c r="E105" s="989"/>
      <c r="F105" s="977">
        <v>0.05</v>
      </c>
    </row>
    <row r="106" spans="1:6" ht="1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5"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7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ColWidth="8.875" defaultRowHeight="14.25"/>
  <cols>
    <col min="1" max="1" width="4.875" style="1379" customWidth="1"/>
    <col min="2" max="2" width="13.125" style="1385" customWidth="1"/>
    <col min="3" max="3" width="15.625" style="1385" customWidth="1"/>
    <col min="4" max="4" width="9.375" style="1385" bestFit="1" customWidth="1"/>
    <col min="5" max="5" width="13.5" style="1385" customWidth="1"/>
    <col min="6" max="6" width="8.875" style="1385"/>
    <col min="7" max="7" width="9.375" style="1385" bestFit="1" customWidth="1"/>
    <col min="8" max="8" width="12.125" style="1385" customWidth="1"/>
    <col min="9" max="9" width="8.875" style="1385"/>
    <col min="10" max="10" width="9.375" style="1385" bestFit="1" customWidth="1"/>
    <col min="11" max="11" width="4" style="1379" customWidth="1"/>
    <col min="12" max="12" width="5.125" style="1385" customWidth="1"/>
    <col min="13" max="13" width="13.625" style="1385" customWidth="1"/>
    <col min="14" max="256" width="8.875" style="1385"/>
    <col min="257" max="257" width="4.875" style="1376" customWidth="1"/>
    <col min="258" max="258" width="13.125" style="1376" customWidth="1"/>
    <col min="259" max="259" width="15.625" style="1376" customWidth="1"/>
    <col min="260" max="260" width="9.375" style="1376" bestFit="1" customWidth="1"/>
    <col min="261" max="261" width="13.5" style="1376" customWidth="1"/>
    <col min="262" max="262" width="8.875" style="1376"/>
    <col min="263" max="263" width="9.375" style="1376" bestFit="1" customWidth="1"/>
    <col min="264" max="265" width="8.875" style="1376"/>
    <col min="266" max="266" width="9.375" style="1376" bestFit="1" customWidth="1"/>
    <col min="267" max="267" width="4" style="1376" customWidth="1"/>
    <col min="268" max="268" width="5.125" style="1376" customWidth="1"/>
    <col min="269" max="269" width="13.625" style="1376" customWidth="1"/>
    <col min="270" max="512" width="8.875" style="1376"/>
    <col min="513" max="513" width="4.875" style="1376" customWidth="1"/>
    <col min="514" max="514" width="13.125" style="1376" customWidth="1"/>
    <col min="515" max="515" width="15.625" style="1376" customWidth="1"/>
    <col min="516" max="516" width="9.375" style="1376" bestFit="1" customWidth="1"/>
    <col min="517" max="517" width="13.5" style="1376" customWidth="1"/>
    <col min="518" max="518" width="8.875" style="1376"/>
    <col min="519" max="519" width="9.375" style="1376" bestFit="1" customWidth="1"/>
    <col min="520" max="521" width="8.875" style="1376"/>
    <col min="522" max="522" width="9.375" style="1376" bestFit="1" customWidth="1"/>
    <col min="523" max="523" width="4" style="1376" customWidth="1"/>
    <col min="524" max="524" width="5.125" style="1376" customWidth="1"/>
    <col min="525" max="525" width="13.625" style="1376" customWidth="1"/>
    <col min="526" max="768" width="8.875" style="1376"/>
    <col min="769" max="769" width="4.875" style="1376" customWidth="1"/>
    <col min="770" max="770" width="13.125" style="1376" customWidth="1"/>
    <col min="771" max="771" width="15.625" style="1376" customWidth="1"/>
    <col min="772" max="772" width="9.375" style="1376" bestFit="1" customWidth="1"/>
    <col min="773" max="773" width="13.5" style="1376" customWidth="1"/>
    <col min="774" max="774" width="8.875" style="1376"/>
    <col min="775" max="775" width="9.375" style="1376" bestFit="1" customWidth="1"/>
    <col min="776" max="777" width="8.875" style="1376"/>
    <col min="778" max="778" width="9.375" style="1376" bestFit="1" customWidth="1"/>
    <col min="779" max="779" width="4" style="1376" customWidth="1"/>
    <col min="780" max="780" width="5.125" style="1376" customWidth="1"/>
    <col min="781" max="781" width="13.625" style="1376" customWidth="1"/>
    <col min="782" max="1024" width="8.875" style="1376"/>
    <col min="1025" max="1025" width="4.875" style="1376" customWidth="1"/>
    <col min="1026" max="1026" width="13.125" style="1376" customWidth="1"/>
    <col min="1027" max="1027" width="15.625" style="1376" customWidth="1"/>
    <col min="1028" max="1028" width="9.375" style="1376" bestFit="1" customWidth="1"/>
    <col min="1029" max="1029" width="13.5" style="1376" customWidth="1"/>
    <col min="1030" max="1030" width="8.875" style="1376"/>
    <col min="1031" max="1031" width="9.375" style="1376" bestFit="1" customWidth="1"/>
    <col min="1032" max="1033" width="8.875" style="1376"/>
    <col min="1034" max="1034" width="9.375" style="1376" bestFit="1" customWidth="1"/>
    <col min="1035" max="1035" width="4" style="1376" customWidth="1"/>
    <col min="1036" max="1036" width="5.125" style="1376" customWidth="1"/>
    <col min="1037" max="1037" width="13.625" style="1376" customWidth="1"/>
    <col min="1038" max="1280" width="8.875" style="1376"/>
    <col min="1281" max="1281" width="4.875" style="1376" customWidth="1"/>
    <col min="1282" max="1282" width="13.125" style="1376" customWidth="1"/>
    <col min="1283" max="1283" width="15.625" style="1376" customWidth="1"/>
    <col min="1284" max="1284" width="9.375" style="1376" bestFit="1" customWidth="1"/>
    <col min="1285" max="1285" width="13.5" style="1376" customWidth="1"/>
    <col min="1286" max="1286" width="8.875" style="1376"/>
    <col min="1287" max="1287" width="9.375" style="1376" bestFit="1" customWidth="1"/>
    <col min="1288" max="1289" width="8.875" style="1376"/>
    <col min="1290" max="1290" width="9.375" style="1376" bestFit="1" customWidth="1"/>
    <col min="1291" max="1291" width="4" style="1376" customWidth="1"/>
    <col min="1292" max="1292" width="5.125" style="1376" customWidth="1"/>
    <col min="1293" max="1293" width="13.625" style="1376" customWidth="1"/>
    <col min="1294" max="1536" width="8.875" style="1376"/>
    <col min="1537" max="1537" width="4.875" style="1376" customWidth="1"/>
    <col min="1538" max="1538" width="13.125" style="1376" customWidth="1"/>
    <col min="1539" max="1539" width="15.625" style="1376" customWidth="1"/>
    <col min="1540" max="1540" width="9.375" style="1376" bestFit="1" customWidth="1"/>
    <col min="1541" max="1541" width="13.5" style="1376" customWidth="1"/>
    <col min="1542" max="1542" width="8.875" style="1376"/>
    <col min="1543" max="1543" width="9.375" style="1376" bestFit="1" customWidth="1"/>
    <col min="1544" max="1545" width="8.875" style="1376"/>
    <col min="1546" max="1546" width="9.375" style="1376" bestFit="1" customWidth="1"/>
    <col min="1547" max="1547" width="4" style="1376" customWidth="1"/>
    <col min="1548" max="1548" width="5.125" style="1376" customWidth="1"/>
    <col min="1549" max="1549" width="13.625" style="1376" customWidth="1"/>
    <col min="1550" max="1792" width="8.875" style="1376"/>
    <col min="1793" max="1793" width="4.875" style="1376" customWidth="1"/>
    <col min="1794" max="1794" width="13.125" style="1376" customWidth="1"/>
    <col min="1795" max="1795" width="15.625" style="1376" customWidth="1"/>
    <col min="1796" max="1796" width="9.375" style="1376" bestFit="1" customWidth="1"/>
    <col min="1797" max="1797" width="13.5" style="1376" customWidth="1"/>
    <col min="1798" max="1798" width="8.875" style="1376"/>
    <col min="1799" max="1799" width="9.375" style="1376" bestFit="1" customWidth="1"/>
    <col min="1800" max="1801" width="8.875" style="1376"/>
    <col min="1802" max="1802" width="9.375" style="1376" bestFit="1" customWidth="1"/>
    <col min="1803" max="1803" width="4" style="1376" customWidth="1"/>
    <col min="1804" max="1804" width="5.125" style="1376" customWidth="1"/>
    <col min="1805" max="1805" width="13.625" style="1376" customWidth="1"/>
    <col min="1806" max="2048" width="8.875" style="1376"/>
    <col min="2049" max="2049" width="4.875" style="1376" customWidth="1"/>
    <col min="2050" max="2050" width="13.125" style="1376" customWidth="1"/>
    <col min="2051" max="2051" width="15.625" style="1376" customWidth="1"/>
    <col min="2052" max="2052" width="9.375" style="1376" bestFit="1" customWidth="1"/>
    <col min="2053" max="2053" width="13.5" style="1376" customWidth="1"/>
    <col min="2054" max="2054" width="8.875" style="1376"/>
    <col min="2055" max="2055" width="9.375" style="1376" bestFit="1" customWidth="1"/>
    <col min="2056" max="2057" width="8.875" style="1376"/>
    <col min="2058" max="2058" width="9.375" style="1376" bestFit="1" customWidth="1"/>
    <col min="2059" max="2059" width="4" style="1376" customWidth="1"/>
    <col min="2060" max="2060" width="5.125" style="1376" customWidth="1"/>
    <col min="2061" max="2061" width="13.625" style="1376" customWidth="1"/>
    <col min="2062" max="2304" width="8.875" style="1376"/>
    <col min="2305" max="2305" width="4.875" style="1376" customWidth="1"/>
    <col min="2306" max="2306" width="13.125" style="1376" customWidth="1"/>
    <col min="2307" max="2307" width="15.625" style="1376" customWidth="1"/>
    <col min="2308" max="2308" width="9.375" style="1376" bestFit="1" customWidth="1"/>
    <col min="2309" max="2309" width="13.5" style="1376" customWidth="1"/>
    <col min="2310" max="2310" width="8.875" style="1376"/>
    <col min="2311" max="2311" width="9.375" style="1376" bestFit="1" customWidth="1"/>
    <col min="2312" max="2313" width="8.875" style="1376"/>
    <col min="2314" max="2314" width="9.375" style="1376" bestFit="1" customWidth="1"/>
    <col min="2315" max="2315" width="4" style="1376" customWidth="1"/>
    <col min="2316" max="2316" width="5.125" style="1376" customWidth="1"/>
    <col min="2317" max="2317" width="13.625" style="1376" customWidth="1"/>
    <col min="2318" max="2560" width="8.875" style="1376"/>
    <col min="2561" max="2561" width="4.875" style="1376" customWidth="1"/>
    <col min="2562" max="2562" width="13.125" style="1376" customWidth="1"/>
    <col min="2563" max="2563" width="15.625" style="1376" customWidth="1"/>
    <col min="2564" max="2564" width="9.375" style="1376" bestFit="1" customWidth="1"/>
    <col min="2565" max="2565" width="13.5" style="1376" customWidth="1"/>
    <col min="2566" max="2566" width="8.875" style="1376"/>
    <col min="2567" max="2567" width="9.375" style="1376" bestFit="1" customWidth="1"/>
    <col min="2568" max="2569" width="8.875" style="1376"/>
    <col min="2570" max="2570" width="9.375" style="1376" bestFit="1" customWidth="1"/>
    <col min="2571" max="2571" width="4" style="1376" customWidth="1"/>
    <col min="2572" max="2572" width="5.125" style="1376" customWidth="1"/>
    <col min="2573" max="2573" width="13.625" style="1376" customWidth="1"/>
    <col min="2574" max="2816" width="8.875" style="1376"/>
    <col min="2817" max="2817" width="4.875" style="1376" customWidth="1"/>
    <col min="2818" max="2818" width="13.125" style="1376" customWidth="1"/>
    <col min="2819" max="2819" width="15.625" style="1376" customWidth="1"/>
    <col min="2820" max="2820" width="9.375" style="1376" bestFit="1" customWidth="1"/>
    <col min="2821" max="2821" width="13.5" style="1376" customWidth="1"/>
    <col min="2822" max="2822" width="8.875" style="1376"/>
    <col min="2823" max="2823" width="9.375" style="1376" bestFit="1" customWidth="1"/>
    <col min="2824" max="2825" width="8.875" style="1376"/>
    <col min="2826" max="2826" width="9.375" style="1376" bestFit="1" customWidth="1"/>
    <col min="2827" max="2827" width="4" style="1376" customWidth="1"/>
    <col min="2828" max="2828" width="5.125" style="1376" customWidth="1"/>
    <col min="2829" max="2829" width="13.625" style="1376" customWidth="1"/>
    <col min="2830" max="3072" width="8.875" style="1376"/>
    <col min="3073" max="3073" width="4.875" style="1376" customWidth="1"/>
    <col min="3074" max="3074" width="13.125" style="1376" customWidth="1"/>
    <col min="3075" max="3075" width="15.625" style="1376" customWidth="1"/>
    <col min="3076" max="3076" width="9.375" style="1376" bestFit="1" customWidth="1"/>
    <col min="3077" max="3077" width="13.5" style="1376" customWidth="1"/>
    <col min="3078" max="3078" width="8.875" style="1376"/>
    <col min="3079" max="3079" width="9.375" style="1376" bestFit="1" customWidth="1"/>
    <col min="3080" max="3081" width="8.875" style="1376"/>
    <col min="3082" max="3082" width="9.375" style="1376" bestFit="1" customWidth="1"/>
    <col min="3083" max="3083" width="4" style="1376" customWidth="1"/>
    <col min="3084" max="3084" width="5.125" style="1376" customWidth="1"/>
    <col min="3085" max="3085" width="13.625" style="1376" customWidth="1"/>
    <col min="3086" max="3328" width="8.875" style="1376"/>
    <col min="3329" max="3329" width="4.875" style="1376" customWidth="1"/>
    <col min="3330" max="3330" width="13.125" style="1376" customWidth="1"/>
    <col min="3331" max="3331" width="15.625" style="1376" customWidth="1"/>
    <col min="3332" max="3332" width="9.375" style="1376" bestFit="1" customWidth="1"/>
    <col min="3333" max="3333" width="13.5" style="1376" customWidth="1"/>
    <col min="3334" max="3334" width="8.875" style="1376"/>
    <col min="3335" max="3335" width="9.375" style="1376" bestFit="1" customWidth="1"/>
    <col min="3336" max="3337" width="8.875" style="1376"/>
    <col min="3338" max="3338" width="9.375" style="1376" bestFit="1" customWidth="1"/>
    <col min="3339" max="3339" width="4" style="1376" customWidth="1"/>
    <col min="3340" max="3340" width="5.125" style="1376" customWidth="1"/>
    <col min="3341" max="3341" width="13.625" style="1376" customWidth="1"/>
    <col min="3342" max="3584" width="8.875" style="1376"/>
    <col min="3585" max="3585" width="4.875" style="1376" customWidth="1"/>
    <col min="3586" max="3586" width="13.125" style="1376" customWidth="1"/>
    <col min="3587" max="3587" width="15.625" style="1376" customWidth="1"/>
    <col min="3588" max="3588" width="9.375" style="1376" bestFit="1" customWidth="1"/>
    <col min="3589" max="3589" width="13.5" style="1376" customWidth="1"/>
    <col min="3590" max="3590" width="8.875" style="1376"/>
    <col min="3591" max="3591" width="9.375" style="1376" bestFit="1" customWidth="1"/>
    <col min="3592" max="3593" width="8.875" style="1376"/>
    <col min="3594" max="3594" width="9.375" style="1376" bestFit="1" customWidth="1"/>
    <col min="3595" max="3595" width="4" style="1376" customWidth="1"/>
    <col min="3596" max="3596" width="5.125" style="1376" customWidth="1"/>
    <col min="3597" max="3597" width="13.625" style="1376" customWidth="1"/>
    <col min="3598" max="3840" width="8.875" style="1376"/>
    <col min="3841" max="3841" width="4.875" style="1376" customWidth="1"/>
    <col min="3842" max="3842" width="13.125" style="1376" customWidth="1"/>
    <col min="3843" max="3843" width="15.625" style="1376" customWidth="1"/>
    <col min="3844" max="3844" width="9.375" style="1376" bestFit="1" customWidth="1"/>
    <col min="3845" max="3845" width="13.5" style="1376" customWidth="1"/>
    <col min="3846" max="3846" width="8.875" style="1376"/>
    <col min="3847" max="3847" width="9.375" style="1376" bestFit="1" customWidth="1"/>
    <col min="3848" max="3849" width="8.875" style="1376"/>
    <col min="3850" max="3850" width="9.375" style="1376" bestFit="1" customWidth="1"/>
    <col min="3851" max="3851" width="4" style="1376" customWidth="1"/>
    <col min="3852" max="3852" width="5.125" style="1376" customWidth="1"/>
    <col min="3853" max="3853" width="13.625" style="1376" customWidth="1"/>
    <col min="3854" max="4096" width="8.875" style="1376"/>
    <col min="4097" max="4097" width="4.875" style="1376" customWidth="1"/>
    <col min="4098" max="4098" width="13.125" style="1376" customWidth="1"/>
    <col min="4099" max="4099" width="15.625" style="1376" customWidth="1"/>
    <col min="4100" max="4100" width="9.375" style="1376" bestFit="1" customWidth="1"/>
    <col min="4101" max="4101" width="13.5" style="1376" customWidth="1"/>
    <col min="4102" max="4102" width="8.875" style="1376"/>
    <col min="4103" max="4103" width="9.375" style="1376" bestFit="1" customWidth="1"/>
    <col min="4104" max="4105" width="8.875" style="1376"/>
    <col min="4106" max="4106" width="9.375" style="1376" bestFit="1" customWidth="1"/>
    <col min="4107" max="4107" width="4" style="1376" customWidth="1"/>
    <col min="4108" max="4108" width="5.125" style="1376" customWidth="1"/>
    <col min="4109" max="4109" width="13.625" style="1376" customWidth="1"/>
    <col min="4110" max="4352" width="8.875" style="1376"/>
    <col min="4353" max="4353" width="4.875" style="1376" customWidth="1"/>
    <col min="4354" max="4354" width="13.125" style="1376" customWidth="1"/>
    <col min="4355" max="4355" width="15.625" style="1376" customWidth="1"/>
    <col min="4356" max="4356" width="9.375" style="1376" bestFit="1" customWidth="1"/>
    <col min="4357" max="4357" width="13.5" style="1376" customWidth="1"/>
    <col min="4358" max="4358" width="8.875" style="1376"/>
    <col min="4359" max="4359" width="9.375" style="1376" bestFit="1" customWidth="1"/>
    <col min="4360" max="4361" width="8.875" style="1376"/>
    <col min="4362" max="4362" width="9.375" style="1376" bestFit="1" customWidth="1"/>
    <col min="4363" max="4363" width="4" style="1376" customWidth="1"/>
    <col min="4364" max="4364" width="5.125" style="1376" customWidth="1"/>
    <col min="4365" max="4365" width="13.625" style="1376" customWidth="1"/>
    <col min="4366" max="4608" width="8.875" style="1376"/>
    <col min="4609" max="4609" width="4.875" style="1376" customWidth="1"/>
    <col min="4610" max="4610" width="13.125" style="1376" customWidth="1"/>
    <col min="4611" max="4611" width="15.625" style="1376" customWidth="1"/>
    <col min="4612" max="4612" width="9.375" style="1376" bestFit="1" customWidth="1"/>
    <col min="4613" max="4613" width="13.5" style="1376" customWidth="1"/>
    <col min="4614" max="4614" width="8.875" style="1376"/>
    <col min="4615" max="4615" width="9.375" style="1376" bestFit="1" customWidth="1"/>
    <col min="4616" max="4617" width="8.875" style="1376"/>
    <col min="4618" max="4618" width="9.375" style="1376" bestFit="1" customWidth="1"/>
    <col min="4619" max="4619" width="4" style="1376" customWidth="1"/>
    <col min="4620" max="4620" width="5.125" style="1376" customWidth="1"/>
    <col min="4621" max="4621" width="13.625" style="1376" customWidth="1"/>
    <col min="4622" max="4864" width="8.875" style="1376"/>
    <col min="4865" max="4865" width="4.875" style="1376" customWidth="1"/>
    <col min="4866" max="4866" width="13.125" style="1376" customWidth="1"/>
    <col min="4867" max="4867" width="15.625" style="1376" customWidth="1"/>
    <col min="4868" max="4868" width="9.375" style="1376" bestFit="1" customWidth="1"/>
    <col min="4869" max="4869" width="13.5" style="1376" customWidth="1"/>
    <col min="4870" max="4870" width="8.875" style="1376"/>
    <col min="4871" max="4871" width="9.375" style="1376" bestFit="1" customWidth="1"/>
    <col min="4872" max="4873" width="8.875" style="1376"/>
    <col min="4874" max="4874" width="9.375" style="1376" bestFit="1" customWidth="1"/>
    <col min="4875" max="4875" width="4" style="1376" customWidth="1"/>
    <col min="4876" max="4876" width="5.125" style="1376" customWidth="1"/>
    <col min="4877" max="4877" width="13.625" style="1376" customWidth="1"/>
    <col min="4878" max="5120" width="8.875" style="1376"/>
    <col min="5121" max="5121" width="4.875" style="1376" customWidth="1"/>
    <col min="5122" max="5122" width="13.125" style="1376" customWidth="1"/>
    <col min="5123" max="5123" width="15.625" style="1376" customWidth="1"/>
    <col min="5124" max="5124" width="9.375" style="1376" bestFit="1" customWidth="1"/>
    <col min="5125" max="5125" width="13.5" style="1376" customWidth="1"/>
    <col min="5126" max="5126" width="8.875" style="1376"/>
    <col min="5127" max="5127" width="9.375" style="1376" bestFit="1" customWidth="1"/>
    <col min="5128" max="5129" width="8.875" style="1376"/>
    <col min="5130" max="5130" width="9.375" style="1376" bestFit="1" customWidth="1"/>
    <col min="5131" max="5131" width="4" style="1376" customWidth="1"/>
    <col min="5132" max="5132" width="5.125" style="1376" customWidth="1"/>
    <col min="5133" max="5133" width="13.625" style="1376" customWidth="1"/>
    <col min="5134" max="5376" width="8.875" style="1376"/>
    <col min="5377" max="5377" width="4.875" style="1376" customWidth="1"/>
    <col min="5378" max="5378" width="13.125" style="1376" customWidth="1"/>
    <col min="5379" max="5379" width="15.625" style="1376" customWidth="1"/>
    <col min="5380" max="5380" width="9.375" style="1376" bestFit="1" customWidth="1"/>
    <col min="5381" max="5381" width="13.5" style="1376" customWidth="1"/>
    <col min="5382" max="5382" width="8.875" style="1376"/>
    <col min="5383" max="5383" width="9.375" style="1376" bestFit="1" customWidth="1"/>
    <col min="5384" max="5385" width="8.875" style="1376"/>
    <col min="5386" max="5386" width="9.375" style="1376" bestFit="1" customWidth="1"/>
    <col min="5387" max="5387" width="4" style="1376" customWidth="1"/>
    <col min="5388" max="5388" width="5.125" style="1376" customWidth="1"/>
    <col min="5389" max="5389" width="13.625" style="1376" customWidth="1"/>
    <col min="5390" max="5632" width="8.875" style="1376"/>
    <col min="5633" max="5633" width="4.875" style="1376" customWidth="1"/>
    <col min="5634" max="5634" width="13.125" style="1376" customWidth="1"/>
    <col min="5635" max="5635" width="15.625" style="1376" customWidth="1"/>
    <col min="5636" max="5636" width="9.375" style="1376" bestFit="1" customWidth="1"/>
    <col min="5637" max="5637" width="13.5" style="1376" customWidth="1"/>
    <col min="5638" max="5638" width="8.875" style="1376"/>
    <col min="5639" max="5639" width="9.375" style="1376" bestFit="1" customWidth="1"/>
    <col min="5640" max="5641" width="8.875" style="1376"/>
    <col min="5642" max="5642" width="9.375" style="1376" bestFit="1" customWidth="1"/>
    <col min="5643" max="5643" width="4" style="1376" customWidth="1"/>
    <col min="5644" max="5644" width="5.125" style="1376" customWidth="1"/>
    <col min="5645" max="5645" width="13.625" style="1376" customWidth="1"/>
    <col min="5646" max="5888" width="8.875" style="1376"/>
    <col min="5889" max="5889" width="4.875" style="1376" customWidth="1"/>
    <col min="5890" max="5890" width="13.125" style="1376" customWidth="1"/>
    <col min="5891" max="5891" width="15.625" style="1376" customWidth="1"/>
    <col min="5892" max="5892" width="9.375" style="1376" bestFit="1" customWidth="1"/>
    <col min="5893" max="5893" width="13.5" style="1376" customWidth="1"/>
    <col min="5894" max="5894" width="8.875" style="1376"/>
    <col min="5895" max="5895" width="9.375" style="1376" bestFit="1" customWidth="1"/>
    <col min="5896" max="5897" width="8.875" style="1376"/>
    <col min="5898" max="5898" width="9.375" style="1376" bestFit="1" customWidth="1"/>
    <col min="5899" max="5899" width="4" style="1376" customWidth="1"/>
    <col min="5900" max="5900" width="5.125" style="1376" customWidth="1"/>
    <col min="5901" max="5901" width="13.625" style="1376" customWidth="1"/>
    <col min="5902" max="6144" width="8.875" style="1376"/>
    <col min="6145" max="6145" width="4.875" style="1376" customWidth="1"/>
    <col min="6146" max="6146" width="13.125" style="1376" customWidth="1"/>
    <col min="6147" max="6147" width="15.625" style="1376" customWidth="1"/>
    <col min="6148" max="6148" width="9.375" style="1376" bestFit="1" customWidth="1"/>
    <col min="6149" max="6149" width="13.5" style="1376" customWidth="1"/>
    <col min="6150" max="6150" width="8.875" style="1376"/>
    <col min="6151" max="6151" width="9.375" style="1376" bestFit="1" customWidth="1"/>
    <col min="6152" max="6153" width="8.875" style="1376"/>
    <col min="6154" max="6154" width="9.375" style="1376" bestFit="1" customWidth="1"/>
    <col min="6155" max="6155" width="4" style="1376" customWidth="1"/>
    <col min="6156" max="6156" width="5.125" style="1376" customWidth="1"/>
    <col min="6157" max="6157" width="13.625" style="1376" customWidth="1"/>
    <col min="6158" max="6400" width="8.875" style="1376"/>
    <col min="6401" max="6401" width="4.875" style="1376" customWidth="1"/>
    <col min="6402" max="6402" width="13.125" style="1376" customWidth="1"/>
    <col min="6403" max="6403" width="15.625" style="1376" customWidth="1"/>
    <col min="6404" max="6404" width="9.375" style="1376" bestFit="1" customWidth="1"/>
    <col min="6405" max="6405" width="13.5" style="1376" customWidth="1"/>
    <col min="6406" max="6406" width="8.875" style="1376"/>
    <col min="6407" max="6407" width="9.375" style="1376" bestFit="1" customWidth="1"/>
    <col min="6408" max="6409" width="8.875" style="1376"/>
    <col min="6410" max="6410" width="9.375" style="1376" bestFit="1" customWidth="1"/>
    <col min="6411" max="6411" width="4" style="1376" customWidth="1"/>
    <col min="6412" max="6412" width="5.125" style="1376" customWidth="1"/>
    <col min="6413" max="6413" width="13.625" style="1376" customWidth="1"/>
    <col min="6414" max="6656" width="8.875" style="1376"/>
    <col min="6657" max="6657" width="4.875" style="1376" customWidth="1"/>
    <col min="6658" max="6658" width="13.125" style="1376" customWidth="1"/>
    <col min="6659" max="6659" width="15.625" style="1376" customWidth="1"/>
    <col min="6660" max="6660" width="9.375" style="1376" bestFit="1" customWidth="1"/>
    <col min="6661" max="6661" width="13.5" style="1376" customWidth="1"/>
    <col min="6662" max="6662" width="8.875" style="1376"/>
    <col min="6663" max="6663" width="9.375" style="1376" bestFit="1" customWidth="1"/>
    <col min="6664" max="6665" width="8.875" style="1376"/>
    <col min="6666" max="6666" width="9.375" style="1376" bestFit="1" customWidth="1"/>
    <col min="6667" max="6667" width="4" style="1376" customWidth="1"/>
    <col min="6668" max="6668" width="5.125" style="1376" customWidth="1"/>
    <col min="6669" max="6669" width="13.625" style="1376" customWidth="1"/>
    <col min="6670" max="6912" width="8.875" style="1376"/>
    <col min="6913" max="6913" width="4.875" style="1376" customWidth="1"/>
    <col min="6914" max="6914" width="13.125" style="1376" customWidth="1"/>
    <col min="6915" max="6915" width="15.625" style="1376" customWidth="1"/>
    <col min="6916" max="6916" width="9.375" style="1376" bestFit="1" customWidth="1"/>
    <col min="6917" max="6917" width="13.5" style="1376" customWidth="1"/>
    <col min="6918" max="6918" width="8.875" style="1376"/>
    <col min="6919" max="6919" width="9.375" style="1376" bestFit="1" customWidth="1"/>
    <col min="6920" max="6921" width="8.875" style="1376"/>
    <col min="6922" max="6922" width="9.375" style="1376" bestFit="1" customWidth="1"/>
    <col min="6923" max="6923" width="4" style="1376" customWidth="1"/>
    <col min="6924" max="6924" width="5.125" style="1376" customWidth="1"/>
    <col min="6925" max="6925" width="13.625" style="1376" customWidth="1"/>
    <col min="6926" max="7168" width="8.875" style="1376"/>
    <col min="7169" max="7169" width="4.875" style="1376" customWidth="1"/>
    <col min="7170" max="7170" width="13.125" style="1376" customWidth="1"/>
    <col min="7171" max="7171" width="15.625" style="1376" customWidth="1"/>
    <col min="7172" max="7172" width="9.375" style="1376" bestFit="1" customWidth="1"/>
    <col min="7173" max="7173" width="13.5" style="1376" customWidth="1"/>
    <col min="7174" max="7174" width="8.875" style="1376"/>
    <col min="7175" max="7175" width="9.375" style="1376" bestFit="1" customWidth="1"/>
    <col min="7176" max="7177" width="8.875" style="1376"/>
    <col min="7178" max="7178" width="9.375" style="1376" bestFit="1" customWidth="1"/>
    <col min="7179" max="7179" width="4" style="1376" customWidth="1"/>
    <col min="7180" max="7180" width="5.125" style="1376" customWidth="1"/>
    <col min="7181" max="7181" width="13.625" style="1376" customWidth="1"/>
    <col min="7182" max="7424" width="8.875" style="1376"/>
    <col min="7425" max="7425" width="4.875" style="1376" customWidth="1"/>
    <col min="7426" max="7426" width="13.125" style="1376" customWidth="1"/>
    <col min="7427" max="7427" width="15.625" style="1376" customWidth="1"/>
    <col min="7428" max="7428" width="9.375" style="1376" bestFit="1" customWidth="1"/>
    <col min="7429" max="7429" width="13.5" style="1376" customWidth="1"/>
    <col min="7430" max="7430" width="8.875" style="1376"/>
    <col min="7431" max="7431" width="9.375" style="1376" bestFit="1" customWidth="1"/>
    <col min="7432" max="7433" width="8.875" style="1376"/>
    <col min="7434" max="7434" width="9.375" style="1376" bestFit="1" customWidth="1"/>
    <col min="7435" max="7435" width="4" style="1376" customWidth="1"/>
    <col min="7436" max="7436" width="5.125" style="1376" customWidth="1"/>
    <col min="7437" max="7437" width="13.625" style="1376" customWidth="1"/>
    <col min="7438" max="7680" width="8.875" style="1376"/>
    <col min="7681" max="7681" width="4.875" style="1376" customWidth="1"/>
    <col min="7682" max="7682" width="13.125" style="1376" customWidth="1"/>
    <col min="7683" max="7683" width="15.625" style="1376" customWidth="1"/>
    <col min="7684" max="7684" width="9.375" style="1376" bestFit="1" customWidth="1"/>
    <col min="7685" max="7685" width="13.5" style="1376" customWidth="1"/>
    <col min="7686" max="7686" width="8.875" style="1376"/>
    <col min="7687" max="7687" width="9.375" style="1376" bestFit="1" customWidth="1"/>
    <col min="7688" max="7689" width="8.875" style="1376"/>
    <col min="7690" max="7690" width="9.375" style="1376" bestFit="1" customWidth="1"/>
    <col min="7691" max="7691" width="4" style="1376" customWidth="1"/>
    <col min="7692" max="7692" width="5.125" style="1376" customWidth="1"/>
    <col min="7693" max="7693" width="13.625" style="1376" customWidth="1"/>
    <col min="7694" max="7936" width="8.875" style="1376"/>
    <col min="7937" max="7937" width="4.875" style="1376" customWidth="1"/>
    <col min="7938" max="7938" width="13.125" style="1376" customWidth="1"/>
    <col min="7939" max="7939" width="15.625" style="1376" customWidth="1"/>
    <col min="7940" max="7940" width="9.375" style="1376" bestFit="1" customWidth="1"/>
    <col min="7941" max="7941" width="13.5" style="1376" customWidth="1"/>
    <col min="7942" max="7942" width="8.875" style="1376"/>
    <col min="7943" max="7943" width="9.375" style="1376" bestFit="1" customWidth="1"/>
    <col min="7944" max="7945" width="8.875" style="1376"/>
    <col min="7946" max="7946" width="9.375" style="1376" bestFit="1" customWidth="1"/>
    <col min="7947" max="7947" width="4" style="1376" customWidth="1"/>
    <col min="7948" max="7948" width="5.125" style="1376" customWidth="1"/>
    <col min="7949" max="7949" width="13.625" style="1376" customWidth="1"/>
    <col min="7950" max="8192" width="8.875" style="1376"/>
    <col min="8193" max="8193" width="4.875" style="1376" customWidth="1"/>
    <col min="8194" max="8194" width="13.125" style="1376" customWidth="1"/>
    <col min="8195" max="8195" width="15.625" style="1376" customWidth="1"/>
    <col min="8196" max="8196" width="9.375" style="1376" bestFit="1" customWidth="1"/>
    <col min="8197" max="8197" width="13.5" style="1376" customWidth="1"/>
    <col min="8198" max="8198" width="8.875" style="1376"/>
    <col min="8199" max="8199" width="9.375" style="1376" bestFit="1" customWidth="1"/>
    <col min="8200" max="8201" width="8.875" style="1376"/>
    <col min="8202" max="8202" width="9.375" style="1376" bestFit="1" customWidth="1"/>
    <col min="8203" max="8203" width="4" style="1376" customWidth="1"/>
    <col min="8204" max="8204" width="5.125" style="1376" customWidth="1"/>
    <col min="8205" max="8205" width="13.625" style="1376" customWidth="1"/>
    <col min="8206" max="8448" width="8.875" style="1376"/>
    <col min="8449" max="8449" width="4.875" style="1376" customWidth="1"/>
    <col min="8450" max="8450" width="13.125" style="1376" customWidth="1"/>
    <col min="8451" max="8451" width="15.625" style="1376" customWidth="1"/>
    <col min="8452" max="8452" width="9.375" style="1376" bestFit="1" customWidth="1"/>
    <col min="8453" max="8453" width="13.5" style="1376" customWidth="1"/>
    <col min="8454" max="8454" width="8.875" style="1376"/>
    <col min="8455" max="8455" width="9.375" style="1376" bestFit="1" customWidth="1"/>
    <col min="8456" max="8457" width="8.875" style="1376"/>
    <col min="8458" max="8458" width="9.375" style="1376" bestFit="1" customWidth="1"/>
    <col min="8459" max="8459" width="4" style="1376" customWidth="1"/>
    <col min="8460" max="8460" width="5.125" style="1376" customWidth="1"/>
    <col min="8461" max="8461" width="13.625" style="1376" customWidth="1"/>
    <col min="8462" max="8704" width="8.875" style="1376"/>
    <col min="8705" max="8705" width="4.875" style="1376" customWidth="1"/>
    <col min="8706" max="8706" width="13.125" style="1376" customWidth="1"/>
    <col min="8707" max="8707" width="15.625" style="1376" customWidth="1"/>
    <col min="8708" max="8708" width="9.375" style="1376" bestFit="1" customWidth="1"/>
    <col min="8709" max="8709" width="13.5" style="1376" customWidth="1"/>
    <col min="8710" max="8710" width="8.875" style="1376"/>
    <col min="8711" max="8711" width="9.375" style="1376" bestFit="1" customWidth="1"/>
    <col min="8712" max="8713" width="8.875" style="1376"/>
    <col min="8714" max="8714" width="9.375" style="1376" bestFit="1" customWidth="1"/>
    <col min="8715" max="8715" width="4" style="1376" customWidth="1"/>
    <col min="8716" max="8716" width="5.125" style="1376" customWidth="1"/>
    <col min="8717" max="8717" width="13.625" style="1376" customWidth="1"/>
    <col min="8718" max="8960" width="8.875" style="1376"/>
    <col min="8961" max="8961" width="4.875" style="1376" customWidth="1"/>
    <col min="8962" max="8962" width="13.125" style="1376" customWidth="1"/>
    <col min="8963" max="8963" width="15.625" style="1376" customWidth="1"/>
    <col min="8964" max="8964" width="9.375" style="1376" bestFit="1" customWidth="1"/>
    <col min="8965" max="8965" width="13.5" style="1376" customWidth="1"/>
    <col min="8966" max="8966" width="8.875" style="1376"/>
    <col min="8967" max="8967" width="9.375" style="1376" bestFit="1" customWidth="1"/>
    <col min="8968" max="8969" width="8.875" style="1376"/>
    <col min="8970" max="8970" width="9.375" style="1376" bestFit="1" customWidth="1"/>
    <col min="8971" max="8971" width="4" style="1376" customWidth="1"/>
    <col min="8972" max="8972" width="5.125" style="1376" customWidth="1"/>
    <col min="8973" max="8973" width="13.625" style="1376" customWidth="1"/>
    <col min="8974" max="9216" width="8.875" style="1376"/>
    <col min="9217" max="9217" width="4.875" style="1376" customWidth="1"/>
    <col min="9218" max="9218" width="13.125" style="1376" customWidth="1"/>
    <col min="9219" max="9219" width="15.625" style="1376" customWidth="1"/>
    <col min="9220" max="9220" width="9.375" style="1376" bestFit="1" customWidth="1"/>
    <col min="9221" max="9221" width="13.5" style="1376" customWidth="1"/>
    <col min="9222" max="9222" width="8.875" style="1376"/>
    <col min="9223" max="9223" width="9.375" style="1376" bestFit="1" customWidth="1"/>
    <col min="9224" max="9225" width="8.875" style="1376"/>
    <col min="9226" max="9226" width="9.375" style="1376" bestFit="1" customWidth="1"/>
    <col min="9227" max="9227" width="4" style="1376" customWidth="1"/>
    <col min="9228" max="9228" width="5.125" style="1376" customWidth="1"/>
    <col min="9229" max="9229" width="13.625" style="1376" customWidth="1"/>
    <col min="9230" max="9472" width="8.875" style="1376"/>
    <col min="9473" max="9473" width="4.875" style="1376" customWidth="1"/>
    <col min="9474" max="9474" width="13.125" style="1376" customWidth="1"/>
    <col min="9475" max="9475" width="15.625" style="1376" customWidth="1"/>
    <col min="9476" max="9476" width="9.375" style="1376" bestFit="1" customWidth="1"/>
    <col min="9477" max="9477" width="13.5" style="1376" customWidth="1"/>
    <col min="9478" max="9478" width="8.875" style="1376"/>
    <col min="9479" max="9479" width="9.375" style="1376" bestFit="1" customWidth="1"/>
    <col min="9480" max="9481" width="8.875" style="1376"/>
    <col min="9482" max="9482" width="9.375" style="1376" bestFit="1" customWidth="1"/>
    <col min="9483" max="9483" width="4" style="1376" customWidth="1"/>
    <col min="9484" max="9484" width="5.125" style="1376" customWidth="1"/>
    <col min="9485" max="9485" width="13.625" style="1376" customWidth="1"/>
    <col min="9486" max="9728" width="8.875" style="1376"/>
    <col min="9729" max="9729" width="4.875" style="1376" customWidth="1"/>
    <col min="9730" max="9730" width="13.125" style="1376" customWidth="1"/>
    <col min="9731" max="9731" width="15.625" style="1376" customWidth="1"/>
    <col min="9732" max="9732" width="9.375" style="1376" bestFit="1" customWidth="1"/>
    <col min="9733" max="9733" width="13.5" style="1376" customWidth="1"/>
    <col min="9734" max="9734" width="8.875" style="1376"/>
    <col min="9735" max="9735" width="9.375" style="1376" bestFit="1" customWidth="1"/>
    <col min="9736" max="9737" width="8.875" style="1376"/>
    <col min="9738" max="9738" width="9.375" style="1376" bestFit="1" customWidth="1"/>
    <col min="9739" max="9739" width="4" style="1376" customWidth="1"/>
    <col min="9740" max="9740" width="5.125" style="1376" customWidth="1"/>
    <col min="9741" max="9741" width="13.625" style="1376" customWidth="1"/>
    <col min="9742" max="9984" width="8.875" style="1376"/>
    <col min="9985" max="9985" width="4.875" style="1376" customWidth="1"/>
    <col min="9986" max="9986" width="13.125" style="1376" customWidth="1"/>
    <col min="9987" max="9987" width="15.625" style="1376" customWidth="1"/>
    <col min="9988" max="9988" width="9.375" style="1376" bestFit="1" customWidth="1"/>
    <col min="9989" max="9989" width="13.5" style="1376" customWidth="1"/>
    <col min="9990" max="9990" width="8.875" style="1376"/>
    <col min="9991" max="9991" width="9.375" style="1376" bestFit="1" customWidth="1"/>
    <col min="9992" max="9993" width="8.875" style="1376"/>
    <col min="9994" max="9994" width="9.375" style="1376" bestFit="1" customWidth="1"/>
    <col min="9995" max="9995" width="4" style="1376" customWidth="1"/>
    <col min="9996" max="9996" width="5.125" style="1376" customWidth="1"/>
    <col min="9997" max="9997" width="13.625" style="1376" customWidth="1"/>
    <col min="9998" max="10240" width="8.875" style="1376"/>
    <col min="10241" max="10241" width="4.875" style="1376" customWidth="1"/>
    <col min="10242" max="10242" width="13.125" style="1376" customWidth="1"/>
    <col min="10243" max="10243" width="15.625" style="1376" customWidth="1"/>
    <col min="10244" max="10244" width="9.375" style="1376" bestFit="1" customWidth="1"/>
    <col min="10245" max="10245" width="13.5" style="1376" customWidth="1"/>
    <col min="10246" max="10246" width="8.875" style="1376"/>
    <col min="10247" max="10247" width="9.375" style="1376" bestFit="1" customWidth="1"/>
    <col min="10248" max="10249" width="8.875" style="1376"/>
    <col min="10250" max="10250" width="9.375" style="1376" bestFit="1" customWidth="1"/>
    <col min="10251" max="10251" width="4" style="1376" customWidth="1"/>
    <col min="10252" max="10252" width="5.125" style="1376" customWidth="1"/>
    <col min="10253" max="10253" width="13.625" style="1376" customWidth="1"/>
    <col min="10254" max="10496" width="8.875" style="1376"/>
    <col min="10497" max="10497" width="4.875" style="1376" customWidth="1"/>
    <col min="10498" max="10498" width="13.125" style="1376" customWidth="1"/>
    <col min="10499" max="10499" width="15.625" style="1376" customWidth="1"/>
    <col min="10500" max="10500" width="9.375" style="1376" bestFit="1" customWidth="1"/>
    <col min="10501" max="10501" width="13.5" style="1376" customWidth="1"/>
    <col min="10502" max="10502" width="8.875" style="1376"/>
    <col min="10503" max="10503" width="9.375" style="1376" bestFit="1" customWidth="1"/>
    <col min="10504" max="10505" width="8.875" style="1376"/>
    <col min="10506" max="10506" width="9.375" style="1376" bestFit="1" customWidth="1"/>
    <col min="10507" max="10507" width="4" style="1376" customWidth="1"/>
    <col min="10508" max="10508" width="5.125" style="1376" customWidth="1"/>
    <col min="10509" max="10509" width="13.625" style="1376" customWidth="1"/>
    <col min="10510" max="10752" width="8.875" style="1376"/>
    <col min="10753" max="10753" width="4.875" style="1376" customWidth="1"/>
    <col min="10754" max="10754" width="13.125" style="1376" customWidth="1"/>
    <col min="10755" max="10755" width="15.625" style="1376" customWidth="1"/>
    <col min="10756" max="10756" width="9.375" style="1376" bestFit="1" customWidth="1"/>
    <col min="10757" max="10757" width="13.5" style="1376" customWidth="1"/>
    <col min="10758" max="10758" width="8.875" style="1376"/>
    <col min="10759" max="10759" width="9.375" style="1376" bestFit="1" customWidth="1"/>
    <col min="10760" max="10761" width="8.875" style="1376"/>
    <col min="10762" max="10762" width="9.375" style="1376" bestFit="1" customWidth="1"/>
    <col min="10763" max="10763" width="4" style="1376" customWidth="1"/>
    <col min="10764" max="10764" width="5.125" style="1376" customWidth="1"/>
    <col min="10765" max="10765" width="13.625" style="1376" customWidth="1"/>
    <col min="10766" max="11008" width="8.875" style="1376"/>
    <col min="11009" max="11009" width="4.875" style="1376" customWidth="1"/>
    <col min="11010" max="11010" width="13.125" style="1376" customWidth="1"/>
    <col min="11011" max="11011" width="15.625" style="1376" customWidth="1"/>
    <col min="11012" max="11012" width="9.375" style="1376" bestFit="1" customWidth="1"/>
    <col min="11013" max="11013" width="13.5" style="1376" customWidth="1"/>
    <col min="11014" max="11014" width="8.875" style="1376"/>
    <col min="11015" max="11015" width="9.375" style="1376" bestFit="1" customWidth="1"/>
    <col min="11016" max="11017" width="8.875" style="1376"/>
    <col min="11018" max="11018" width="9.375" style="1376" bestFit="1" customWidth="1"/>
    <col min="11019" max="11019" width="4" style="1376" customWidth="1"/>
    <col min="11020" max="11020" width="5.125" style="1376" customWidth="1"/>
    <col min="11021" max="11021" width="13.625" style="1376" customWidth="1"/>
    <col min="11022" max="11264" width="8.875" style="1376"/>
    <col min="11265" max="11265" width="4.875" style="1376" customWidth="1"/>
    <col min="11266" max="11266" width="13.125" style="1376" customWidth="1"/>
    <col min="11267" max="11267" width="15.625" style="1376" customWidth="1"/>
    <col min="11268" max="11268" width="9.375" style="1376" bestFit="1" customWidth="1"/>
    <col min="11269" max="11269" width="13.5" style="1376" customWidth="1"/>
    <col min="11270" max="11270" width="8.875" style="1376"/>
    <col min="11271" max="11271" width="9.375" style="1376" bestFit="1" customWidth="1"/>
    <col min="11272" max="11273" width="8.875" style="1376"/>
    <col min="11274" max="11274" width="9.375" style="1376" bestFit="1" customWidth="1"/>
    <col min="11275" max="11275" width="4" style="1376" customWidth="1"/>
    <col min="11276" max="11276" width="5.125" style="1376" customWidth="1"/>
    <col min="11277" max="11277" width="13.625" style="1376" customWidth="1"/>
    <col min="11278" max="11520" width="8.875" style="1376"/>
    <col min="11521" max="11521" width="4.875" style="1376" customWidth="1"/>
    <col min="11522" max="11522" width="13.125" style="1376" customWidth="1"/>
    <col min="11523" max="11523" width="15.625" style="1376" customWidth="1"/>
    <col min="11524" max="11524" width="9.375" style="1376" bestFit="1" customWidth="1"/>
    <col min="11525" max="11525" width="13.5" style="1376" customWidth="1"/>
    <col min="11526" max="11526" width="8.875" style="1376"/>
    <col min="11527" max="11527" width="9.375" style="1376" bestFit="1" customWidth="1"/>
    <col min="11528" max="11529" width="8.875" style="1376"/>
    <col min="11530" max="11530" width="9.375" style="1376" bestFit="1" customWidth="1"/>
    <col min="11531" max="11531" width="4" style="1376" customWidth="1"/>
    <col min="11532" max="11532" width="5.125" style="1376" customWidth="1"/>
    <col min="11533" max="11533" width="13.625" style="1376" customWidth="1"/>
    <col min="11534" max="11776" width="8.875" style="1376"/>
    <col min="11777" max="11777" width="4.875" style="1376" customWidth="1"/>
    <col min="11778" max="11778" width="13.125" style="1376" customWidth="1"/>
    <col min="11779" max="11779" width="15.625" style="1376" customWidth="1"/>
    <col min="11780" max="11780" width="9.375" style="1376" bestFit="1" customWidth="1"/>
    <col min="11781" max="11781" width="13.5" style="1376" customWidth="1"/>
    <col min="11782" max="11782" width="8.875" style="1376"/>
    <col min="11783" max="11783" width="9.375" style="1376" bestFit="1" customWidth="1"/>
    <col min="11784" max="11785" width="8.875" style="1376"/>
    <col min="11786" max="11786" width="9.375" style="1376" bestFit="1" customWidth="1"/>
    <col min="11787" max="11787" width="4" style="1376" customWidth="1"/>
    <col min="11788" max="11788" width="5.125" style="1376" customWidth="1"/>
    <col min="11789" max="11789" width="13.625" style="1376" customWidth="1"/>
    <col min="11790" max="12032" width="8.875" style="1376"/>
    <col min="12033" max="12033" width="4.875" style="1376" customWidth="1"/>
    <col min="12034" max="12034" width="13.125" style="1376" customWidth="1"/>
    <col min="12035" max="12035" width="15.625" style="1376" customWidth="1"/>
    <col min="12036" max="12036" width="9.375" style="1376" bestFit="1" customWidth="1"/>
    <col min="12037" max="12037" width="13.5" style="1376" customWidth="1"/>
    <col min="12038" max="12038" width="8.875" style="1376"/>
    <col min="12039" max="12039" width="9.375" style="1376" bestFit="1" customWidth="1"/>
    <col min="12040" max="12041" width="8.875" style="1376"/>
    <col min="12042" max="12042" width="9.375" style="1376" bestFit="1" customWidth="1"/>
    <col min="12043" max="12043" width="4" style="1376" customWidth="1"/>
    <col min="12044" max="12044" width="5.125" style="1376" customWidth="1"/>
    <col min="12045" max="12045" width="13.625" style="1376" customWidth="1"/>
    <col min="12046" max="12288" width="8.875" style="1376"/>
    <col min="12289" max="12289" width="4.875" style="1376" customWidth="1"/>
    <col min="12290" max="12290" width="13.125" style="1376" customWidth="1"/>
    <col min="12291" max="12291" width="15.625" style="1376" customWidth="1"/>
    <col min="12292" max="12292" width="9.375" style="1376" bestFit="1" customWidth="1"/>
    <col min="12293" max="12293" width="13.5" style="1376" customWidth="1"/>
    <col min="12294" max="12294" width="8.875" style="1376"/>
    <col min="12295" max="12295" width="9.375" style="1376" bestFit="1" customWidth="1"/>
    <col min="12296" max="12297" width="8.875" style="1376"/>
    <col min="12298" max="12298" width="9.375" style="1376" bestFit="1" customWidth="1"/>
    <col min="12299" max="12299" width="4" style="1376" customWidth="1"/>
    <col min="12300" max="12300" width="5.125" style="1376" customWidth="1"/>
    <col min="12301" max="12301" width="13.625" style="1376" customWidth="1"/>
    <col min="12302" max="12544" width="8.875" style="1376"/>
    <col min="12545" max="12545" width="4.875" style="1376" customWidth="1"/>
    <col min="12546" max="12546" width="13.125" style="1376" customWidth="1"/>
    <col min="12547" max="12547" width="15.625" style="1376" customWidth="1"/>
    <col min="12548" max="12548" width="9.375" style="1376" bestFit="1" customWidth="1"/>
    <col min="12549" max="12549" width="13.5" style="1376" customWidth="1"/>
    <col min="12550" max="12550" width="8.875" style="1376"/>
    <col min="12551" max="12551" width="9.375" style="1376" bestFit="1" customWidth="1"/>
    <col min="12552" max="12553" width="8.875" style="1376"/>
    <col min="12554" max="12554" width="9.375" style="1376" bestFit="1" customWidth="1"/>
    <col min="12555" max="12555" width="4" style="1376" customWidth="1"/>
    <col min="12556" max="12556" width="5.125" style="1376" customWidth="1"/>
    <col min="12557" max="12557" width="13.625" style="1376" customWidth="1"/>
    <col min="12558" max="12800" width="8.875" style="1376"/>
    <col min="12801" max="12801" width="4.875" style="1376" customWidth="1"/>
    <col min="12802" max="12802" width="13.125" style="1376" customWidth="1"/>
    <col min="12803" max="12803" width="15.625" style="1376" customWidth="1"/>
    <col min="12804" max="12804" width="9.375" style="1376" bestFit="1" customWidth="1"/>
    <col min="12805" max="12805" width="13.5" style="1376" customWidth="1"/>
    <col min="12806" max="12806" width="8.875" style="1376"/>
    <col min="12807" max="12807" width="9.375" style="1376" bestFit="1" customWidth="1"/>
    <col min="12808" max="12809" width="8.875" style="1376"/>
    <col min="12810" max="12810" width="9.375" style="1376" bestFit="1" customWidth="1"/>
    <col min="12811" max="12811" width="4" style="1376" customWidth="1"/>
    <col min="12812" max="12812" width="5.125" style="1376" customWidth="1"/>
    <col min="12813" max="12813" width="13.625" style="1376" customWidth="1"/>
    <col min="12814" max="13056" width="8.875" style="1376"/>
    <col min="13057" max="13057" width="4.875" style="1376" customWidth="1"/>
    <col min="13058" max="13058" width="13.125" style="1376" customWidth="1"/>
    <col min="13059" max="13059" width="15.625" style="1376" customWidth="1"/>
    <col min="13060" max="13060" width="9.375" style="1376" bestFit="1" customWidth="1"/>
    <col min="13061" max="13061" width="13.5" style="1376" customWidth="1"/>
    <col min="13062" max="13062" width="8.875" style="1376"/>
    <col min="13063" max="13063" width="9.375" style="1376" bestFit="1" customWidth="1"/>
    <col min="13064" max="13065" width="8.875" style="1376"/>
    <col min="13066" max="13066" width="9.375" style="1376" bestFit="1" customWidth="1"/>
    <col min="13067" max="13067" width="4" style="1376" customWidth="1"/>
    <col min="13068" max="13068" width="5.125" style="1376" customWidth="1"/>
    <col min="13069" max="13069" width="13.625" style="1376" customWidth="1"/>
    <col min="13070" max="13312" width="8.875" style="1376"/>
    <col min="13313" max="13313" width="4.875" style="1376" customWidth="1"/>
    <col min="13314" max="13314" width="13.125" style="1376" customWidth="1"/>
    <col min="13315" max="13315" width="15.625" style="1376" customWidth="1"/>
    <col min="13316" max="13316" width="9.375" style="1376" bestFit="1" customWidth="1"/>
    <col min="13317" max="13317" width="13.5" style="1376" customWidth="1"/>
    <col min="13318" max="13318" width="8.875" style="1376"/>
    <col min="13319" max="13319" width="9.375" style="1376" bestFit="1" customWidth="1"/>
    <col min="13320" max="13321" width="8.875" style="1376"/>
    <col min="13322" max="13322" width="9.375" style="1376" bestFit="1" customWidth="1"/>
    <col min="13323" max="13323" width="4" style="1376" customWidth="1"/>
    <col min="13324" max="13324" width="5.125" style="1376" customWidth="1"/>
    <col min="13325" max="13325" width="13.625" style="1376" customWidth="1"/>
    <col min="13326" max="13568" width="8.875" style="1376"/>
    <col min="13569" max="13569" width="4.875" style="1376" customWidth="1"/>
    <col min="13570" max="13570" width="13.125" style="1376" customWidth="1"/>
    <col min="13571" max="13571" width="15.625" style="1376" customWidth="1"/>
    <col min="13572" max="13572" width="9.375" style="1376" bestFit="1" customWidth="1"/>
    <col min="13573" max="13573" width="13.5" style="1376" customWidth="1"/>
    <col min="13574" max="13574" width="8.875" style="1376"/>
    <col min="13575" max="13575" width="9.375" style="1376" bestFit="1" customWidth="1"/>
    <col min="13576" max="13577" width="8.875" style="1376"/>
    <col min="13578" max="13578" width="9.375" style="1376" bestFit="1" customWidth="1"/>
    <col min="13579" max="13579" width="4" style="1376" customWidth="1"/>
    <col min="13580" max="13580" width="5.125" style="1376" customWidth="1"/>
    <col min="13581" max="13581" width="13.625" style="1376" customWidth="1"/>
    <col min="13582" max="13824" width="8.875" style="1376"/>
    <col min="13825" max="13825" width="4.875" style="1376" customWidth="1"/>
    <col min="13826" max="13826" width="13.125" style="1376" customWidth="1"/>
    <col min="13827" max="13827" width="15.625" style="1376" customWidth="1"/>
    <col min="13828" max="13828" width="9.375" style="1376" bestFit="1" customWidth="1"/>
    <col min="13829" max="13829" width="13.5" style="1376" customWidth="1"/>
    <col min="13830" max="13830" width="8.875" style="1376"/>
    <col min="13831" max="13831" width="9.375" style="1376" bestFit="1" customWidth="1"/>
    <col min="13832" max="13833" width="8.875" style="1376"/>
    <col min="13834" max="13834" width="9.375" style="1376" bestFit="1" customWidth="1"/>
    <col min="13835" max="13835" width="4" style="1376" customWidth="1"/>
    <col min="13836" max="13836" width="5.125" style="1376" customWidth="1"/>
    <col min="13837" max="13837" width="13.625" style="1376" customWidth="1"/>
    <col min="13838" max="14080" width="8.875" style="1376"/>
    <col min="14081" max="14081" width="4.875" style="1376" customWidth="1"/>
    <col min="14082" max="14082" width="13.125" style="1376" customWidth="1"/>
    <col min="14083" max="14083" width="15.625" style="1376" customWidth="1"/>
    <col min="14084" max="14084" width="9.375" style="1376" bestFit="1" customWidth="1"/>
    <col min="14085" max="14085" width="13.5" style="1376" customWidth="1"/>
    <col min="14086" max="14086" width="8.875" style="1376"/>
    <col min="14087" max="14087" width="9.375" style="1376" bestFit="1" customWidth="1"/>
    <col min="14088" max="14089" width="8.875" style="1376"/>
    <col min="14090" max="14090" width="9.375" style="1376" bestFit="1" customWidth="1"/>
    <col min="14091" max="14091" width="4" style="1376" customWidth="1"/>
    <col min="14092" max="14092" width="5.125" style="1376" customWidth="1"/>
    <col min="14093" max="14093" width="13.625" style="1376" customWidth="1"/>
    <col min="14094" max="14336" width="8.875" style="1376"/>
    <col min="14337" max="14337" width="4.875" style="1376" customWidth="1"/>
    <col min="14338" max="14338" width="13.125" style="1376" customWidth="1"/>
    <col min="14339" max="14339" width="15.625" style="1376" customWidth="1"/>
    <col min="14340" max="14340" width="9.375" style="1376" bestFit="1" customWidth="1"/>
    <col min="14341" max="14341" width="13.5" style="1376" customWidth="1"/>
    <col min="14342" max="14342" width="8.875" style="1376"/>
    <col min="14343" max="14343" width="9.375" style="1376" bestFit="1" customWidth="1"/>
    <col min="14344" max="14345" width="8.875" style="1376"/>
    <col min="14346" max="14346" width="9.375" style="1376" bestFit="1" customWidth="1"/>
    <col min="14347" max="14347" width="4" style="1376" customWidth="1"/>
    <col min="14348" max="14348" width="5.125" style="1376" customWidth="1"/>
    <col min="14349" max="14349" width="13.625" style="1376" customWidth="1"/>
    <col min="14350" max="14592" width="8.875" style="1376"/>
    <col min="14593" max="14593" width="4.875" style="1376" customWidth="1"/>
    <col min="14594" max="14594" width="13.125" style="1376" customWidth="1"/>
    <col min="14595" max="14595" width="15.625" style="1376" customWidth="1"/>
    <col min="14596" max="14596" width="9.375" style="1376" bestFit="1" customWidth="1"/>
    <col min="14597" max="14597" width="13.5" style="1376" customWidth="1"/>
    <col min="14598" max="14598" width="8.875" style="1376"/>
    <col min="14599" max="14599" width="9.375" style="1376" bestFit="1" customWidth="1"/>
    <col min="14600" max="14601" width="8.875" style="1376"/>
    <col min="14602" max="14602" width="9.375" style="1376" bestFit="1" customWidth="1"/>
    <col min="14603" max="14603" width="4" style="1376" customWidth="1"/>
    <col min="14604" max="14604" width="5.125" style="1376" customWidth="1"/>
    <col min="14605" max="14605" width="13.625" style="1376" customWidth="1"/>
    <col min="14606" max="14848" width="8.875" style="1376"/>
    <col min="14849" max="14849" width="4.875" style="1376" customWidth="1"/>
    <col min="14850" max="14850" width="13.125" style="1376" customWidth="1"/>
    <col min="14851" max="14851" width="15.625" style="1376" customWidth="1"/>
    <col min="14852" max="14852" width="9.375" style="1376" bestFit="1" customWidth="1"/>
    <col min="14853" max="14853" width="13.5" style="1376" customWidth="1"/>
    <col min="14854" max="14854" width="8.875" style="1376"/>
    <col min="14855" max="14855" width="9.375" style="1376" bestFit="1" customWidth="1"/>
    <col min="14856" max="14857" width="8.875" style="1376"/>
    <col min="14858" max="14858" width="9.375" style="1376" bestFit="1" customWidth="1"/>
    <col min="14859" max="14859" width="4" style="1376" customWidth="1"/>
    <col min="14860" max="14860" width="5.125" style="1376" customWidth="1"/>
    <col min="14861" max="14861" width="13.625" style="1376" customWidth="1"/>
    <col min="14862" max="15104" width="8.875" style="1376"/>
    <col min="15105" max="15105" width="4.875" style="1376" customWidth="1"/>
    <col min="15106" max="15106" width="13.125" style="1376" customWidth="1"/>
    <col min="15107" max="15107" width="15.625" style="1376" customWidth="1"/>
    <col min="15108" max="15108" width="9.375" style="1376" bestFit="1" customWidth="1"/>
    <col min="15109" max="15109" width="13.5" style="1376" customWidth="1"/>
    <col min="15110" max="15110" width="8.875" style="1376"/>
    <col min="15111" max="15111" width="9.375" style="1376" bestFit="1" customWidth="1"/>
    <col min="15112" max="15113" width="8.875" style="1376"/>
    <col min="15114" max="15114" width="9.375" style="1376" bestFit="1" customWidth="1"/>
    <col min="15115" max="15115" width="4" style="1376" customWidth="1"/>
    <col min="15116" max="15116" width="5.125" style="1376" customWidth="1"/>
    <col min="15117" max="15117" width="13.625" style="1376" customWidth="1"/>
    <col min="15118" max="15360" width="8.875" style="1376"/>
    <col min="15361" max="15361" width="4.875" style="1376" customWidth="1"/>
    <col min="15362" max="15362" width="13.125" style="1376" customWidth="1"/>
    <col min="15363" max="15363" width="15.625" style="1376" customWidth="1"/>
    <col min="15364" max="15364" width="9.375" style="1376" bestFit="1" customWidth="1"/>
    <col min="15365" max="15365" width="13.5" style="1376" customWidth="1"/>
    <col min="15366" max="15366" width="8.875" style="1376"/>
    <col min="15367" max="15367" width="9.375" style="1376" bestFit="1" customWidth="1"/>
    <col min="15368" max="15369" width="8.875" style="1376"/>
    <col min="15370" max="15370" width="9.375" style="1376" bestFit="1" customWidth="1"/>
    <col min="15371" max="15371" width="4" style="1376" customWidth="1"/>
    <col min="15372" max="15372" width="5.125" style="1376" customWidth="1"/>
    <col min="15373" max="15373" width="13.625" style="1376" customWidth="1"/>
    <col min="15374" max="15616" width="8.875" style="1376"/>
    <col min="15617" max="15617" width="4.875" style="1376" customWidth="1"/>
    <col min="15618" max="15618" width="13.125" style="1376" customWidth="1"/>
    <col min="15619" max="15619" width="15.625" style="1376" customWidth="1"/>
    <col min="15620" max="15620" width="9.375" style="1376" bestFit="1" customWidth="1"/>
    <col min="15621" max="15621" width="13.5" style="1376" customWidth="1"/>
    <col min="15622" max="15622" width="8.875" style="1376"/>
    <col min="15623" max="15623" width="9.375" style="1376" bestFit="1" customWidth="1"/>
    <col min="15624" max="15625" width="8.875" style="1376"/>
    <col min="15626" max="15626" width="9.375" style="1376" bestFit="1" customWidth="1"/>
    <col min="15627" max="15627" width="4" style="1376" customWidth="1"/>
    <col min="15628" max="15628" width="5.125" style="1376" customWidth="1"/>
    <col min="15629" max="15629" width="13.625" style="1376" customWidth="1"/>
    <col min="15630" max="15872" width="8.875" style="1376"/>
    <col min="15873" max="15873" width="4.875" style="1376" customWidth="1"/>
    <col min="15874" max="15874" width="13.125" style="1376" customWidth="1"/>
    <col min="15875" max="15875" width="15.625" style="1376" customWidth="1"/>
    <col min="15876" max="15876" width="9.375" style="1376" bestFit="1" customWidth="1"/>
    <col min="15877" max="15877" width="13.5" style="1376" customWidth="1"/>
    <col min="15878" max="15878" width="8.875" style="1376"/>
    <col min="15879" max="15879" width="9.375" style="1376" bestFit="1" customWidth="1"/>
    <col min="15880" max="15881" width="8.875" style="1376"/>
    <col min="15882" max="15882" width="9.375" style="1376" bestFit="1" customWidth="1"/>
    <col min="15883" max="15883" width="4" style="1376" customWidth="1"/>
    <col min="15884" max="15884" width="5.125" style="1376" customWidth="1"/>
    <col min="15885" max="15885" width="13.625" style="1376" customWidth="1"/>
    <col min="15886" max="16128" width="8.875" style="1376"/>
    <col min="16129" max="16129" width="4.875" style="1376" customWidth="1"/>
    <col min="16130" max="16130" width="13.125" style="1376" customWidth="1"/>
    <col min="16131" max="16131" width="15.625" style="1376" customWidth="1"/>
    <col min="16132" max="16132" width="9.375" style="1376" bestFit="1" customWidth="1"/>
    <col min="16133" max="16133" width="13.5" style="1376" customWidth="1"/>
    <col min="16134" max="16134" width="8.875" style="1376"/>
    <col min="16135" max="16135" width="9.375" style="1376" bestFit="1" customWidth="1"/>
    <col min="16136" max="16137" width="8.875" style="1376"/>
    <col min="16138" max="16138" width="9.375" style="1376" bestFit="1" customWidth="1"/>
    <col min="16139" max="16139" width="4" style="1376" customWidth="1"/>
    <col min="16140" max="16140" width="5.125" style="1376" customWidth="1"/>
    <col min="16141" max="16141" width="13.625" style="1376" customWidth="1"/>
    <col min="16142" max="16384" width="8.875" style="1376"/>
  </cols>
  <sheetData>
    <row r="1" spans="1:257" s="1438" customFormat="1" ht="15" thickBot="1">
      <c r="A1" s="1432"/>
      <c r="B1" s="1439" t="s">
        <v>1208</v>
      </c>
      <c r="C1" s="1433">
        <f>项目基本情况!D3</f>
        <v>44762</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7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7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c r="A19" s="1421"/>
      <c r="B19" s="3013" t="s">
        <v>2996</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D13" sqref="D13"/>
    </sheetView>
  </sheetViews>
  <sheetFormatPr defaultColWidth="9" defaultRowHeight="14.25"/>
  <cols>
    <col min="1" max="1" width="25" style="2705" customWidth="1"/>
    <col min="2" max="9" width="15.625" style="2705" customWidth="1"/>
    <col min="10" max="16384" width="9" style="2705"/>
  </cols>
  <sheetData>
    <row r="1" spans="1:11" ht="16.5">
      <c r="A1" s="2704" t="s">
        <v>1271</v>
      </c>
      <c r="B1" s="2704">
        <f>SUM(B14:B23)</f>
        <v>108871.43</v>
      </c>
      <c r="C1" s="2881"/>
      <c r="D1" s="2881"/>
      <c r="E1" s="2881"/>
      <c r="F1" s="2881"/>
      <c r="G1" s="2882"/>
      <c r="H1" s="2883"/>
      <c r="I1" s="2883"/>
      <c r="J1" s="2883"/>
      <c r="K1" s="2883"/>
    </row>
    <row r="2" spans="1:11" ht="16.5">
      <c r="A2" s="2704" t="s">
        <v>1259</v>
      </c>
      <c r="B2" s="2704">
        <f>SUM(C14:C23)</f>
        <v>108871.43</v>
      </c>
      <c r="C2" s="2881"/>
      <c r="D2" s="2881"/>
      <c r="E2" s="2881"/>
      <c r="F2" s="2881"/>
      <c r="G2" s="2882"/>
      <c r="H2" s="2883"/>
      <c r="I2" s="2883"/>
      <c r="J2" s="2883"/>
      <c r="K2" s="2883"/>
    </row>
    <row r="3" spans="1:11" ht="16.5">
      <c r="A3" s="2704" t="s">
        <v>1268</v>
      </c>
      <c r="B3" s="2706">
        <f>项目基本情况!D3</f>
        <v>44762</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SUM(D14:D23)</f>
        <v>215294.41000000003</v>
      </c>
      <c r="C5" s="2704">
        <f>ROUND(B5*10000/$B$1,0)</f>
        <v>19775</v>
      </c>
      <c r="D5" s="2704">
        <f>ROUND(B5*10000/$B$2,0)</f>
        <v>19775</v>
      </c>
      <c r="E5" s="2881"/>
      <c r="F5" s="2882"/>
      <c r="G5" s="2882"/>
      <c r="H5" s="2883"/>
      <c r="I5" s="2883"/>
      <c r="J5" s="2883"/>
      <c r="K5" s="2883"/>
    </row>
    <row r="6" spans="1:11" ht="16.5">
      <c r="A6" s="2704" t="s">
        <v>1262</v>
      </c>
      <c r="B6" s="2704">
        <f>SUM(G14:G23)</f>
        <v>215294.41000000003</v>
      </c>
      <c r="C6" s="2704">
        <f>ROUND(B6*10000/$B$1,0)</f>
        <v>19775</v>
      </c>
      <c r="D6" s="2704">
        <f>ROUND(B6*10000/$B$2,0)</f>
        <v>19775</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f>结果!T3</f>
        <v>3</v>
      </c>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结果!P8</f>
        <v>108871.43</v>
      </c>
      <c r="C14" s="2710">
        <f>B14</f>
        <v>108871.43</v>
      </c>
      <c r="D14" s="2710">
        <f>结果!U8</f>
        <v>215294.41000000003</v>
      </c>
      <c r="E14" s="2710">
        <f>ROUND(D14*10000/B14,0)</f>
        <v>19775</v>
      </c>
      <c r="F14" s="2710">
        <f>ROUND(D14*10000/C14,0)</f>
        <v>19775</v>
      </c>
      <c r="G14" s="2710">
        <f>D14</f>
        <v>215294.41000000003</v>
      </c>
      <c r="H14" s="2710" t="str">
        <f>结果表1层商业!D124</f>
        <v>——</v>
      </c>
      <c r="I14" s="2710" t="str">
        <f>结果表1层商业!D126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ColWidth="8.875" defaultRowHeight="14.25"/>
  <sheetData>
    <row r="1" spans="1:13" ht="28.5">
      <c r="A1" s="1485" t="s">
        <v>1278</v>
      </c>
      <c r="E1" s="1479" t="s">
        <v>1282</v>
      </c>
      <c r="F1" s="1480" t="s">
        <v>1286</v>
      </c>
    </row>
    <row r="2" spans="1:13" ht="20.25">
      <c r="A2" s="1486" t="s">
        <v>1279</v>
      </c>
    </row>
    <row r="3" spans="1:13" ht="16.5">
      <c r="A3" s="1487" t="s">
        <v>1280</v>
      </c>
    </row>
    <row r="4" spans="1:13">
      <c r="A4" s="1477" t="s">
        <v>1281</v>
      </c>
      <c r="B4" s="1482" t="s">
        <v>1283</v>
      </c>
      <c r="C4" s="1483"/>
      <c r="D4" s="1484"/>
      <c r="E4" s="1482" t="s">
        <v>27</v>
      </c>
      <c r="F4" s="1483"/>
      <c r="G4" s="1484"/>
      <c r="H4" s="1482" t="s">
        <v>1284</v>
      </c>
      <c r="I4" s="1483"/>
      <c r="J4" s="1484"/>
      <c r="K4" s="1482" t="s">
        <v>6</v>
      </c>
      <c r="L4" s="1483"/>
      <c r="M4" s="1484"/>
    </row>
    <row r="5" spans="1:13">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418" t="s">
        <v>1567</v>
      </c>
      <c r="B1" s="3418"/>
      <c r="C1" s="3418"/>
      <c r="D1" s="3418"/>
    </row>
    <row r="2" spans="1:4" ht="18">
      <c r="A2" s="3419" t="s">
        <v>1551</v>
      </c>
      <c r="B2" s="3419"/>
      <c r="C2" s="3419"/>
      <c r="D2" s="3419"/>
    </row>
    <row r="3" spans="1:4" ht="18.75">
      <c r="A3" s="1661" t="s">
        <v>1552</v>
      </c>
      <c r="B3" s="1661" t="s">
        <v>1553</v>
      </c>
      <c r="C3" s="1661" t="s">
        <v>1554</v>
      </c>
      <c r="D3" s="1661" t="s">
        <v>1555</v>
      </c>
    </row>
    <row r="4" spans="1:4" ht="56.25" customHeight="1">
      <c r="A4" s="1662" t="str">
        <f>项目基本情况!B4</f>
        <v>陈颖</v>
      </c>
      <c r="B4" s="1663">
        <f ca="1">项目基本情况!C4</f>
        <v>0</v>
      </c>
      <c r="C4" s="1664"/>
      <c r="D4" s="1665" t="s">
        <v>1556</v>
      </c>
    </row>
    <row r="5" spans="1:4" ht="56.25" customHeight="1">
      <c r="A5" s="1662" t="str">
        <f>项目基本情况!D4</f>
        <v>叶凌</v>
      </c>
      <c r="B5" s="1663">
        <f ca="1">项目基本情况!E4</f>
        <v>1119970111</v>
      </c>
      <c r="C5" s="1666"/>
      <c r="D5" s="1665" t="s">
        <v>1556</v>
      </c>
    </row>
    <row r="6" spans="1:4" ht="18">
      <c r="A6" s="3419" t="s">
        <v>1557</v>
      </c>
      <c r="B6" s="3419"/>
      <c r="C6" s="3419"/>
      <c r="D6" s="3419"/>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420" t="s">
        <v>1560</v>
      </c>
      <c r="B11" s="3412"/>
      <c r="C11" s="3412"/>
      <c r="D11" s="3412"/>
    </row>
    <row r="12" spans="1:4" ht="15.75">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7"/>
      <c r="C12" s="3417"/>
      <c r="D12" s="3417"/>
    </row>
    <row r="13" spans="1:4" ht="30" customHeight="1">
      <c r="A13" s="3412" t="str">
        <f>IF(项目基本情况!B8="抵押","3.抵押双方在办理抵押登记手续时，应使用本公司出具的正式《房地产评估报告》，特提醒报告使用者注意。","——")</f>
        <v>——</v>
      </c>
      <c r="B13" s="3417"/>
      <c r="C13" s="3417"/>
      <c r="D13" s="3417"/>
    </row>
    <row r="14" spans="1:4" ht="15.75" customHeight="1">
      <c r="A14" s="3412" t="str">
        <f>IF(项目基本情况!B8="抵押","4.本次评估估价师所知悉的法定优先受偿款情况说明如下：","——")</f>
        <v>——</v>
      </c>
      <c r="B14" s="3417"/>
      <c r="C14" s="3417"/>
      <c r="D14" s="3417"/>
    </row>
    <row r="15" spans="1:4" ht="42" customHeight="1">
      <c r="A15" s="3412" t="str">
        <f>IF(项目基本情况!B8="抵押","（1）"&amp;CONCATENATE(项目基本情况!L20,项目基本情况!L21,项目基本情况!L22),"——")</f>
        <v>——</v>
      </c>
      <c r="B15" s="3412"/>
      <c r="C15" s="3412"/>
      <c r="D15" s="3412"/>
    </row>
    <row r="16" spans="1:4" ht="30" customHeight="1">
      <c r="A16" s="3414" t="s">
        <v>1561</v>
      </c>
      <c r="B16" s="3414"/>
      <c r="C16" s="3414"/>
      <c r="D16" s="3414"/>
    </row>
    <row r="17" spans="1:4" ht="144" customHeight="1">
      <c r="A17" s="3414" t="s">
        <v>1562</v>
      </c>
      <c r="B17" s="3414"/>
      <c r="C17" s="3414"/>
      <c r="D17" s="3414"/>
    </row>
    <row r="18" spans="1:4" ht="15.75" customHeight="1">
      <c r="A18" s="3412" t="str">
        <f>IF(项目基本情况!B8="抵押",结果表1层商业!K120,"——")</f>
        <v>——</v>
      </c>
      <c r="B18" s="3412"/>
      <c r="C18" s="3412"/>
      <c r="D18" s="3412"/>
    </row>
    <row r="19" spans="1:4" ht="46.5" customHeight="1">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57.75" customHeight="1">
      <c r="A20" s="3412"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2"/>
      <c r="C20" s="3412"/>
      <c r="D20" s="3412"/>
    </row>
    <row r="21" spans="1:4" ht="57.75" customHeight="1">
      <c r="A21" s="3415"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5"/>
      <c r="C21" s="3415"/>
      <c r="D21" s="3415"/>
    </row>
    <row r="22" spans="1:4" ht="18.75" customHeight="1">
      <c r="A22" s="3416" t="s">
        <v>1563</v>
      </c>
      <c r="B22" s="3416"/>
      <c r="C22" s="3416"/>
      <c r="D22" s="3416"/>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413">
        <v>42551</v>
      </c>
      <c r="D31" s="34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627" customWidth="1"/>
    <col min="3" max="10" width="12.5" style="1627" customWidth="1"/>
    <col min="11" max="16384" width="9" style="1627"/>
  </cols>
  <sheetData>
    <row r="1" spans="1:10" ht="18">
      <c r="A1" s="1660" t="s">
        <v>838</v>
      </c>
      <c r="B1" s="1671"/>
      <c r="C1" s="1671"/>
      <c r="D1" s="1671"/>
      <c r="E1" s="1671"/>
      <c r="F1" s="1671"/>
      <c r="G1" s="1671"/>
      <c r="H1" s="1671"/>
      <c r="I1" s="1671"/>
      <c r="J1" s="1671"/>
    </row>
    <row r="2" spans="1:10" ht="18">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677" customWidth="1"/>
    <col min="2" max="16384" width="14.5" style="1659"/>
  </cols>
  <sheetData>
    <row r="1" spans="1:7" s="1674" customFormat="1" ht="18">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4.25">
      <c r="A15" s="3426" t="s">
        <v>1574</v>
      </c>
      <c r="B15" s="3421" t="s">
        <v>136</v>
      </c>
      <c r="C15" s="3422"/>
    </row>
    <row r="16" spans="1:7" ht="14.25">
      <c r="A16" s="3427"/>
      <c r="B16" s="3421" t="s">
        <v>69</v>
      </c>
      <c r="C16" s="3422"/>
    </row>
    <row r="17" spans="1:3" ht="14.25">
      <c r="A17" s="3427"/>
      <c r="B17" s="3424" t="s">
        <v>1575</v>
      </c>
      <c r="C17" s="1684" t="s">
        <v>1574</v>
      </c>
    </row>
    <row r="18" spans="1:3" ht="14.25">
      <c r="A18" s="3427"/>
      <c r="B18" s="3424"/>
      <c r="C18" s="1684" t="s">
        <v>1576</v>
      </c>
    </row>
    <row r="19" spans="1:3" ht="14.25">
      <c r="A19" s="3427"/>
      <c r="B19" s="3424"/>
      <c r="C19" s="1684" t="s">
        <v>1577</v>
      </c>
    </row>
    <row r="20" spans="1:3" ht="14.25">
      <c r="A20" s="3428"/>
      <c r="B20" s="3423" t="s">
        <v>1578</v>
      </c>
      <c r="C20" s="3422"/>
    </row>
    <row r="21" spans="1:3" ht="14.25">
      <c r="A21" s="1685" t="s">
        <v>1579</v>
      </c>
      <c r="B21" s="1686"/>
      <c r="C21" s="1687"/>
    </row>
    <row r="22" spans="1:3" ht="14.25">
      <c r="A22" s="3425" t="s">
        <v>1580</v>
      </c>
      <c r="B22" s="3423" t="s">
        <v>1581</v>
      </c>
      <c r="C22" s="3422"/>
    </row>
    <row r="23" spans="1:3" ht="14.25">
      <c r="A23" s="3425"/>
      <c r="B23" s="3423" t="s">
        <v>1582</v>
      </c>
      <c r="C23" s="3422"/>
    </row>
    <row r="24" spans="1:3" ht="14.25">
      <c r="A24" s="3425"/>
      <c r="B24" s="3423" t="s">
        <v>1583</v>
      </c>
      <c r="C24" s="3422"/>
    </row>
    <row r="25" spans="1:3" ht="14.25">
      <c r="A25" s="3425"/>
      <c r="B25" s="3424" t="s">
        <v>1584</v>
      </c>
      <c r="C25" s="1684" t="s">
        <v>1585</v>
      </c>
    </row>
    <row r="26" spans="1:3" ht="14.25">
      <c r="A26" s="3425"/>
      <c r="B26" s="3424"/>
      <c r="C26" s="1684" t="s">
        <v>1586</v>
      </c>
    </row>
    <row r="27" spans="1:3" ht="14.25">
      <c r="A27" s="3425"/>
      <c r="B27" s="3424"/>
      <c r="C27" s="1684" t="s">
        <v>1587</v>
      </c>
    </row>
    <row r="28" spans="1:3" ht="14.25">
      <c r="A28" s="3425"/>
      <c r="B28" s="3424"/>
      <c r="C28" s="1684" t="s">
        <v>1588</v>
      </c>
    </row>
    <row r="29" spans="1:3" ht="14.25">
      <c r="A29" s="3425"/>
      <c r="B29" s="3424"/>
      <c r="C29" s="1684" t="s">
        <v>1589</v>
      </c>
    </row>
    <row r="30" spans="1:3" ht="14.25">
      <c r="A30" s="3425"/>
      <c r="B30" s="3424"/>
      <c r="C30" s="1684" t="s">
        <v>1590</v>
      </c>
    </row>
    <row r="31" spans="1:3" ht="14.25">
      <c r="A31" s="3425"/>
      <c r="B31" s="3424"/>
      <c r="C31" s="1684" t="s">
        <v>1591</v>
      </c>
    </row>
    <row r="32" spans="1:3" ht="14.25">
      <c r="A32" s="3425"/>
      <c r="B32" s="3424"/>
      <c r="C32" s="1684" t="s">
        <v>1592</v>
      </c>
    </row>
    <row r="33" spans="1:3" ht="14.25">
      <c r="A33" s="3425"/>
      <c r="B33" s="3424"/>
      <c r="C33" s="1684" t="s">
        <v>1593</v>
      </c>
    </row>
    <row r="34" spans="1:3">
      <c r="A34" s="1688" t="s">
        <v>76</v>
      </c>
    </row>
    <row r="37" spans="1:3">
      <c r="A37" s="1688" t="s">
        <v>1594</v>
      </c>
    </row>
    <row r="38" spans="1:3" ht="14.25">
      <c r="A38" s="1689" t="s">
        <v>77</v>
      </c>
    </row>
    <row r="39" spans="1:3" ht="14.25">
      <c r="A39" s="1689" t="s">
        <v>78</v>
      </c>
    </row>
    <row r="40" spans="1:3" ht="14.25">
      <c r="A40" s="1689" t="s">
        <v>79</v>
      </c>
    </row>
    <row r="41" spans="1:3" ht="14.25">
      <c r="A41" s="1690" t="s">
        <v>80</v>
      </c>
    </row>
    <row r="42" spans="1:3" ht="14.2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2817</v>
      </c>
      <c r="B2" s="2528">
        <f ca="1">TODAY()</f>
        <v>44770</v>
      </c>
      <c r="C2" s="2529" t="s">
        <v>2818</v>
      </c>
      <c r="D2" s="2529"/>
      <c r="E2" s="2529"/>
      <c r="F2" s="2525"/>
      <c r="G2" s="2525"/>
      <c r="H2" s="2525"/>
    </row>
    <row r="3" spans="1:8" ht="24" customHeight="1">
      <c r="A3" s="2530" t="s">
        <v>2819</v>
      </c>
      <c r="B3" s="2531" t="s">
        <v>2820</v>
      </c>
      <c r="C3" s="2531" t="s">
        <v>2821</v>
      </c>
      <c r="D3" s="2532" t="s">
        <v>2822</v>
      </c>
      <c r="E3" s="2533" t="s">
        <v>2823</v>
      </c>
      <c r="F3" s="1441" t="s">
        <v>2824</v>
      </c>
      <c r="G3" s="2531" t="s">
        <v>2821</v>
      </c>
      <c r="H3" s="2532" t="s">
        <v>2825</v>
      </c>
    </row>
    <row r="4" spans="1:8" ht="24" customHeight="1">
      <c r="A4" s="1441" t="s">
        <v>2826</v>
      </c>
      <c r="B4" s="1441">
        <f ca="1">IF(C4&lt;B2,"已过期",1119970066)</f>
        <v>1119970066</v>
      </c>
      <c r="C4" s="2534">
        <v>44876</v>
      </c>
      <c r="D4" s="2535" t="str">
        <f ca="1">A4&amp;"（注册号："&amp;B4&amp;"）"</f>
        <v>梁津（注册号：1119970066）</v>
      </c>
      <c r="E4" s="2536" t="s">
        <v>2826</v>
      </c>
      <c r="F4" s="1441">
        <f ca="1">IF(G4&lt;B2,"已过期",96010014)</f>
        <v>96010014</v>
      </c>
      <c r="G4" s="2537">
        <v>47118</v>
      </c>
      <c r="H4" s="2538" t="str">
        <f ca="1">E4&amp;"（注册号："&amp;F4&amp;"）"</f>
        <v>梁津（注册号：96010014）</v>
      </c>
    </row>
    <row r="5" spans="1:8" ht="24" customHeight="1">
      <c r="A5" s="1441" t="s">
        <v>2827</v>
      </c>
      <c r="B5" s="1441">
        <f ca="1">IF(C5&lt;B2,"已过期",1119970111)</f>
        <v>1119970111</v>
      </c>
      <c r="C5" s="2534">
        <v>44876</v>
      </c>
      <c r="D5" s="2535" t="str">
        <f t="shared" ref="D5:D15" ca="1" si="0">A5&amp;"（注册号："&amp;B5&amp;"）"</f>
        <v>叶凌（注册号：1119970111）</v>
      </c>
      <c r="E5" s="2536" t="s">
        <v>2827</v>
      </c>
      <c r="F5" s="1441">
        <f ca="1">IF(G5&lt;B2,"已过期",94010078)</f>
        <v>94010078</v>
      </c>
      <c r="G5" s="2537">
        <v>46387</v>
      </c>
      <c r="H5" s="2538" t="str">
        <f t="shared" ref="H5:H16" ca="1" si="1">E5&amp;"（注册号："&amp;F5&amp;"）"</f>
        <v>叶凌（注册号：94010078）</v>
      </c>
    </row>
    <row r="6" spans="1:8" ht="24" customHeight="1">
      <c r="A6" s="1441" t="s">
        <v>2828</v>
      </c>
      <c r="B6" s="1441" t="str">
        <f ca="1">IF(C6&lt;B2,"已过期",1120050019)</f>
        <v>已过期</v>
      </c>
      <c r="C6" s="2534">
        <v>44395</v>
      </c>
      <c r="D6" s="2535" t="str">
        <f t="shared" ca="1" si="0"/>
        <v>王鹏（注册号：已过期）</v>
      </c>
      <c r="E6" s="2536" t="s">
        <v>2828</v>
      </c>
      <c r="F6" s="1441">
        <f ca="1">IF(G6&lt;B2,"已过期",2002110030)</f>
        <v>2002110030</v>
      </c>
      <c r="G6" s="2537">
        <v>46387</v>
      </c>
      <c r="H6" s="2538" t="str">
        <f t="shared" ca="1" si="1"/>
        <v>王鹏（注册号：2002110030）</v>
      </c>
    </row>
    <row r="7" spans="1:8" ht="24" customHeight="1">
      <c r="A7" s="1441" t="s">
        <v>2829</v>
      </c>
      <c r="B7" s="1441">
        <f ca="1">IF(C7&lt;B2,"已过期",1120000080)</f>
        <v>1120000080</v>
      </c>
      <c r="C7" s="2534">
        <v>44876</v>
      </c>
      <c r="D7" s="2535" t="str">
        <f t="shared" ca="1" si="0"/>
        <v>欧红伟（注册号：1120000080）</v>
      </c>
      <c r="E7" s="2536" t="s">
        <v>2829</v>
      </c>
      <c r="F7" s="1441">
        <f ca="1">IF(G7&lt;B2,"已过期",2000110082)</f>
        <v>2000110082</v>
      </c>
      <c r="G7" s="2537">
        <v>46387</v>
      </c>
      <c r="H7" s="2538" t="str">
        <f t="shared" ca="1" si="1"/>
        <v>欧红伟（注册号：2000110082）</v>
      </c>
    </row>
    <row r="8" spans="1:8" ht="24" customHeight="1">
      <c r="A8" s="1441" t="s">
        <v>2830</v>
      </c>
      <c r="B8" s="1441">
        <f ca="1">IF(C8&lt;B2,"已过期",1419970001)</f>
        <v>1419970001</v>
      </c>
      <c r="C8" s="2534">
        <v>44899</v>
      </c>
      <c r="D8" s="2535" t="str">
        <f t="shared" ca="1" si="0"/>
        <v>吴薇（注册号：1419970001）</v>
      </c>
      <c r="E8" s="2536" t="s">
        <v>2830</v>
      </c>
      <c r="F8" s="1441">
        <f ca="1">IF(G8&lt;B2,"已过期",2002110125)</f>
        <v>2002110125</v>
      </c>
      <c r="G8" s="2537">
        <v>47118</v>
      </c>
      <c r="H8" s="2538" t="str">
        <f t="shared" ca="1" si="1"/>
        <v>吴薇（注册号：2002110125）</v>
      </c>
    </row>
    <row r="9" spans="1:8" ht="24" customHeight="1">
      <c r="A9" s="1441" t="s">
        <v>2831</v>
      </c>
      <c r="B9" s="1441" t="str">
        <f ca="1">IF(C9&lt;B2,"已过期",1120060040)</f>
        <v>已过期</v>
      </c>
      <c r="C9" s="2539">
        <v>44554</v>
      </c>
      <c r="D9" s="2535" t="str">
        <f t="shared" ca="1" si="0"/>
        <v>陈颖（注册号：已过期）</v>
      </c>
      <c r="E9" s="2536" t="s">
        <v>2831</v>
      </c>
      <c r="F9" s="1441">
        <f ca="1">IF(G9&lt;B2,"已过期",2004110096)</f>
        <v>2004110096</v>
      </c>
      <c r="G9" s="2537">
        <v>47118</v>
      </c>
      <c r="H9" s="2538" t="str">
        <f t="shared" ca="1" si="1"/>
        <v>陈颖（注册号：2004110096）</v>
      </c>
    </row>
    <row r="10" spans="1:8" ht="24" customHeight="1">
      <c r="A10" s="1441" t="s">
        <v>2832</v>
      </c>
      <c r="B10" s="1441" t="str">
        <f ca="1">IF(C10&lt;B2,"已过期",1120100036)</f>
        <v>已过期</v>
      </c>
      <c r="C10" s="2539">
        <v>44675</v>
      </c>
      <c r="D10" s="2535" t="str">
        <f t="shared" ca="1" si="0"/>
        <v>崔锴（注册号：已过期）</v>
      </c>
      <c r="E10" s="2536" t="s">
        <v>2832</v>
      </c>
      <c r="F10" s="1441">
        <f ca="1">IF(G10&lt;B2,"已过期",2010110070)</f>
        <v>2010110070</v>
      </c>
      <c r="G10" s="2537">
        <v>47907</v>
      </c>
      <c r="H10" s="2538" t="str">
        <f t="shared" ca="1" si="1"/>
        <v>崔锴（注册号：2010110070）</v>
      </c>
    </row>
    <row r="11" spans="1:8" ht="24" customHeight="1">
      <c r="A11" s="1441" t="s">
        <v>2833</v>
      </c>
      <c r="B11" s="1441">
        <f ca="1">IF(C11&lt;B2,"已过期",1120070131)</f>
        <v>1120070131</v>
      </c>
      <c r="C11" s="2534">
        <v>44849</v>
      </c>
      <c r="D11" s="2535" t="str">
        <f t="shared" ca="1" si="0"/>
        <v>郑燚（注册号：1120070131）</v>
      </c>
      <c r="E11" s="2536" t="s">
        <v>2833</v>
      </c>
      <c r="F11" s="1441">
        <f ca="1">IF(G11&lt;B2,"已过期",2014110011)</f>
        <v>2014110011</v>
      </c>
      <c r="G11" s="2537">
        <v>49302</v>
      </c>
      <c r="H11" s="2538" t="str">
        <f t="shared" ca="1" si="1"/>
        <v>郑燚（注册号：2014110011）</v>
      </c>
    </row>
    <row r="12" spans="1:8" ht="24" customHeight="1">
      <c r="A12" s="1441" t="s">
        <v>2834</v>
      </c>
      <c r="B12" s="1441">
        <f ca="1">IF(C12&lt;B2,"已过期",1120040230)</f>
        <v>1120040230</v>
      </c>
      <c r="C12" s="2539">
        <v>44864</v>
      </c>
      <c r="D12" s="2535" t="str">
        <f t="shared" ca="1" si="0"/>
        <v>苏海（注册号：1120040230）</v>
      </c>
      <c r="E12" s="2536" t="s">
        <v>2834</v>
      </c>
      <c r="F12" s="1441">
        <f ca="1">IF(G12&lt;B2,"已过期",98030020)</f>
        <v>98030020</v>
      </c>
      <c r="G12" s="2537">
        <v>47118</v>
      </c>
      <c r="H12" s="2538" t="str">
        <f t="shared" ca="1" si="1"/>
        <v>苏海（注册号：98030020）</v>
      </c>
    </row>
    <row r="13" spans="1:8" ht="24" customHeight="1">
      <c r="A13" s="1441" t="s">
        <v>2835</v>
      </c>
      <c r="B13" s="1441" t="str">
        <f ca="1">IF(C13&lt;B2,"已过期",1120020033)</f>
        <v>已过期</v>
      </c>
      <c r="C13" s="2534">
        <v>44339</v>
      </c>
      <c r="D13" s="2535" t="str">
        <f t="shared" ca="1" si="0"/>
        <v>刘敬东（注册号：已过期）</v>
      </c>
      <c r="E13" s="2536" t="s">
        <v>2835</v>
      </c>
      <c r="F13" s="1441">
        <f ca="1">IF(G13&lt;B2,"已过期",2000110137)</f>
        <v>2000110137</v>
      </c>
      <c r="G13" s="2537">
        <v>46387</v>
      </c>
      <c r="H13" s="2538" t="str">
        <f t="shared" ca="1" si="1"/>
        <v>刘敬东（注册号：2000110137）</v>
      </c>
    </row>
    <row r="14" spans="1:8" ht="24" customHeight="1">
      <c r="A14" s="1441" t="s">
        <v>2836</v>
      </c>
      <c r="B14" s="1441">
        <f ca="1">IF(C14&lt;B2,"已过期",1119980106)</f>
        <v>1119980106</v>
      </c>
      <c r="C14" s="2539">
        <v>44969</v>
      </c>
      <c r="D14" s="2535" t="str">
        <f t="shared" ca="1" si="0"/>
        <v>刘俊财（注册号：1119980106）</v>
      </c>
      <c r="E14" s="2536" t="s">
        <v>2836</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2837</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429" t="s">
        <v>2838</v>
      </c>
      <c r="B17" s="3429"/>
      <c r="C17" s="3429"/>
      <c r="D17" s="3429"/>
      <c r="E17" s="3429"/>
      <c r="F17" s="3429"/>
      <c r="G17" s="3429"/>
      <c r="H17" s="3429"/>
    </row>
    <row r="18" spans="1:8" ht="24" customHeight="1">
      <c r="A18" s="3430" t="s">
        <v>2839</v>
      </c>
      <c r="B18" s="3430"/>
      <c r="C18" s="3430"/>
      <c r="D18" s="2532"/>
      <c r="E18" s="3431" t="s">
        <v>2840</v>
      </c>
      <c r="F18" s="3430"/>
      <c r="G18" s="3430"/>
    </row>
    <row r="19" spans="1:8" s="2543" customFormat="1" ht="24" customHeight="1">
      <c r="A19" s="2542" t="s">
        <v>2841</v>
      </c>
      <c r="B19" s="2531" t="s">
        <v>2842</v>
      </c>
      <c r="C19" s="2531" t="s">
        <v>2821</v>
      </c>
      <c r="D19" s="2532"/>
      <c r="E19" s="2536" t="s">
        <v>2841</v>
      </c>
      <c r="F19" s="2531" t="s">
        <v>2842</v>
      </c>
      <c r="G19" s="2531" t="s">
        <v>2821</v>
      </c>
    </row>
    <row r="20" spans="1:8" s="2543" customFormat="1" ht="24" customHeight="1">
      <c r="A20" s="2544" t="s">
        <v>2843</v>
      </c>
      <c r="B20" s="2544" t="s">
        <v>2844</v>
      </c>
      <c r="C20" s="2537">
        <v>44820</v>
      </c>
      <c r="D20" s="2545"/>
      <c r="E20" s="2546" t="s">
        <v>2845</v>
      </c>
      <c r="F20" s="2544" t="s">
        <v>2846</v>
      </c>
      <c r="G20" s="2547">
        <v>44377</v>
      </c>
    </row>
    <row r="21" spans="1:8" s="2543" customFormat="1" ht="24" customHeight="1">
      <c r="A21" s="2544"/>
      <c r="B21" s="2544"/>
      <c r="C21" s="2548"/>
      <c r="D21" s="2549"/>
      <c r="E21" s="2546" t="s">
        <v>2847</v>
      </c>
      <c r="F21" s="2550" t="s">
        <v>2848</v>
      </c>
      <c r="G21" s="2551">
        <v>44012</v>
      </c>
    </row>
    <row r="22" spans="1:8" ht="24" customHeight="1">
      <c r="C22" s="2552"/>
      <c r="D22" s="2552"/>
      <c r="E22" s="2553"/>
      <c r="F22" s="2554"/>
      <c r="G22" s="2555"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170</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典型户型修正</vt:lpstr>
      <vt:lpstr>分套面积表</vt:lpstr>
      <vt:lpstr>Sheet1</vt:lpstr>
      <vt:lpstr>Sheet4</vt:lpstr>
      <vt:lpstr>结果</vt:lpstr>
      <vt:lpstr>结果汇总</vt:lpstr>
      <vt:lpstr>结果表1层商业</vt:lpstr>
      <vt:lpstr>租金比较法-商业</vt:lpstr>
      <vt:lpstr>商业租金案例</vt:lpstr>
      <vt:lpstr>收益法倒推租金</vt:lpstr>
      <vt:lpstr>比较法-商业售价</vt:lpstr>
      <vt:lpstr>房山区商业平均售价</vt:lpstr>
      <vt:lpstr>在售</vt:lpstr>
      <vt:lpstr>商住售价</vt:lpstr>
      <vt:lpstr>商业出售案例</vt:lpstr>
      <vt:lpstr>成本法-商业</vt:lpstr>
      <vt:lpstr>基准地价修正</vt:lpstr>
      <vt:lpstr>比较法-车位</vt:lpstr>
      <vt:lpstr>收益法-车位</vt:lpstr>
      <vt:lpstr>比较法-仓储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比较法-办公</vt:lpstr>
      <vt:lpstr>比较法-工业</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'比较法-商业售价'!Print_Area</vt:lpstr>
      <vt:lpstr>'比较法-住宅'!Print_Area</vt:lpstr>
      <vt:lpstr>'成本法 (元)'!Print_Area</vt:lpstr>
      <vt:lpstr>'成本法-仓储'!Print_Area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'收益法 (元)'!Print_Area</vt:lpstr>
      <vt:lpstr>'收益法（汇总）'!Print_Area</vt:lpstr>
      <vt:lpstr>'收益法-仓储'!Print_Area</vt:lpstr>
      <vt:lpstr>'收益法-车位'!Print_Area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2022-07-28T05:06:11Z</dcterms:modified>
</cp:coreProperties>
</file>